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Вересень\СМР\Доопрацьоване\"/>
    </mc:Choice>
  </mc:AlternateContent>
  <bookViews>
    <workbookView xWindow="0" yWindow="0" windowWidth="19200" windowHeight="11460" tabRatio="495" activeTab="1"/>
  </bookViews>
  <sheets>
    <sheet name="дод 3" sheetId="1" r:id="rId1"/>
    <sheet name="дод 4" sheetId="3" r:id="rId2"/>
  </sheets>
  <definedNames>
    <definedName name="_xlnm.Print_Titles" localSheetId="0">'дод 3'!$15:$17</definedName>
    <definedName name="_xlnm.Print_Titles" localSheetId="1">'дод 4'!$16:$18</definedName>
    <definedName name="_xlnm.Print_Area" localSheetId="0">'дод 3'!$A$1:$P$290</definedName>
    <definedName name="_xlnm.Print_Area" localSheetId="1">'дод 4'!$A$1:$O$215</definedName>
  </definedNames>
  <calcPr calcId="162913"/>
</workbook>
</file>

<file path=xl/calcChain.xml><?xml version="1.0" encoding="utf-8"?>
<calcChain xmlns="http://schemas.openxmlformats.org/spreadsheetml/2006/main">
  <c r="F84" i="1" l="1"/>
  <c r="O77" i="1" l="1"/>
  <c r="K77" i="1"/>
  <c r="F77" i="1"/>
  <c r="O74" i="1"/>
  <c r="K74" i="1"/>
  <c r="F74" i="1"/>
  <c r="O39" i="1" l="1"/>
  <c r="K39" i="1"/>
  <c r="F39" i="1"/>
  <c r="F201" i="1"/>
  <c r="F95" i="1"/>
  <c r="O71" i="1"/>
  <c r="K71" i="1"/>
  <c r="F183" i="1"/>
  <c r="F182" i="1"/>
  <c r="F35" i="1"/>
  <c r="F169" i="1"/>
  <c r="F200" i="1"/>
  <c r="G53" i="1" l="1"/>
  <c r="F53" i="1"/>
  <c r="F103" i="1" l="1"/>
  <c r="E267" i="1"/>
  <c r="K195" i="1"/>
  <c r="G153" i="1"/>
  <c r="F128" i="1" l="1"/>
  <c r="F19" i="1" l="1"/>
  <c r="K106" i="1" l="1"/>
  <c r="O200" i="1" l="1"/>
  <c r="K200" i="1"/>
  <c r="O231" i="1" l="1"/>
  <c r="K231" i="1"/>
  <c r="O195" i="1"/>
  <c r="O168" i="1"/>
  <c r="K168" i="1"/>
  <c r="O120" i="1"/>
  <c r="K120" i="1"/>
  <c r="O118" i="1"/>
  <c r="K118" i="1"/>
  <c r="O114" i="1"/>
  <c r="K114" i="1"/>
  <c r="O96" i="1"/>
  <c r="K96" i="1"/>
  <c r="F87" i="1"/>
  <c r="F82" i="1"/>
  <c r="O69" i="1"/>
  <c r="K69" i="1"/>
  <c r="F69" i="1"/>
  <c r="F71" i="1"/>
  <c r="F38" i="1"/>
  <c r="F36" i="1"/>
  <c r="F184" i="1" l="1"/>
  <c r="O184" i="1"/>
  <c r="K184" i="1"/>
  <c r="O36" i="1"/>
  <c r="K36" i="1"/>
  <c r="O197" i="1"/>
  <c r="K197" i="1"/>
  <c r="G225" i="1"/>
  <c r="F225" i="1"/>
  <c r="G185" i="1"/>
  <c r="F185" i="1"/>
  <c r="G183" i="1"/>
  <c r="G182" i="1"/>
  <c r="G168" i="1"/>
  <c r="F168" i="1"/>
  <c r="F153" i="1"/>
  <c r="F120" i="1"/>
  <c r="F127" i="1"/>
  <c r="F114" i="1"/>
  <c r="G95" i="1"/>
  <c r="G87" i="1"/>
  <c r="G89" i="1"/>
  <c r="F89" i="1"/>
  <c r="G78" i="1"/>
  <c r="F78" i="1"/>
  <c r="H69" i="1"/>
  <c r="H36" i="1"/>
  <c r="G71" i="1"/>
  <c r="G69" i="1"/>
  <c r="F37" i="1"/>
  <c r="G36" i="1"/>
  <c r="O232" i="1"/>
  <c r="K232" i="1"/>
  <c r="O226" i="1"/>
  <c r="K226" i="1"/>
  <c r="I196" i="1"/>
  <c r="O132" i="3"/>
  <c r="N132" i="3"/>
  <c r="M132" i="3"/>
  <c r="L132" i="3"/>
  <c r="K132" i="3"/>
  <c r="J132" i="3"/>
  <c r="I132" i="3"/>
  <c r="H132" i="3"/>
  <c r="G132" i="3"/>
  <c r="F132" i="3"/>
  <c r="E132" i="3"/>
  <c r="D132" i="3"/>
  <c r="P174" i="1"/>
  <c r="O174" i="1"/>
  <c r="N174" i="1"/>
  <c r="M174" i="1"/>
  <c r="L174" i="1"/>
  <c r="K174" i="1"/>
  <c r="J174" i="1"/>
  <c r="I174" i="1"/>
  <c r="H174" i="1"/>
  <c r="G174" i="1"/>
  <c r="F174" i="1"/>
  <c r="E174" i="1"/>
  <c r="P178" i="1"/>
  <c r="J178" i="1"/>
  <c r="E178" i="1"/>
  <c r="O130" i="1"/>
  <c r="K130" i="1"/>
  <c r="I43" i="1"/>
  <c r="I44" i="1"/>
  <c r="O38" i="1"/>
  <c r="K38" i="1"/>
  <c r="O237" i="1"/>
  <c r="K237" i="1"/>
  <c r="F237" i="1"/>
  <c r="E238" i="1"/>
  <c r="E236" i="1"/>
  <c r="O202" i="1"/>
  <c r="K202" i="1"/>
  <c r="O205" i="1"/>
  <c r="K205" i="1"/>
  <c r="F148" i="1"/>
  <c r="F145" i="1"/>
  <c r="O45" i="1"/>
  <c r="K45" i="1"/>
  <c r="F45" i="1"/>
  <c r="O47" i="1"/>
  <c r="K47" i="1"/>
  <c r="I42" i="1"/>
  <c r="G261" i="1"/>
  <c r="F251" i="1"/>
  <c r="O253" i="1"/>
  <c r="K253" i="1"/>
  <c r="F255" i="1"/>
  <c r="F252" i="1"/>
  <c r="O229" i="1"/>
  <c r="K229" i="1"/>
  <c r="O203" i="1"/>
  <c r="K203" i="1"/>
  <c r="O201" i="1"/>
  <c r="K201" i="1"/>
  <c r="O211" i="1"/>
  <c r="K211" i="1"/>
  <c r="F211" i="1"/>
  <c r="H200" i="1"/>
  <c r="F197" i="1"/>
  <c r="O169" i="1"/>
  <c r="K169" i="1"/>
  <c r="F124" i="1"/>
  <c r="O128" i="1"/>
  <c r="K128" i="1"/>
  <c r="I133" i="1"/>
  <c r="F133" i="1"/>
  <c r="H87" i="1"/>
  <c r="H86" i="1"/>
  <c r="G86" i="1"/>
  <c r="F86" i="1"/>
  <c r="N41" i="3"/>
  <c r="M41" i="3"/>
  <c r="L41" i="3"/>
  <c r="K41" i="3"/>
  <c r="J41" i="3"/>
  <c r="H41" i="3"/>
  <c r="G41" i="3"/>
  <c r="F41" i="3"/>
  <c r="E41" i="3"/>
  <c r="O62" i="1"/>
  <c r="N62" i="1"/>
  <c r="M62" i="1"/>
  <c r="L62" i="1"/>
  <c r="K62" i="1"/>
  <c r="I62" i="1"/>
  <c r="H62" i="1"/>
  <c r="G62" i="1"/>
  <c r="F62" i="1"/>
  <c r="J79" i="1"/>
  <c r="I41" i="3" s="1"/>
  <c r="E79" i="1"/>
  <c r="P79" i="1" s="1"/>
  <c r="O41" i="3" s="1"/>
  <c r="G80" i="1"/>
  <c r="F80" i="1"/>
  <c r="O78" i="1"/>
  <c r="K78" i="1"/>
  <c r="H78" i="1"/>
  <c r="G72" i="1"/>
  <c r="F72" i="1"/>
  <c r="G76" i="1"/>
  <c r="F76" i="1"/>
  <c r="H71" i="1"/>
  <c r="G68" i="1"/>
  <c r="N22" i="3"/>
  <c r="M22" i="3"/>
  <c r="L22" i="3"/>
  <c r="K22" i="3"/>
  <c r="J22" i="3"/>
  <c r="H22" i="3"/>
  <c r="G22" i="3"/>
  <c r="F22" i="3"/>
  <c r="E22" i="3"/>
  <c r="N19" i="1"/>
  <c r="M19" i="1"/>
  <c r="J23" i="1"/>
  <c r="I22" i="3" s="1"/>
  <c r="E23" i="1"/>
  <c r="F46" i="1"/>
  <c r="F27" i="1"/>
  <c r="O31" i="1"/>
  <c r="K31" i="1"/>
  <c r="F31" i="1"/>
  <c r="M201" i="3"/>
  <c r="L201" i="3"/>
  <c r="K201" i="3"/>
  <c r="H201" i="3"/>
  <c r="G201" i="3"/>
  <c r="F201" i="3"/>
  <c r="E201" i="3"/>
  <c r="O196" i="1"/>
  <c r="K196" i="1"/>
  <c r="D41" i="3" l="1"/>
  <c r="P23" i="1"/>
  <c r="O22" i="3" s="1"/>
  <c r="D22" i="3"/>
  <c r="N106" i="1"/>
  <c r="M106" i="1"/>
  <c r="L106" i="1"/>
  <c r="I106" i="1"/>
  <c r="H106" i="1"/>
  <c r="J136" i="1"/>
  <c r="E136" i="1"/>
  <c r="F57" i="1"/>
  <c r="G52" i="1"/>
  <c r="F52" i="1"/>
  <c r="P136" i="1" l="1"/>
  <c r="F102" i="1"/>
  <c r="F101" i="1"/>
  <c r="F85" i="1" l="1"/>
  <c r="O214" i="1"/>
  <c r="H83" i="1"/>
  <c r="G83" i="1"/>
  <c r="F83" i="1"/>
  <c r="F50" i="1"/>
  <c r="N154" i="3" l="1"/>
  <c r="M154" i="3"/>
  <c r="L154" i="3"/>
  <c r="K154" i="3"/>
  <c r="J154" i="3"/>
  <c r="H154" i="3"/>
  <c r="G154" i="3"/>
  <c r="F154" i="3"/>
  <c r="E154" i="3"/>
  <c r="N223" i="1"/>
  <c r="M223" i="1"/>
  <c r="L223" i="1"/>
  <c r="I223" i="1"/>
  <c r="H223" i="1"/>
  <c r="O70" i="1" l="1"/>
  <c r="K70" i="1"/>
  <c r="F32" i="1" l="1"/>
  <c r="O171" i="1"/>
  <c r="K171" i="1"/>
  <c r="J236" i="1"/>
  <c r="I154" i="3" s="1"/>
  <c r="O133" i="1"/>
  <c r="K133" i="1"/>
  <c r="F262" i="1"/>
  <c r="F194" i="1"/>
  <c r="H182" i="1"/>
  <c r="F186" i="1"/>
  <c r="P236" i="1" l="1"/>
  <c r="O154" i="3" s="1"/>
  <c r="D154" i="3"/>
  <c r="O57" i="1"/>
  <c r="K57" i="1"/>
  <c r="F221" i="1" l="1"/>
  <c r="F223" i="1"/>
  <c r="N48" i="3" l="1"/>
  <c r="M48" i="3"/>
  <c r="L48" i="3"/>
  <c r="K48" i="3"/>
  <c r="J48" i="3"/>
  <c r="H48" i="3"/>
  <c r="G48" i="3"/>
  <c r="F48" i="3"/>
  <c r="E48" i="3"/>
  <c r="O65" i="1"/>
  <c r="N65" i="1"/>
  <c r="M65" i="1"/>
  <c r="L65" i="1"/>
  <c r="K65" i="1"/>
  <c r="I65" i="1"/>
  <c r="H65" i="1"/>
  <c r="G65" i="1"/>
  <c r="F65" i="1"/>
  <c r="N64" i="1"/>
  <c r="M64" i="1"/>
  <c r="L64" i="1"/>
  <c r="I64" i="1"/>
  <c r="H64" i="1"/>
  <c r="G64" i="1"/>
  <c r="O67" i="1"/>
  <c r="N67" i="1"/>
  <c r="M67" i="1"/>
  <c r="L67" i="1"/>
  <c r="K67" i="1"/>
  <c r="I67" i="1"/>
  <c r="H67" i="1"/>
  <c r="G67" i="1"/>
  <c r="F67" i="1"/>
  <c r="O66" i="1"/>
  <c r="N66" i="1"/>
  <c r="M66" i="1"/>
  <c r="L66" i="1"/>
  <c r="K66" i="1"/>
  <c r="I66" i="1"/>
  <c r="H66" i="1"/>
  <c r="G66" i="1"/>
  <c r="O60" i="1"/>
  <c r="N60" i="1"/>
  <c r="M60" i="1"/>
  <c r="L60" i="1"/>
  <c r="K60" i="1"/>
  <c r="I60" i="1"/>
  <c r="H60" i="1"/>
  <c r="F60" i="1"/>
  <c r="N61" i="1"/>
  <c r="M61" i="1"/>
  <c r="L61" i="1"/>
  <c r="I61" i="1"/>
  <c r="H61" i="1"/>
  <c r="G61" i="1"/>
  <c r="F61" i="1"/>
  <c r="O63" i="1"/>
  <c r="N63" i="1"/>
  <c r="M63" i="1"/>
  <c r="L63" i="1"/>
  <c r="K63" i="1"/>
  <c r="I63" i="1"/>
  <c r="H63" i="1"/>
  <c r="G63" i="1"/>
  <c r="F63" i="1"/>
  <c r="E73" i="1"/>
  <c r="J85" i="1"/>
  <c r="I48" i="3" s="1"/>
  <c r="E85" i="1"/>
  <c r="D48" i="3" s="1"/>
  <c r="P85" i="1" l="1"/>
  <c r="O48" i="3" s="1"/>
  <c r="J258" i="1"/>
  <c r="O21" i="1" l="1"/>
  <c r="K21" i="1"/>
  <c r="N59" i="1"/>
  <c r="M59" i="1"/>
  <c r="I59" i="1"/>
  <c r="M163" i="3" l="1"/>
  <c r="L163" i="3"/>
  <c r="K163" i="3"/>
  <c r="H163" i="3"/>
  <c r="G163" i="3"/>
  <c r="F163" i="3"/>
  <c r="F261" i="1" l="1"/>
  <c r="F250" i="1"/>
  <c r="F242" i="1"/>
  <c r="F193" i="1"/>
  <c r="F181" i="1"/>
  <c r="F142" i="1"/>
  <c r="F113" i="1"/>
  <c r="F68" i="1"/>
  <c r="M190" i="1" l="1"/>
  <c r="H190" i="1"/>
  <c r="J211" i="1"/>
  <c r="E211" i="1"/>
  <c r="P211" i="1" l="1"/>
  <c r="N138" i="1" l="1"/>
  <c r="M138" i="1"/>
  <c r="L138" i="1"/>
  <c r="I138" i="1"/>
  <c r="N149" i="3" l="1"/>
  <c r="M149" i="3"/>
  <c r="L149" i="3"/>
  <c r="K149" i="3"/>
  <c r="J149" i="3"/>
  <c r="H149" i="3"/>
  <c r="G149" i="3"/>
  <c r="F149" i="3"/>
  <c r="E149" i="3"/>
  <c r="J233" i="1"/>
  <c r="E233" i="1"/>
  <c r="E231" i="1"/>
  <c r="I19" i="1"/>
  <c r="F247" i="1"/>
  <c r="N20" i="3"/>
  <c r="M20" i="3"/>
  <c r="L20" i="3"/>
  <c r="K20" i="3"/>
  <c r="J20" i="3"/>
  <c r="H20" i="3"/>
  <c r="N256" i="1"/>
  <c r="O257" i="1"/>
  <c r="O256" i="1" s="1"/>
  <c r="N257" i="1"/>
  <c r="M257" i="1"/>
  <c r="M256" i="1" s="1"/>
  <c r="L257" i="1"/>
  <c r="L256" i="1" s="1"/>
  <c r="K257" i="1"/>
  <c r="K256" i="1" s="1"/>
  <c r="J257" i="1"/>
  <c r="J256" i="1" s="1"/>
  <c r="I257" i="1"/>
  <c r="I256" i="1" s="1"/>
  <c r="H257" i="1"/>
  <c r="H256" i="1" s="1"/>
  <c r="G257" i="1"/>
  <c r="G256" i="1" s="1"/>
  <c r="F257" i="1"/>
  <c r="F256" i="1" s="1"/>
  <c r="E257" i="1"/>
  <c r="E256" i="1" s="1"/>
  <c r="E258" i="1"/>
  <c r="P258" i="1" s="1"/>
  <c r="P257" i="1" s="1"/>
  <c r="P256" i="1" s="1"/>
  <c r="G242" i="1"/>
  <c r="F93" i="1"/>
  <c r="F28" i="1"/>
  <c r="N163" i="3"/>
  <c r="J163" i="3"/>
  <c r="P233" i="1" l="1"/>
  <c r="N217" i="1"/>
  <c r="N190" i="1" s="1"/>
  <c r="L217" i="1"/>
  <c r="O217" i="1"/>
  <c r="F196" i="1"/>
  <c r="O153" i="1"/>
  <c r="K153" i="1"/>
  <c r="F160" i="1"/>
  <c r="F159" i="1"/>
  <c r="F144" i="1"/>
  <c r="O97" i="1"/>
  <c r="K97" i="1"/>
  <c r="O64" i="1"/>
  <c r="K64" i="1"/>
  <c r="F64" i="1"/>
  <c r="F21" i="1"/>
  <c r="F146" i="1"/>
  <c r="O91" i="1"/>
  <c r="K91" i="1"/>
  <c r="N55" i="3" l="1"/>
  <c r="N30" i="3" s="1"/>
  <c r="M55" i="3"/>
  <c r="M30" i="3" s="1"/>
  <c r="L55" i="3"/>
  <c r="L30" i="3" s="1"/>
  <c r="K55" i="3"/>
  <c r="K30" i="3" s="1"/>
  <c r="J55" i="3"/>
  <c r="J30" i="3" s="1"/>
  <c r="H55" i="3"/>
  <c r="H30" i="3" s="1"/>
  <c r="G55" i="3"/>
  <c r="G30" i="3" s="1"/>
  <c r="F55" i="3"/>
  <c r="F30" i="3" s="1"/>
  <c r="E55" i="3"/>
  <c r="E30" i="3" s="1"/>
  <c r="N54" i="3"/>
  <c r="M54" i="3"/>
  <c r="L54" i="3"/>
  <c r="K54" i="3"/>
  <c r="J54" i="3"/>
  <c r="H54" i="3"/>
  <c r="G54" i="3"/>
  <c r="F54" i="3"/>
  <c r="E54" i="3"/>
  <c r="J91" i="1"/>
  <c r="J92" i="1"/>
  <c r="J67" i="1" s="1"/>
  <c r="E91" i="1"/>
  <c r="D54" i="3" s="1"/>
  <c r="E92" i="1"/>
  <c r="M153" i="3"/>
  <c r="L153" i="3"/>
  <c r="K153" i="3"/>
  <c r="H153" i="3"/>
  <c r="G153" i="3"/>
  <c r="F153" i="3"/>
  <c r="E153" i="3"/>
  <c r="M152" i="3"/>
  <c r="L152" i="3"/>
  <c r="K152" i="3"/>
  <c r="H152" i="3"/>
  <c r="G152" i="3"/>
  <c r="F152" i="3"/>
  <c r="E152" i="3"/>
  <c r="O108" i="1"/>
  <c r="N108" i="1"/>
  <c r="M108" i="1"/>
  <c r="L108" i="1"/>
  <c r="K108" i="1"/>
  <c r="I108" i="1"/>
  <c r="H108" i="1"/>
  <c r="G108" i="1"/>
  <c r="F108" i="1"/>
  <c r="J131" i="1"/>
  <c r="J132" i="1"/>
  <c r="E131" i="1"/>
  <c r="E132" i="1"/>
  <c r="E108" i="1" s="1"/>
  <c r="O98" i="1"/>
  <c r="O61" i="1" s="1"/>
  <c r="K98" i="1"/>
  <c r="K61" i="1" s="1"/>
  <c r="F170" i="1"/>
  <c r="J153" i="3" l="1"/>
  <c r="N153" i="3"/>
  <c r="D55" i="3"/>
  <c r="D30" i="3" s="1"/>
  <c r="E67" i="1"/>
  <c r="P132" i="1"/>
  <c r="P108" i="1" s="1"/>
  <c r="P92" i="1"/>
  <c r="P131" i="1"/>
  <c r="J108" i="1"/>
  <c r="P91" i="1"/>
  <c r="O54" i="3" s="1"/>
  <c r="I55" i="3"/>
  <c r="I30" i="3" s="1"/>
  <c r="I54" i="3"/>
  <c r="O99" i="1"/>
  <c r="K99" i="1"/>
  <c r="O83" i="1"/>
  <c r="O55" i="3" l="1"/>
  <c r="O30" i="3" s="1"/>
  <c r="P67" i="1"/>
  <c r="D204" i="1"/>
  <c r="N199" i="3" l="1"/>
  <c r="N197" i="3" s="1"/>
  <c r="M199" i="3"/>
  <c r="M197" i="3" s="1"/>
  <c r="L199" i="3"/>
  <c r="L197" i="3" s="1"/>
  <c r="K199" i="3"/>
  <c r="K197" i="3" s="1"/>
  <c r="J199" i="3"/>
  <c r="J197" i="3" s="1"/>
  <c r="H199" i="3"/>
  <c r="H197" i="3" s="1"/>
  <c r="G199" i="3"/>
  <c r="G197" i="3" s="1"/>
  <c r="F199" i="3"/>
  <c r="F197" i="3" s="1"/>
  <c r="E199" i="3"/>
  <c r="E197" i="3" s="1"/>
  <c r="J102" i="1"/>
  <c r="I199" i="3" s="1"/>
  <c r="I197" i="3" s="1"/>
  <c r="E102" i="1"/>
  <c r="P102" i="1" l="1"/>
  <c r="O199" i="3" s="1"/>
  <c r="O197" i="3" s="1"/>
  <c r="D199" i="3"/>
  <c r="D197" i="3" s="1"/>
  <c r="F116" i="1"/>
  <c r="G84" i="1" l="1"/>
  <c r="G60" i="1" s="1"/>
  <c r="N168" i="3" l="1"/>
  <c r="N165" i="3" s="1"/>
  <c r="N138" i="3" s="1"/>
  <c r="N207" i="3" s="1"/>
  <c r="M168" i="3"/>
  <c r="M165" i="3" s="1"/>
  <c r="M138" i="3" s="1"/>
  <c r="M207" i="3" s="1"/>
  <c r="L168" i="3"/>
  <c r="L165" i="3" s="1"/>
  <c r="L138" i="3" s="1"/>
  <c r="L207" i="3" s="1"/>
  <c r="K168" i="3"/>
  <c r="K165" i="3" s="1"/>
  <c r="K138" i="3" s="1"/>
  <c r="K207" i="3" s="1"/>
  <c r="J168" i="3"/>
  <c r="J165" i="3" s="1"/>
  <c r="J138" i="3" s="1"/>
  <c r="J207" i="3" s="1"/>
  <c r="H168" i="3"/>
  <c r="H165" i="3" s="1"/>
  <c r="H138" i="3" s="1"/>
  <c r="H207" i="3" s="1"/>
  <c r="G168" i="3"/>
  <c r="G165" i="3" s="1"/>
  <c r="G138" i="3" s="1"/>
  <c r="G207" i="3" s="1"/>
  <c r="F168" i="3"/>
  <c r="F165" i="3" s="1"/>
  <c r="F138" i="3" s="1"/>
  <c r="F207" i="3" s="1"/>
  <c r="E168" i="3"/>
  <c r="E165" i="3" s="1"/>
  <c r="E138" i="3" s="1"/>
  <c r="E207" i="3" s="1"/>
  <c r="O112" i="1" l="1"/>
  <c r="O273" i="1" s="1"/>
  <c r="O279" i="1" s="1"/>
  <c r="N112" i="1"/>
  <c r="M112" i="1"/>
  <c r="M273" i="1" s="1"/>
  <c r="M279" i="1" s="1"/>
  <c r="L112" i="1"/>
  <c r="K112" i="1"/>
  <c r="K273" i="1" s="1"/>
  <c r="K279" i="1" s="1"/>
  <c r="I112" i="1"/>
  <c r="H112" i="1"/>
  <c r="H273" i="1" s="1"/>
  <c r="H279" i="1" s="1"/>
  <c r="G112" i="1"/>
  <c r="F112" i="1"/>
  <c r="F273" i="1" s="1"/>
  <c r="F279" i="1" s="1"/>
  <c r="O224" i="1"/>
  <c r="N224" i="1"/>
  <c r="M224" i="1"/>
  <c r="L224" i="1"/>
  <c r="K224" i="1"/>
  <c r="I224" i="1"/>
  <c r="H224" i="1"/>
  <c r="G224" i="1"/>
  <c r="F224" i="1"/>
  <c r="E224" i="1"/>
  <c r="G273" i="1" l="1"/>
  <c r="G279" i="1" s="1"/>
  <c r="I273" i="1"/>
  <c r="I279" i="1" s="1"/>
  <c r="L273" i="1"/>
  <c r="L279" i="1" s="1"/>
  <c r="N273" i="1"/>
  <c r="N279" i="1" s="1"/>
  <c r="N202" i="3"/>
  <c r="M202" i="3"/>
  <c r="L202" i="3"/>
  <c r="K202" i="3"/>
  <c r="J202" i="3"/>
  <c r="H202" i="3"/>
  <c r="G202" i="3"/>
  <c r="F202" i="3"/>
  <c r="N198" i="3"/>
  <c r="N196" i="3" s="1"/>
  <c r="M198" i="3"/>
  <c r="M196" i="3" s="1"/>
  <c r="L198" i="3"/>
  <c r="L196" i="3" s="1"/>
  <c r="K198" i="3"/>
  <c r="K196" i="3" s="1"/>
  <c r="J198" i="3"/>
  <c r="J196" i="3" s="1"/>
  <c r="H198" i="3"/>
  <c r="H196" i="3" s="1"/>
  <c r="G198" i="3"/>
  <c r="G196" i="3" s="1"/>
  <c r="F198" i="3"/>
  <c r="F196" i="3" s="1"/>
  <c r="E198" i="3"/>
  <c r="E196" i="3" s="1"/>
  <c r="J101" i="1"/>
  <c r="I198" i="3" s="1"/>
  <c r="I196" i="3" s="1"/>
  <c r="E101" i="1"/>
  <c r="J103" i="1"/>
  <c r="E103" i="1"/>
  <c r="E202" i="3"/>
  <c r="P101" i="1" l="1"/>
  <c r="O198" i="3" s="1"/>
  <c r="O196" i="3" s="1"/>
  <c r="P103" i="1"/>
  <c r="D198" i="3"/>
  <c r="D196" i="3" s="1"/>
  <c r="I212" i="1"/>
  <c r="F212" i="1"/>
  <c r="O129" i="1"/>
  <c r="K129" i="1"/>
  <c r="H31" i="1"/>
  <c r="G31" i="1"/>
  <c r="F22" i="1"/>
  <c r="H183" i="1"/>
  <c r="F118" i="1"/>
  <c r="H95" i="1"/>
  <c r="H82" i="1"/>
  <c r="H59" i="1"/>
  <c r="H54" i="1"/>
  <c r="F54" i="1"/>
  <c r="H52" i="1"/>
  <c r="H38" i="1"/>
  <c r="H21" i="1"/>
  <c r="O213" i="1"/>
  <c r="K213" i="1"/>
  <c r="F48" i="1"/>
  <c r="E163" i="3"/>
  <c r="F34" i="1"/>
  <c r="F33" i="1"/>
  <c r="O244" i="1"/>
  <c r="L244" i="1"/>
  <c r="G20" i="3" l="1"/>
  <c r="H19" i="1"/>
  <c r="M144" i="3"/>
  <c r="L144" i="3"/>
  <c r="K144" i="3"/>
  <c r="H144" i="3"/>
  <c r="G144" i="3"/>
  <c r="F144" i="3"/>
  <c r="E144" i="3"/>
  <c r="M147" i="3"/>
  <c r="L147" i="3"/>
  <c r="K147" i="3"/>
  <c r="H147" i="3"/>
  <c r="G147" i="3"/>
  <c r="F147" i="3"/>
  <c r="E147" i="3"/>
  <c r="N146" i="3" l="1"/>
  <c r="M146" i="3"/>
  <c r="L146" i="3"/>
  <c r="K146" i="3"/>
  <c r="J146" i="3"/>
  <c r="H146" i="3"/>
  <c r="G146" i="3"/>
  <c r="F146" i="3"/>
  <c r="E146" i="3"/>
  <c r="M145" i="3"/>
  <c r="L145" i="3"/>
  <c r="K145" i="3"/>
  <c r="H145" i="3"/>
  <c r="G145" i="3"/>
  <c r="F145" i="3"/>
  <c r="E145" i="3"/>
  <c r="M148" i="3"/>
  <c r="L148" i="3"/>
  <c r="K148" i="3"/>
  <c r="H148" i="3"/>
  <c r="G148" i="3"/>
  <c r="F148" i="3"/>
  <c r="E148" i="3"/>
  <c r="O82" i="1" l="1"/>
  <c r="K82" i="1"/>
  <c r="O37" i="1" l="1"/>
  <c r="K37" i="1"/>
  <c r="J171" i="1"/>
  <c r="E171" i="1"/>
  <c r="D146" i="3" s="1"/>
  <c r="J129" i="1"/>
  <c r="E129" i="1"/>
  <c r="O106" i="1"/>
  <c r="O87" i="1"/>
  <c r="K87" i="1"/>
  <c r="E41" i="1"/>
  <c r="E40" i="1"/>
  <c r="D147" i="3" s="1"/>
  <c r="J41" i="1"/>
  <c r="P41" i="1" s="1"/>
  <c r="J40" i="1"/>
  <c r="P40" i="1" s="1"/>
  <c r="P129" i="1" l="1"/>
  <c r="P171" i="1"/>
  <c r="O146" i="3" s="1"/>
  <c r="I146" i="3"/>
  <c r="O254" i="1"/>
  <c r="K254" i="1"/>
  <c r="O228" i="1"/>
  <c r="K228" i="1"/>
  <c r="N144" i="3"/>
  <c r="J144" i="3"/>
  <c r="N148" i="3"/>
  <c r="J148" i="3"/>
  <c r="F99" i="1"/>
  <c r="F59" i="1" s="1"/>
  <c r="E134" i="1" l="1"/>
  <c r="J134" i="1"/>
  <c r="J112" i="1" l="1"/>
  <c r="D168" i="3"/>
  <c r="D165" i="3" s="1"/>
  <c r="D138" i="3" s="1"/>
  <c r="D207" i="3" s="1"/>
  <c r="E112" i="1"/>
  <c r="E273" i="1" s="1"/>
  <c r="P134" i="1"/>
  <c r="J238" i="1"/>
  <c r="J224" i="1" s="1"/>
  <c r="E279" i="1" l="1"/>
  <c r="J273" i="1"/>
  <c r="I168" i="3"/>
  <c r="I165" i="3" s="1"/>
  <c r="I138" i="3" s="1"/>
  <c r="I207" i="3" s="1"/>
  <c r="P112" i="1"/>
  <c r="P238" i="1"/>
  <c r="P224" i="1" s="1"/>
  <c r="N161" i="3"/>
  <c r="M161" i="3"/>
  <c r="L161" i="3"/>
  <c r="K161" i="3"/>
  <c r="J161" i="3"/>
  <c r="H161" i="3"/>
  <c r="G161" i="3"/>
  <c r="F161" i="3"/>
  <c r="E161" i="3"/>
  <c r="N112" i="3"/>
  <c r="M112" i="3"/>
  <c r="L112" i="3"/>
  <c r="K112" i="3"/>
  <c r="J112" i="3"/>
  <c r="H112" i="3"/>
  <c r="G112" i="3"/>
  <c r="F112" i="3"/>
  <c r="N100" i="3"/>
  <c r="M100" i="3"/>
  <c r="L100" i="3"/>
  <c r="K100" i="3"/>
  <c r="J100" i="3"/>
  <c r="H100" i="3"/>
  <c r="G100" i="3"/>
  <c r="F100" i="3"/>
  <c r="E100" i="3"/>
  <c r="N98" i="3"/>
  <c r="M98" i="3"/>
  <c r="L98" i="3"/>
  <c r="K98" i="3"/>
  <c r="J98" i="3"/>
  <c r="H98" i="3"/>
  <c r="G98" i="3"/>
  <c r="F98" i="3"/>
  <c r="E98" i="3"/>
  <c r="N89" i="3"/>
  <c r="M89" i="3"/>
  <c r="L89" i="3"/>
  <c r="K89" i="3"/>
  <c r="J89" i="3"/>
  <c r="H89" i="3"/>
  <c r="G89" i="3"/>
  <c r="F89" i="3"/>
  <c r="E89" i="3"/>
  <c r="N87" i="3"/>
  <c r="M87" i="3"/>
  <c r="L87" i="3"/>
  <c r="K87" i="3"/>
  <c r="J87" i="3"/>
  <c r="H87" i="3"/>
  <c r="G87" i="3"/>
  <c r="F87" i="3"/>
  <c r="E87" i="3"/>
  <c r="N83" i="3"/>
  <c r="M83" i="3"/>
  <c r="L83" i="3"/>
  <c r="K83" i="3"/>
  <c r="J83" i="3"/>
  <c r="H83" i="3"/>
  <c r="G83" i="3"/>
  <c r="F83" i="3"/>
  <c r="N73" i="3"/>
  <c r="M73" i="3"/>
  <c r="L73" i="3"/>
  <c r="K73" i="3"/>
  <c r="J73" i="3"/>
  <c r="H73" i="3"/>
  <c r="G73" i="3"/>
  <c r="F73" i="3"/>
  <c r="E73" i="3"/>
  <c r="N72" i="3"/>
  <c r="M72" i="3"/>
  <c r="L72" i="3"/>
  <c r="K72" i="3"/>
  <c r="J72" i="3"/>
  <c r="H72" i="3"/>
  <c r="G72" i="3"/>
  <c r="F72" i="3"/>
  <c r="E72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H68" i="3"/>
  <c r="G68" i="3"/>
  <c r="F68" i="3"/>
  <c r="E68" i="3"/>
  <c r="N66" i="3"/>
  <c r="M66" i="3"/>
  <c r="L66" i="3"/>
  <c r="K66" i="3"/>
  <c r="J66" i="3"/>
  <c r="I66" i="3"/>
  <c r="H66" i="3"/>
  <c r="G66" i="3"/>
  <c r="F66" i="3"/>
  <c r="E66" i="3"/>
  <c r="N64" i="3"/>
  <c r="M64" i="3"/>
  <c r="L64" i="3"/>
  <c r="K64" i="3"/>
  <c r="J64" i="3"/>
  <c r="H64" i="3"/>
  <c r="G64" i="3"/>
  <c r="F64" i="3"/>
  <c r="E64" i="3"/>
  <c r="N63" i="3"/>
  <c r="M63" i="3"/>
  <c r="L63" i="3"/>
  <c r="K63" i="3"/>
  <c r="J63" i="3"/>
  <c r="H63" i="3"/>
  <c r="G63" i="3"/>
  <c r="F63" i="3"/>
  <c r="N62" i="3"/>
  <c r="M62" i="3"/>
  <c r="L62" i="3"/>
  <c r="K62" i="3"/>
  <c r="J62" i="3"/>
  <c r="H62" i="3"/>
  <c r="G62" i="3"/>
  <c r="F62" i="3"/>
  <c r="E62" i="3"/>
  <c r="N53" i="3"/>
  <c r="M53" i="3"/>
  <c r="L53" i="3"/>
  <c r="K53" i="3"/>
  <c r="J53" i="3"/>
  <c r="H53" i="3"/>
  <c r="G53" i="3"/>
  <c r="F53" i="3"/>
  <c r="E53" i="3"/>
  <c r="N47" i="3"/>
  <c r="M47" i="3"/>
  <c r="L47" i="3"/>
  <c r="K47" i="3"/>
  <c r="J47" i="3"/>
  <c r="H47" i="3"/>
  <c r="G47" i="3"/>
  <c r="F47" i="3"/>
  <c r="E47" i="3"/>
  <c r="N43" i="3"/>
  <c r="M43" i="3"/>
  <c r="L43" i="3"/>
  <c r="K43" i="3"/>
  <c r="J43" i="3"/>
  <c r="H43" i="3"/>
  <c r="G43" i="3"/>
  <c r="F43" i="3"/>
  <c r="E43" i="3"/>
  <c r="N42" i="3"/>
  <c r="M42" i="3"/>
  <c r="L42" i="3"/>
  <c r="K42" i="3"/>
  <c r="J42" i="3"/>
  <c r="H42" i="3"/>
  <c r="G42" i="3"/>
  <c r="F42" i="3"/>
  <c r="E42" i="3"/>
  <c r="N39" i="3"/>
  <c r="M39" i="3"/>
  <c r="M29" i="3" s="1"/>
  <c r="L39" i="3"/>
  <c r="K39" i="3"/>
  <c r="K29" i="3" s="1"/>
  <c r="J39" i="3"/>
  <c r="H39" i="3"/>
  <c r="H29" i="3" s="1"/>
  <c r="G39" i="3"/>
  <c r="F39" i="3"/>
  <c r="F29" i="3" s="1"/>
  <c r="N38" i="3"/>
  <c r="M38" i="3"/>
  <c r="L38" i="3"/>
  <c r="K38" i="3"/>
  <c r="J38" i="3"/>
  <c r="H38" i="3"/>
  <c r="G38" i="3"/>
  <c r="F38" i="3"/>
  <c r="E38" i="3"/>
  <c r="N37" i="3"/>
  <c r="M37" i="3"/>
  <c r="L37" i="3"/>
  <c r="K37" i="3"/>
  <c r="J37" i="3"/>
  <c r="H37" i="3"/>
  <c r="G37" i="3"/>
  <c r="F37" i="3"/>
  <c r="E37" i="3"/>
  <c r="N36" i="3"/>
  <c r="N27" i="3" s="1"/>
  <c r="M36" i="3"/>
  <c r="M27" i="3" s="1"/>
  <c r="L36" i="3"/>
  <c r="L27" i="3" s="1"/>
  <c r="K36" i="3"/>
  <c r="K27" i="3" s="1"/>
  <c r="J36" i="3"/>
  <c r="J27" i="3" s="1"/>
  <c r="H36" i="3"/>
  <c r="H27" i="3" s="1"/>
  <c r="G36" i="3"/>
  <c r="G27" i="3" s="1"/>
  <c r="F36" i="3"/>
  <c r="F27" i="3" s="1"/>
  <c r="E36" i="3"/>
  <c r="E27" i="3" s="1"/>
  <c r="N35" i="3"/>
  <c r="M35" i="3"/>
  <c r="L35" i="3"/>
  <c r="K35" i="3"/>
  <c r="J35" i="3"/>
  <c r="H35" i="3"/>
  <c r="G35" i="3"/>
  <c r="F35" i="3"/>
  <c r="E35" i="3"/>
  <c r="N34" i="3"/>
  <c r="M34" i="3"/>
  <c r="L34" i="3"/>
  <c r="K34" i="3"/>
  <c r="J34" i="3"/>
  <c r="H34" i="3"/>
  <c r="G34" i="3"/>
  <c r="F34" i="3"/>
  <c r="E34" i="3"/>
  <c r="N32" i="3"/>
  <c r="N28" i="3" s="1"/>
  <c r="M32" i="3"/>
  <c r="M28" i="3" s="1"/>
  <c r="L32" i="3"/>
  <c r="L28" i="3" s="1"/>
  <c r="K32" i="3"/>
  <c r="K28" i="3" s="1"/>
  <c r="J32" i="3"/>
  <c r="J28" i="3" s="1"/>
  <c r="H32" i="3"/>
  <c r="G32" i="3"/>
  <c r="F32" i="3"/>
  <c r="E32" i="3"/>
  <c r="J75" i="1"/>
  <c r="E75" i="1"/>
  <c r="J74" i="1"/>
  <c r="J64" i="1" s="1"/>
  <c r="E74" i="1"/>
  <c r="E64" i="1" s="1"/>
  <c r="J73" i="1"/>
  <c r="J72" i="1"/>
  <c r="J62" i="1" s="1"/>
  <c r="E72" i="1"/>
  <c r="E62" i="1" s="1"/>
  <c r="O191" i="1"/>
  <c r="N191" i="1"/>
  <c r="M191" i="1"/>
  <c r="L191" i="1"/>
  <c r="K191" i="1"/>
  <c r="I191" i="1"/>
  <c r="H191" i="1"/>
  <c r="G191" i="1"/>
  <c r="F191" i="1"/>
  <c r="O107" i="1"/>
  <c r="O270" i="1" s="1"/>
  <c r="N107" i="1"/>
  <c r="M107" i="1"/>
  <c r="M270" i="1" s="1"/>
  <c r="L107" i="1"/>
  <c r="K107" i="1"/>
  <c r="K270" i="1" s="1"/>
  <c r="I107" i="1"/>
  <c r="H107" i="1"/>
  <c r="H270" i="1" s="1"/>
  <c r="G107" i="1"/>
  <c r="F107" i="1"/>
  <c r="F270" i="1" s="1"/>
  <c r="F25" i="3" l="1"/>
  <c r="F205" i="3" s="1"/>
  <c r="H25" i="3"/>
  <c r="H205" i="3" s="1"/>
  <c r="K25" i="3"/>
  <c r="K205" i="3" s="1"/>
  <c r="M25" i="3"/>
  <c r="M205" i="3" s="1"/>
  <c r="E25" i="3"/>
  <c r="E205" i="3" s="1"/>
  <c r="G25" i="3"/>
  <c r="G205" i="3" s="1"/>
  <c r="J25" i="3"/>
  <c r="J205" i="3" s="1"/>
  <c r="L25" i="3"/>
  <c r="L205" i="3" s="1"/>
  <c r="N25" i="3"/>
  <c r="N205" i="3" s="1"/>
  <c r="J279" i="1"/>
  <c r="G270" i="1"/>
  <c r="I270" i="1"/>
  <c r="L270" i="1"/>
  <c r="N270" i="1"/>
  <c r="I35" i="3"/>
  <c r="F24" i="3"/>
  <c r="H24" i="3"/>
  <c r="K24" i="3"/>
  <c r="M24" i="3"/>
  <c r="E24" i="3"/>
  <c r="G24" i="3"/>
  <c r="J24" i="3"/>
  <c r="L24" i="3"/>
  <c r="N24" i="3"/>
  <c r="P273" i="1"/>
  <c r="O168" i="3"/>
  <c r="O165" i="3" s="1"/>
  <c r="O138" i="3" s="1"/>
  <c r="O207" i="3" s="1"/>
  <c r="E26" i="3"/>
  <c r="G26" i="3"/>
  <c r="F26" i="3"/>
  <c r="H26" i="3"/>
  <c r="K26" i="3"/>
  <c r="M26" i="3"/>
  <c r="E28" i="3"/>
  <c r="G28" i="3"/>
  <c r="F28" i="3"/>
  <c r="H28" i="3"/>
  <c r="I34" i="3"/>
  <c r="I36" i="3"/>
  <c r="I27" i="3" s="1"/>
  <c r="I37" i="3"/>
  <c r="J26" i="3"/>
  <c r="L26" i="3"/>
  <c r="N26" i="3"/>
  <c r="G29" i="3"/>
  <c r="J29" i="3"/>
  <c r="L29" i="3"/>
  <c r="N29" i="3"/>
  <c r="P72" i="1"/>
  <c r="P62" i="1" s="1"/>
  <c r="D34" i="3"/>
  <c r="P73" i="1"/>
  <c r="D35" i="3"/>
  <c r="P74" i="1"/>
  <c r="P64" i="1" s="1"/>
  <c r="D36" i="3"/>
  <c r="D27" i="3" s="1"/>
  <c r="P75" i="1"/>
  <c r="O37" i="3" s="1"/>
  <c r="D37" i="3"/>
  <c r="I25" i="3" l="1"/>
  <c r="I205" i="3" s="1"/>
  <c r="D25" i="3"/>
  <c r="D205" i="3" s="1"/>
  <c r="P279" i="1"/>
  <c r="O36" i="3"/>
  <c r="O27" i="3" s="1"/>
  <c r="O35" i="3"/>
  <c r="O34" i="3"/>
  <c r="O192" i="1"/>
  <c r="N192" i="1"/>
  <c r="M192" i="1"/>
  <c r="L192" i="1"/>
  <c r="K192" i="1"/>
  <c r="I192" i="1"/>
  <c r="H192" i="1"/>
  <c r="G192" i="1"/>
  <c r="F192" i="1"/>
  <c r="O25" i="3" l="1"/>
  <c r="O205" i="3" s="1"/>
  <c r="O110" i="1"/>
  <c r="N110" i="1"/>
  <c r="M110" i="1"/>
  <c r="L110" i="1"/>
  <c r="K110" i="1"/>
  <c r="I110" i="1"/>
  <c r="H110" i="1"/>
  <c r="G110" i="1"/>
  <c r="F110" i="1"/>
  <c r="O109" i="1"/>
  <c r="N109" i="1"/>
  <c r="M109" i="1"/>
  <c r="L109" i="1"/>
  <c r="K109" i="1"/>
  <c r="I109" i="1"/>
  <c r="H109" i="1"/>
  <c r="G109" i="1"/>
  <c r="O271" i="1"/>
  <c r="O277" i="1" s="1"/>
  <c r="N271" i="1"/>
  <c r="N277" i="1" s="1"/>
  <c r="M271" i="1"/>
  <c r="M277" i="1" s="1"/>
  <c r="L271" i="1"/>
  <c r="L277" i="1" s="1"/>
  <c r="K271" i="1"/>
  <c r="K277" i="1" s="1"/>
  <c r="I271" i="1"/>
  <c r="I277" i="1" s="1"/>
  <c r="H271" i="1"/>
  <c r="H277" i="1" s="1"/>
  <c r="G271" i="1"/>
  <c r="G277" i="1" s="1"/>
  <c r="F271" i="1"/>
  <c r="F277" i="1" s="1"/>
  <c r="O139" i="1" l="1"/>
  <c r="N139" i="1"/>
  <c r="M139" i="1"/>
  <c r="L139" i="1"/>
  <c r="K139" i="1"/>
  <c r="I139" i="1"/>
  <c r="H139" i="1"/>
  <c r="G139" i="1"/>
  <c r="O111" i="1"/>
  <c r="N111" i="1"/>
  <c r="M111" i="1"/>
  <c r="L111" i="1"/>
  <c r="K111" i="1"/>
  <c r="I111" i="1"/>
  <c r="H111" i="1"/>
  <c r="G111" i="1"/>
  <c r="F111" i="1"/>
  <c r="J117" i="1"/>
  <c r="E117" i="1"/>
  <c r="J116" i="1"/>
  <c r="I63" i="3" s="1"/>
  <c r="J115" i="1"/>
  <c r="I62" i="3" s="1"/>
  <c r="E115" i="1"/>
  <c r="D62" i="3" s="1"/>
  <c r="J121" i="1"/>
  <c r="I68" i="3" s="1"/>
  <c r="E121" i="1"/>
  <c r="D68" i="3" s="1"/>
  <c r="E119" i="1"/>
  <c r="F109" i="1" l="1"/>
  <c r="E63" i="3"/>
  <c r="P119" i="1"/>
  <c r="O66" i="3" s="1"/>
  <c r="D66" i="3"/>
  <c r="J110" i="1"/>
  <c r="I64" i="3"/>
  <c r="E110" i="1"/>
  <c r="D64" i="3"/>
  <c r="E107" i="1"/>
  <c r="J107" i="1"/>
  <c r="E116" i="1"/>
  <c r="P121" i="1"/>
  <c r="O68" i="3" s="1"/>
  <c r="P115" i="1"/>
  <c r="O62" i="3" s="1"/>
  <c r="P117" i="1"/>
  <c r="P110" i="1" l="1"/>
  <c r="O64" i="3"/>
  <c r="P116" i="1"/>
  <c r="O63" i="3" s="1"/>
  <c r="D63" i="3"/>
  <c r="P107" i="1"/>
  <c r="N156" i="3"/>
  <c r="N137" i="3" s="1"/>
  <c r="M156" i="3"/>
  <c r="M137" i="3" s="1"/>
  <c r="L156" i="3"/>
  <c r="L137" i="3" s="1"/>
  <c r="K156" i="3"/>
  <c r="K137" i="3" s="1"/>
  <c r="J156" i="3"/>
  <c r="J137" i="3" s="1"/>
  <c r="H156" i="3"/>
  <c r="H137" i="3" s="1"/>
  <c r="G156" i="3"/>
  <c r="G137" i="3" s="1"/>
  <c r="F156" i="3"/>
  <c r="F137" i="3" s="1"/>
  <c r="E156" i="3"/>
  <c r="E137" i="3" s="1"/>
  <c r="N142" i="3"/>
  <c r="N136" i="3" s="1"/>
  <c r="M142" i="3"/>
  <c r="M136" i="3" s="1"/>
  <c r="L142" i="3"/>
  <c r="L136" i="3" s="1"/>
  <c r="K142" i="3"/>
  <c r="K136" i="3" s="1"/>
  <c r="J142" i="3"/>
  <c r="J136" i="3" s="1"/>
  <c r="H142" i="3"/>
  <c r="H136" i="3" s="1"/>
  <c r="G142" i="3"/>
  <c r="G136" i="3" s="1"/>
  <c r="F142" i="3"/>
  <c r="F136" i="3" s="1"/>
  <c r="E142" i="3"/>
  <c r="E136" i="3" s="1"/>
  <c r="N59" i="3"/>
  <c r="M59" i="3"/>
  <c r="L59" i="3"/>
  <c r="K59" i="3"/>
  <c r="J59" i="3"/>
  <c r="H59" i="3"/>
  <c r="G59" i="3"/>
  <c r="F59" i="3"/>
  <c r="E59" i="3"/>
  <c r="N60" i="3"/>
  <c r="M60" i="3"/>
  <c r="L60" i="3"/>
  <c r="K60" i="3"/>
  <c r="J60" i="3"/>
  <c r="H60" i="3"/>
  <c r="G60" i="3"/>
  <c r="F60" i="3"/>
  <c r="E60" i="3"/>
  <c r="N58" i="3"/>
  <c r="M58" i="3"/>
  <c r="L58" i="3"/>
  <c r="K58" i="3"/>
  <c r="J58" i="3"/>
  <c r="H58" i="3"/>
  <c r="G58" i="3"/>
  <c r="F58" i="3"/>
  <c r="H57" i="3"/>
  <c r="H204" i="3" s="1"/>
  <c r="I276" i="1" s="1"/>
  <c r="G57" i="3"/>
  <c r="G204" i="3" s="1"/>
  <c r="H276" i="1" s="1"/>
  <c r="F57" i="3"/>
  <c r="F204" i="3" s="1"/>
  <c r="G276" i="1" s="1"/>
  <c r="E57" i="3"/>
  <c r="E204" i="3" s="1"/>
  <c r="F276" i="1" s="1"/>
  <c r="F77" i="3" l="1"/>
  <c r="H77" i="3"/>
  <c r="M77" i="3"/>
  <c r="K77" i="3"/>
  <c r="K57" i="3"/>
  <c r="K204" i="3" s="1"/>
  <c r="L276" i="1" s="1"/>
  <c r="M57" i="3"/>
  <c r="M204" i="3" s="1"/>
  <c r="N276" i="1" s="1"/>
  <c r="G77" i="3"/>
  <c r="J77" i="3"/>
  <c r="L77" i="3"/>
  <c r="N77" i="3"/>
  <c r="J57" i="3"/>
  <c r="J204" i="3" s="1"/>
  <c r="K276" i="1" s="1"/>
  <c r="L57" i="3"/>
  <c r="L204" i="3" s="1"/>
  <c r="M276" i="1" s="1"/>
  <c r="N57" i="3"/>
  <c r="N204" i="3" s="1"/>
  <c r="O276" i="1" s="1"/>
  <c r="J210" i="1"/>
  <c r="E210" i="1"/>
  <c r="D161" i="3" s="1"/>
  <c r="J208" i="1"/>
  <c r="J191" i="1" s="1"/>
  <c r="E208" i="1"/>
  <c r="E191" i="1" s="1"/>
  <c r="J170" i="1"/>
  <c r="I112" i="3" s="1"/>
  <c r="J158" i="1"/>
  <c r="I100" i="3" s="1"/>
  <c r="E158" i="1"/>
  <c r="D100" i="3" s="1"/>
  <c r="J156" i="1"/>
  <c r="I98" i="3" s="1"/>
  <c r="E156" i="1"/>
  <c r="D98" i="3" s="1"/>
  <c r="J152" i="1"/>
  <c r="I89" i="3" s="1"/>
  <c r="E152" i="1"/>
  <c r="D89" i="3" s="1"/>
  <c r="J150" i="1"/>
  <c r="I87" i="3" s="1"/>
  <c r="E150" i="1"/>
  <c r="D87" i="3" s="1"/>
  <c r="J146" i="1"/>
  <c r="J126" i="1"/>
  <c r="I73" i="3" s="1"/>
  <c r="E126" i="1"/>
  <c r="D73" i="3" s="1"/>
  <c r="J125" i="1"/>
  <c r="E125" i="1"/>
  <c r="J123" i="1"/>
  <c r="I70" i="3" s="1"/>
  <c r="E123" i="1"/>
  <c r="D70" i="3" s="1"/>
  <c r="J98" i="1"/>
  <c r="E98" i="1"/>
  <c r="J90" i="1"/>
  <c r="J63" i="1" s="1"/>
  <c r="E90" i="1"/>
  <c r="E63" i="1" s="1"/>
  <c r="J84" i="1"/>
  <c r="E84" i="1"/>
  <c r="E60" i="1" s="1"/>
  <c r="J81" i="1"/>
  <c r="I43" i="3" s="1"/>
  <c r="E81" i="1"/>
  <c r="D43" i="3" s="1"/>
  <c r="J80" i="1"/>
  <c r="I42" i="3" s="1"/>
  <c r="E80" i="1"/>
  <c r="D42" i="3" s="1"/>
  <c r="J77" i="1"/>
  <c r="J66" i="1" s="1"/>
  <c r="F66" i="1"/>
  <c r="J76" i="1"/>
  <c r="J60" i="1" s="1"/>
  <c r="E76" i="1"/>
  <c r="I153" i="3" l="1"/>
  <c r="J61" i="1"/>
  <c r="J270" i="1" s="1"/>
  <c r="D153" i="3"/>
  <c r="E61" i="1"/>
  <c r="E270" i="1" s="1"/>
  <c r="I47" i="3"/>
  <c r="D47" i="3"/>
  <c r="E39" i="3"/>
  <c r="E29" i="3" s="1"/>
  <c r="E146" i="1"/>
  <c r="D83" i="3" s="1"/>
  <c r="E83" i="3"/>
  <c r="E170" i="1"/>
  <c r="P170" i="1" s="1"/>
  <c r="O112" i="3" s="1"/>
  <c r="E112" i="3"/>
  <c r="D112" i="3"/>
  <c r="J139" i="1"/>
  <c r="I83" i="3"/>
  <c r="J192" i="1"/>
  <c r="I161" i="3"/>
  <c r="D38" i="3"/>
  <c r="D53" i="3"/>
  <c r="D26" i="3" s="1"/>
  <c r="E109" i="1"/>
  <c r="D72" i="3"/>
  <c r="I38" i="3"/>
  <c r="I24" i="3" s="1"/>
  <c r="I39" i="3"/>
  <c r="I29" i="3" s="1"/>
  <c r="I53" i="3"/>
  <c r="I26" i="3" s="1"/>
  <c r="J109" i="1"/>
  <c r="I72" i="3"/>
  <c r="P210" i="1"/>
  <c r="E192" i="1"/>
  <c r="P208" i="1"/>
  <c r="P191" i="1" s="1"/>
  <c r="E111" i="1"/>
  <c r="J111" i="1"/>
  <c r="E271" i="1"/>
  <c r="E277" i="1" s="1"/>
  <c r="J271" i="1"/>
  <c r="J277" i="1" s="1"/>
  <c r="E77" i="1"/>
  <c r="E66" i="1" s="1"/>
  <c r="F139" i="1"/>
  <c r="P150" i="1"/>
  <c r="O87" i="3" s="1"/>
  <c r="P152" i="1"/>
  <c r="O89" i="3" s="1"/>
  <c r="P156" i="1"/>
  <c r="O98" i="3" s="1"/>
  <c r="P158" i="1"/>
  <c r="O100" i="3" s="1"/>
  <c r="P123" i="1"/>
  <c r="O70" i="3" s="1"/>
  <c r="P125" i="1"/>
  <c r="P126" i="1"/>
  <c r="O73" i="3" s="1"/>
  <c r="P80" i="1"/>
  <c r="O42" i="3" s="1"/>
  <c r="P81" i="1"/>
  <c r="O43" i="3" s="1"/>
  <c r="P84" i="1"/>
  <c r="P90" i="1"/>
  <c r="P63" i="1" s="1"/>
  <c r="P98" i="1"/>
  <c r="P61" i="1" s="1"/>
  <c r="P76" i="1"/>
  <c r="P60" i="1" l="1"/>
  <c r="P270" i="1" s="1"/>
  <c r="P146" i="1"/>
  <c r="O83" i="3" s="1"/>
  <c r="D24" i="3"/>
  <c r="O38" i="3"/>
  <c r="O153" i="3"/>
  <c r="E139" i="1"/>
  <c r="O47" i="3"/>
  <c r="P192" i="1"/>
  <c r="O161" i="3"/>
  <c r="P109" i="1"/>
  <c r="O72" i="3"/>
  <c r="O53" i="3"/>
  <c r="O26" i="3" s="1"/>
  <c r="D39" i="3"/>
  <c r="D29" i="3" s="1"/>
  <c r="P77" i="1"/>
  <c r="P66" i="1" s="1"/>
  <c r="P271" i="1"/>
  <c r="P277" i="1" s="1"/>
  <c r="P111" i="1"/>
  <c r="J70" i="1"/>
  <c r="J65" i="1" s="1"/>
  <c r="E70" i="1"/>
  <c r="E65" i="1" s="1"/>
  <c r="P139" i="1" l="1"/>
  <c r="O24" i="3"/>
  <c r="I32" i="3"/>
  <c r="I28" i="3" s="1"/>
  <c r="D32" i="3"/>
  <c r="D28" i="3" s="1"/>
  <c r="O39" i="3"/>
  <c r="O29" i="3" s="1"/>
  <c r="P70" i="1"/>
  <c r="P65" i="1" s="1"/>
  <c r="C180" i="3"/>
  <c r="N183" i="3"/>
  <c r="N180" i="3" s="1"/>
  <c r="N178" i="3" s="1"/>
  <c r="N206" i="3" s="1"/>
  <c r="M183" i="3"/>
  <c r="M180" i="3" s="1"/>
  <c r="M178" i="3" s="1"/>
  <c r="M206" i="3" s="1"/>
  <c r="L183" i="3"/>
  <c r="L180" i="3" s="1"/>
  <c r="L178" i="3" s="1"/>
  <c r="L206" i="3" s="1"/>
  <c r="K183" i="3"/>
  <c r="K180" i="3" s="1"/>
  <c r="K178" i="3" s="1"/>
  <c r="K206" i="3" s="1"/>
  <c r="J183" i="3"/>
  <c r="J180" i="3" s="1"/>
  <c r="J178" i="3" s="1"/>
  <c r="J206" i="3" s="1"/>
  <c r="H183" i="3"/>
  <c r="H180" i="3" s="1"/>
  <c r="H178" i="3" s="1"/>
  <c r="H206" i="3" s="1"/>
  <c r="G183" i="3"/>
  <c r="G180" i="3" s="1"/>
  <c r="G178" i="3" s="1"/>
  <c r="G206" i="3" s="1"/>
  <c r="F183" i="3"/>
  <c r="F180" i="3" s="1"/>
  <c r="F178" i="3" s="1"/>
  <c r="F206" i="3" s="1"/>
  <c r="E183" i="3"/>
  <c r="E180" i="3" s="1"/>
  <c r="E178" i="3" s="1"/>
  <c r="D53" i="1"/>
  <c r="O20" i="1"/>
  <c r="O272" i="1" s="1"/>
  <c r="N20" i="1"/>
  <c r="N272" i="1" s="1"/>
  <c r="M20" i="1"/>
  <c r="M272" i="1" s="1"/>
  <c r="L20" i="1"/>
  <c r="L272" i="1" s="1"/>
  <c r="K20" i="1"/>
  <c r="K272" i="1" s="1"/>
  <c r="I20" i="1"/>
  <c r="I272" i="1" s="1"/>
  <c r="H20" i="1"/>
  <c r="H272" i="1" s="1"/>
  <c r="G20" i="1"/>
  <c r="G272" i="1" s="1"/>
  <c r="F20" i="1"/>
  <c r="F272" i="1" s="1"/>
  <c r="J53" i="1"/>
  <c r="J20" i="1" s="1"/>
  <c r="J272" i="1" s="1"/>
  <c r="E53" i="1"/>
  <c r="E20" i="1" s="1"/>
  <c r="E272" i="1" s="1"/>
  <c r="H278" i="1" l="1"/>
  <c r="M278" i="1"/>
  <c r="G278" i="1"/>
  <c r="I278" i="1"/>
  <c r="L278" i="1"/>
  <c r="N278" i="1"/>
  <c r="O278" i="1"/>
  <c r="K278" i="1"/>
  <c r="O32" i="3"/>
  <c r="O28" i="3" s="1"/>
  <c r="I183" i="3"/>
  <c r="I180" i="3" s="1"/>
  <c r="I178" i="3" s="1"/>
  <c r="P53" i="1"/>
  <c r="D183" i="3"/>
  <c r="D180" i="3" s="1"/>
  <c r="D178" i="3" s="1"/>
  <c r="P20" i="1" l="1"/>
  <c r="P272" i="1" s="1"/>
  <c r="O183" i="3"/>
  <c r="O180" i="3" s="1"/>
  <c r="O178" i="3" s="1"/>
  <c r="E128" i="1" l="1"/>
  <c r="J57" i="1"/>
  <c r="E57" i="1"/>
  <c r="P57" i="1" l="1"/>
  <c r="G21" i="1" l="1"/>
  <c r="G19" i="1" s="1"/>
  <c r="G247" i="1"/>
  <c r="J204" i="1" l="1"/>
  <c r="I149" i="3" s="1"/>
  <c r="E204" i="1"/>
  <c r="D149" i="3" s="1"/>
  <c r="C204" i="1"/>
  <c r="P204" i="1" l="1"/>
  <c r="O149" i="3" s="1"/>
  <c r="O199" i="1"/>
  <c r="K199" i="1"/>
  <c r="I199" i="1"/>
  <c r="I190" i="1" s="1"/>
  <c r="G142" i="1"/>
  <c r="G138" i="1" s="1"/>
  <c r="F122" i="1" l="1"/>
  <c r="G113" i="1"/>
  <c r="G106" i="1" s="1"/>
  <c r="G250" i="1" l="1"/>
  <c r="N147" i="3"/>
  <c r="J147" i="3"/>
  <c r="G221" i="1"/>
  <c r="F215" i="1"/>
  <c r="G193" i="1"/>
  <c r="G190" i="1" s="1"/>
  <c r="O182" i="1"/>
  <c r="K182" i="1"/>
  <c r="G181" i="1"/>
  <c r="G175" i="1"/>
  <c r="F175" i="1"/>
  <c r="E20" i="3" s="1"/>
  <c r="H168" i="1"/>
  <c r="H138" i="1" s="1"/>
  <c r="F154" i="1"/>
  <c r="F106" i="1"/>
  <c r="J96" i="1"/>
  <c r="E96" i="1"/>
  <c r="D96" i="1"/>
  <c r="C96" i="1"/>
  <c r="P96" i="1" l="1"/>
  <c r="F51" i="1"/>
  <c r="O51" i="1"/>
  <c r="O19" i="1" s="1"/>
  <c r="K51" i="1"/>
  <c r="K19" i="1" s="1"/>
  <c r="F198" i="1"/>
  <c r="E181" i="3" l="1"/>
  <c r="F181" i="3"/>
  <c r="G181" i="3"/>
  <c r="H181" i="3"/>
  <c r="J181" i="3"/>
  <c r="K181" i="3"/>
  <c r="L181" i="3"/>
  <c r="M181" i="3"/>
  <c r="N181" i="3"/>
  <c r="J215" i="1"/>
  <c r="E215" i="1"/>
  <c r="C215" i="1"/>
  <c r="D215" i="1"/>
  <c r="B215" i="1"/>
  <c r="P215" i="1" l="1"/>
  <c r="E185" i="3" l="1"/>
  <c r="F185" i="3"/>
  <c r="G185" i="3"/>
  <c r="H185" i="3"/>
  <c r="J185" i="3"/>
  <c r="K185" i="3"/>
  <c r="L185" i="3"/>
  <c r="M185" i="3"/>
  <c r="N185" i="3"/>
  <c r="J216" i="1"/>
  <c r="E216" i="1"/>
  <c r="C216" i="1"/>
  <c r="D216" i="1"/>
  <c r="B216" i="1"/>
  <c r="P216" i="1" l="1"/>
  <c r="E158" i="3" l="1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43" i="1"/>
  <c r="E44" i="1"/>
  <c r="D159" i="3" s="1"/>
  <c r="J42" i="1"/>
  <c r="J43" i="1"/>
  <c r="I158" i="3" s="1"/>
  <c r="J44" i="1"/>
  <c r="I159" i="3" s="1"/>
  <c r="C43" i="1"/>
  <c r="D43" i="1"/>
  <c r="D44" i="1"/>
  <c r="B44" i="1"/>
  <c r="B43" i="1"/>
  <c r="P44" i="1" l="1"/>
  <c r="O159" i="3" s="1"/>
  <c r="P43" i="1"/>
  <c r="O158" i="3" s="1"/>
  <c r="D158" i="3"/>
  <c r="O230" i="1" l="1"/>
  <c r="N145" i="3" s="1"/>
  <c r="K230" i="1"/>
  <c r="K223" i="1" s="1"/>
  <c r="J145" i="3" l="1"/>
  <c r="G59" i="1" l="1"/>
  <c r="E160" i="3" l="1"/>
  <c r="F160" i="3"/>
  <c r="G160" i="3"/>
  <c r="H160" i="3"/>
  <c r="J160" i="3"/>
  <c r="K160" i="3"/>
  <c r="L160" i="3"/>
  <c r="M160" i="3"/>
  <c r="N160" i="3"/>
  <c r="J209" i="1"/>
  <c r="I160" i="3" s="1"/>
  <c r="E209" i="1"/>
  <c r="D209" i="1"/>
  <c r="B209" i="1"/>
  <c r="P209" i="1" l="1"/>
  <c r="O160" i="3" s="1"/>
  <c r="D160" i="3"/>
  <c r="N150" i="3"/>
  <c r="M150" i="3"/>
  <c r="L150" i="3"/>
  <c r="K150" i="3"/>
  <c r="J150" i="3"/>
  <c r="H150" i="3"/>
  <c r="G150" i="3"/>
  <c r="F150" i="3"/>
  <c r="E150" i="3"/>
  <c r="J130" i="1"/>
  <c r="E130" i="1"/>
  <c r="D130" i="1"/>
  <c r="C130" i="1"/>
  <c r="B130" i="1"/>
  <c r="D234" i="1"/>
  <c r="C234" i="1"/>
  <c r="B234" i="1"/>
  <c r="D205" i="1"/>
  <c r="C205" i="1"/>
  <c r="B205" i="1"/>
  <c r="P130" i="1" l="1"/>
  <c r="J234" i="1"/>
  <c r="E234" i="1"/>
  <c r="J205" i="1"/>
  <c r="E205" i="1"/>
  <c r="D150" i="3" s="1"/>
  <c r="F190" i="1"/>
  <c r="P234" i="1" l="1"/>
  <c r="I150" i="3"/>
  <c r="P205" i="1"/>
  <c r="O150" i="3" s="1"/>
  <c r="O227" i="1" l="1"/>
  <c r="O223" i="1" s="1"/>
  <c r="L49" i="1" l="1"/>
  <c r="L19" i="1" s="1"/>
  <c r="N173" i="3" l="1"/>
  <c r="M173" i="3"/>
  <c r="L173" i="3"/>
  <c r="J173" i="3"/>
  <c r="H173" i="3"/>
  <c r="G173" i="3"/>
  <c r="F173" i="3"/>
  <c r="E173" i="3"/>
  <c r="K249" i="1" l="1"/>
  <c r="L241" i="1"/>
  <c r="L265" i="1" l="1"/>
  <c r="J239" i="1"/>
  <c r="E239" i="1"/>
  <c r="L214" i="1"/>
  <c r="L190" i="1" s="1"/>
  <c r="O207" i="1"/>
  <c r="K207" i="1"/>
  <c r="E207" i="1"/>
  <c r="O183" i="1"/>
  <c r="K183" i="1"/>
  <c r="K180" i="1" s="1"/>
  <c r="J152" i="3" l="1"/>
  <c r="J207" i="1"/>
  <c r="P207" i="1" s="1"/>
  <c r="N152" i="3"/>
  <c r="P239" i="1"/>
  <c r="K173" i="3"/>
  <c r="E104" i="1"/>
  <c r="D202" i="3" s="1"/>
  <c r="J104" i="1"/>
  <c r="I202" i="3" s="1"/>
  <c r="L100" i="1"/>
  <c r="L59" i="1" s="1"/>
  <c r="O95" i="1"/>
  <c r="O59" i="1" s="1"/>
  <c r="K95" i="1"/>
  <c r="K59" i="1" s="1"/>
  <c r="P104" i="1" l="1"/>
  <c r="O202" i="3" s="1"/>
  <c r="E97" i="1" l="1"/>
  <c r="F26" i="1"/>
  <c r="J97" i="1" l="1"/>
  <c r="P97" i="1" l="1"/>
  <c r="I152" i="3"/>
  <c r="J235" i="1"/>
  <c r="E235" i="1"/>
  <c r="D152" i="3" s="1"/>
  <c r="P235" i="1" l="1"/>
  <c r="O152" i="3" s="1"/>
  <c r="F161" i="1" l="1"/>
  <c r="F138" i="1" s="1"/>
  <c r="G223" i="1"/>
  <c r="F20" i="3" l="1"/>
  <c r="N176" i="3"/>
  <c r="N175" i="3" s="1"/>
  <c r="M176" i="3"/>
  <c r="M175" i="3" s="1"/>
  <c r="L176" i="3"/>
  <c r="L175" i="3" s="1"/>
  <c r="K176" i="3"/>
  <c r="K175" i="3" s="1"/>
  <c r="J176" i="3"/>
  <c r="J175" i="3" s="1"/>
  <c r="H176" i="3"/>
  <c r="H175" i="3" s="1"/>
  <c r="G176" i="3"/>
  <c r="G175" i="3" s="1"/>
  <c r="F176" i="3"/>
  <c r="F175" i="3" s="1"/>
  <c r="E176" i="3"/>
  <c r="E175" i="3" s="1"/>
  <c r="J135" i="1"/>
  <c r="I176" i="3" s="1"/>
  <c r="I175" i="3" s="1"/>
  <c r="E135" i="1"/>
  <c r="D176" i="3" s="1"/>
  <c r="D175" i="3" s="1"/>
  <c r="P135" i="1" l="1"/>
  <c r="D144" i="1"/>
  <c r="O176" i="3" l="1"/>
  <c r="O175" i="3" s="1"/>
  <c r="D231" i="1" l="1"/>
  <c r="B231" i="1"/>
  <c r="J231" i="1"/>
  <c r="I147" i="3" s="1"/>
  <c r="P231" i="1" l="1"/>
  <c r="O147" i="3" s="1"/>
  <c r="D172" i="1" l="1"/>
  <c r="F174" i="3"/>
  <c r="G174" i="3"/>
  <c r="H174" i="3"/>
  <c r="J174" i="3"/>
  <c r="K174" i="3"/>
  <c r="L174" i="3"/>
  <c r="M174" i="3"/>
  <c r="N174" i="3"/>
  <c r="F134" i="3"/>
  <c r="G134" i="3"/>
  <c r="H134" i="3"/>
  <c r="J134" i="3"/>
  <c r="K134" i="3"/>
  <c r="L134" i="3"/>
  <c r="M134" i="3"/>
  <c r="N134" i="3"/>
  <c r="G260" i="1"/>
  <c r="H260" i="1"/>
  <c r="I260" i="1"/>
  <c r="K260" i="1"/>
  <c r="L260" i="1"/>
  <c r="M260" i="1"/>
  <c r="N260" i="1"/>
  <c r="O260" i="1"/>
  <c r="G249" i="1"/>
  <c r="H249" i="1"/>
  <c r="L249" i="1"/>
  <c r="M249" i="1"/>
  <c r="N249" i="1"/>
  <c r="O249" i="1"/>
  <c r="G241" i="1"/>
  <c r="H241" i="1"/>
  <c r="I241" i="1"/>
  <c r="K241" i="1"/>
  <c r="M241" i="1"/>
  <c r="N241" i="1"/>
  <c r="O241" i="1"/>
  <c r="G180" i="1"/>
  <c r="H180" i="1"/>
  <c r="I180" i="1"/>
  <c r="L180" i="1"/>
  <c r="M180" i="1"/>
  <c r="N180" i="1"/>
  <c r="G105" i="1"/>
  <c r="H105" i="1"/>
  <c r="I105" i="1"/>
  <c r="L105" i="1"/>
  <c r="M105" i="1"/>
  <c r="N105" i="1"/>
  <c r="O218" i="1" l="1"/>
  <c r="N201" i="3" s="1"/>
  <c r="K218" i="1"/>
  <c r="J201" i="3" s="1"/>
  <c r="K190" i="1" l="1"/>
  <c r="O190" i="1"/>
  <c r="I252" i="1"/>
  <c r="I249" i="1" s="1"/>
  <c r="E174" i="3" l="1"/>
  <c r="F249" i="1" l="1"/>
  <c r="F241" i="1"/>
  <c r="F105" i="1"/>
  <c r="O180" i="1" l="1"/>
  <c r="D218" i="1" l="1"/>
  <c r="F266" i="1" l="1"/>
  <c r="F260" i="1" s="1"/>
  <c r="F180" i="1" l="1"/>
  <c r="O105" i="1" l="1"/>
  <c r="K105" i="1"/>
  <c r="E188" i="3"/>
  <c r="F188" i="3"/>
  <c r="G188" i="3"/>
  <c r="H188" i="3"/>
  <c r="J188" i="3"/>
  <c r="K188" i="3"/>
  <c r="L188" i="3"/>
  <c r="M188" i="3"/>
  <c r="N188" i="3"/>
  <c r="J188" i="1"/>
  <c r="E188" i="1"/>
  <c r="C188" i="1"/>
  <c r="D188" i="1"/>
  <c r="B188" i="1"/>
  <c r="P188" i="1" l="1"/>
  <c r="E21" i="3"/>
  <c r="E19" i="3" s="1"/>
  <c r="F21" i="3"/>
  <c r="F19" i="3" s="1"/>
  <c r="G21" i="3"/>
  <c r="G19" i="3" s="1"/>
  <c r="H21" i="3"/>
  <c r="H19" i="3" s="1"/>
  <c r="J21" i="3"/>
  <c r="J19" i="3" s="1"/>
  <c r="K21" i="3"/>
  <c r="K19" i="3" s="1"/>
  <c r="L21" i="3"/>
  <c r="L19" i="3" s="1"/>
  <c r="M21" i="3"/>
  <c r="M19" i="3" s="1"/>
  <c r="N21" i="3"/>
  <c r="N19" i="3" s="1"/>
  <c r="E31" i="3"/>
  <c r="F31" i="3"/>
  <c r="G31" i="3"/>
  <c r="H31" i="3"/>
  <c r="K31" i="3"/>
  <c r="L31" i="3"/>
  <c r="M31" i="3"/>
  <c r="N31" i="3"/>
  <c r="E33" i="3"/>
  <c r="F33" i="3"/>
  <c r="G33" i="3"/>
  <c r="H33" i="3"/>
  <c r="K33" i="3"/>
  <c r="L33" i="3"/>
  <c r="M33" i="3"/>
  <c r="E40" i="3"/>
  <c r="F40" i="3"/>
  <c r="G40" i="3"/>
  <c r="H40" i="3"/>
  <c r="J40" i="3"/>
  <c r="K40" i="3"/>
  <c r="L40" i="3"/>
  <c r="M40" i="3"/>
  <c r="N40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E46" i="3"/>
  <c r="F46" i="3"/>
  <c r="G46" i="3"/>
  <c r="H46" i="3"/>
  <c r="J46" i="3"/>
  <c r="K46" i="3"/>
  <c r="L46" i="3"/>
  <c r="M46" i="3"/>
  <c r="N46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61" i="3"/>
  <c r="F61" i="3"/>
  <c r="G61" i="3"/>
  <c r="H61" i="3"/>
  <c r="J61" i="3"/>
  <c r="K61" i="3"/>
  <c r="L61" i="3"/>
  <c r="M61" i="3"/>
  <c r="N61" i="3"/>
  <c r="E65" i="3"/>
  <c r="F65" i="3"/>
  <c r="G65" i="3"/>
  <c r="H65" i="3"/>
  <c r="J65" i="3"/>
  <c r="K65" i="3"/>
  <c r="L65" i="3"/>
  <c r="M65" i="3"/>
  <c r="N65" i="3"/>
  <c r="E67" i="3"/>
  <c r="F67" i="3"/>
  <c r="G67" i="3"/>
  <c r="H67" i="3"/>
  <c r="J67" i="3"/>
  <c r="K67" i="3"/>
  <c r="L67" i="3"/>
  <c r="M67" i="3"/>
  <c r="N67" i="3"/>
  <c r="E69" i="3"/>
  <c r="F69" i="3"/>
  <c r="G69" i="3"/>
  <c r="H69" i="3"/>
  <c r="J69" i="3"/>
  <c r="K69" i="3"/>
  <c r="L69" i="3"/>
  <c r="M69" i="3"/>
  <c r="N69" i="3"/>
  <c r="E71" i="3"/>
  <c r="F71" i="3"/>
  <c r="G71" i="3"/>
  <c r="H71" i="3"/>
  <c r="J71" i="3"/>
  <c r="K71" i="3"/>
  <c r="L71" i="3"/>
  <c r="M71" i="3"/>
  <c r="N71" i="3"/>
  <c r="E74" i="3"/>
  <c r="F74" i="3"/>
  <c r="G74" i="3"/>
  <c r="H74" i="3"/>
  <c r="J74" i="3"/>
  <c r="K74" i="3"/>
  <c r="L74" i="3"/>
  <c r="M74" i="3"/>
  <c r="N74" i="3"/>
  <c r="E75" i="3"/>
  <c r="F75" i="3"/>
  <c r="G75" i="3"/>
  <c r="H75" i="3"/>
  <c r="J75" i="3"/>
  <c r="K75" i="3"/>
  <c r="L75" i="3"/>
  <c r="M75" i="3"/>
  <c r="N75" i="3"/>
  <c r="E80" i="3"/>
  <c r="F80" i="3"/>
  <c r="G80" i="3"/>
  <c r="H80" i="3"/>
  <c r="K80" i="3"/>
  <c r="L80" i="3"/>
  <c r="M80" i="3"/>
  <c r="E81" i="3"/>
  <c r="F81" i="3"/>
  <c r="G81" i="3"/>
  <c r="H81" i="3"/>
  <c r="J81" i="3"/>
  <c r="K81" i="3"/>
  <c r="L81" i="3"/>
  <c r="M81" i="3"/>
  <c r="N81" i="3"/>
  <c r="E82" i="3"/>
  <c r="F82" i="3"/>
  <c r="G82" i="3"/>
  <c r="H82" i="3"/>
  <c r="J82" i="3"/>
  <c r="K82" i="3"/>
  <c r="L82" i="3"/>
  <c r="M82" i="3"/>
  <c r="N82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8" i="3"/>
  <c r="F88" i="3"/>
  <c r="G88" i="3"/>
  <c r="H88" i="3"/>
  <c r="J88" i="3"/>
  <c r="K88" i="3"/>
  <c r="L88" i="3"/>
  <c r="M88" i="3"/>
  <c r="N88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7" i="3"/>
  <c r="F97" i="3"/>
  <c r="G97" i="3"/>
  <c r="H97" i="3"/>
  <c r="J97" i="3"/>
  <c r="K97" i="3"/>
  <c r="L97" i="3"/>
  <c r="M97" i="3"/>
  <c r="N97" i="3"/>
  <c r="E99" i="3"/>
  <c r="F99" i="3"/>
  <c r="G99" i="3"/>
  <c r="H99" i="3"/>
  <c r="J99" i="3"/>
  <c r="K99" i="3"/>
  <c r="L99" i="3"/>
  <c r="M99" i="3"/>
  <c r="N99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4" i="3"/>
  <c r="F104" i="3"/>
  <c r="G104" i="3"/>
  <c r="H104" i="3"/>
  <c r="J104" i="3"/>
  <c r="K104" i="3"/>
  <c r="L104" i="3"/>
  <c r="M104" i="3"/>
  <c r="N104" i="3"/>
  <c r="E105" i="3"/>
  <c r="F105" i="3"/>
  <c r="G105" i="3"/>
  <c r="H105" i="3"/>
  <c r="J105" i="3"/>
  <c r="K105" i="3"/>
  <c r="L105" i="3"/>
  <c r="M105" i="3"/>
  <c r="N105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3" i="3"/>
  <c r="F133" i="3"/>
  <c r="G133" i="3"/>
  <c r="H133" i="3"/>
  <c r="J133" i="3"/>
  <c r="K133" i="3"/>
  <c r="L133" i="3"/>
  <c r="M133" i="3"/>
  <c r="N133" i="3"/>
  <c r="E140" i="3"/>
  <c r="E139" i="3" s="1"/>
  <c r="F140" i="3"/>
  <c r="F139" i="3" s="1"/>
  <c r="G140" i="3"/>
  <c r="G139" i="3" s="1"/>
  <c r="H140" i="3"/>
  <c r="H139" i="3" s="1"/>
  <c r="J140" i="3"/>
  <c r="J139" i="3" s="1"/>
  <c r="K140" i="3"/>
  <c r="K139" i="3" s="1"/>
  <c r="L140" i="3"/>
  <c r="L139" i="3" s="1"/>
  <c r="M140" i="3"/>
  <c r="M139" i="3" s="1"/>
  <c r="N140" i="3"/>
  <c r="N139" i="3" s="1"/>
  <c r="E143" i="3"/>
  <c r="F143" i="3"/>
  <c r="G143" i="3"/>
  <c r="H143" i="3"/>
  <c r="J143" i="3"/>
  <c r="K143" i="3"/>
  <c r="L143" i="3"/>
  <c r="M143" i="3"/>
  <c r="N143" i="3"/>
  <c r="E151" i="3"/>
  <c r="F151" i="3"/>
  <c r="G151" i="3"/>
  <c r="H151" i="3"/>
  <c r="J151" i="3"/>
  <c r="K151" i="3"/>
  <c r="L151" i="3"/>
  <c r="M151" i="3"/>
  <c r="N151" i="3"/>
  <c r="E157" i="3"/>
  <c r="E155" i="3" s="1"/>
  <c r="F157" i="3"/>
  <c r="F155" i="3" s="1"/>
  <c r="G157" i="3"/>
  <c r="G155" i="3" s="1"/>
  <c r="H157" i="3"/>
  <c r="H155" i="3" s="1"/>
  <c r="J157" i="3"/>
  <c r="J155" i="3" s="1"/>
  <c r="K157" i="3"/>
  <c r="K155" i="3" s="1"/>
  <c r="L157" i="3"/>
  <c r="L155" i="3" s="1"/>
  <c r="M157" i="3"/>
  <c r="M155" i="3" s="1"/>
  <c r="N157" i="3"/>
  <c r="N155" i="3" s="1"/>
  <c r="E162" i="3"/>
  <c r="F162" i="3"/>
  <c r="G162" i="3"/>
  <c r="H162" i="3"/>
  <c r="J162" i="3"/>
  <c r="K162" i="3"/>
  <c r="L162" i="3"/>
  <c r="M162" i="3"/>
  <c r="N162" i="3"/>
  <c r="E166" i="3"/>
  <c r="F166" i="3"/>
  <c r="G166" i="3"/>
  <c r="H166" i="3"/>
  <c r="J166" i="3"/>
  <c r="K166" i="3"/>
  <c r="L166" i="3"/>
  <c r="M166" i="3"/>
  <c r="N166" i="3"/>
  <c r="E167" i="3"/>
  <c r="F167" i="3"/>
  <c r="G167" i="3"/>
  <c r="H167" i="3"/>
  <c r="J167" i="3"/>
  <c r="K167" i="3"/>
  <c r="L167" i="3"/>
  <c r="M167" i="3"/>
  <c r="E169" i="3"/>
  <c r="F169" i="3"/>
  <c r="G169" i="3"/>
  <c r="H169" i="3"/>
  <c r="J169" i="3"/>
  <c r="K169" i="3"/>
  <c r="L169" i="3"/>
  <c r="M169" i="3"/>
  <c r="N169" i="3"/>
  <c r="E170" i="3"/>
  <c r="F170" i="3"/>
  <c r="G170" i="3"/>
  <c r="H170" i="3"/>
  <c r="J170" i="3"/>
  <c r="K170" i="3"/>
  <c r="L170" i="3"/>
  <c r="M170" i="3"/>
  <c r="N170" i="3"/>
  <c r="E171" i="3"/>
  <c r="F171" i="3"/>
  <c r="G171" i="3"/>
  <c r="H171" i="3"/>
  <c r="J171" i="3"/>
  <c r="K171" i="3"/>
  <c r="L171" i="3"/>
  <c r="M171" i="3"/>
  <c r="N171" i="3"/>
  <c r="F172" i="3"/>
  <c r="G172" i="3"/>
  <c r="H172" i="3"/>
  <c r="J172" i="3"/>
  <c r="K172" i="3"/>
  <c r="L172" i="3"/>
  <c r="M172" i="3"/>
  <c r="N172" i="3"/>
  <c r="E182" i="3"/>
  <c r="F182" i="3"/>
  <c r="G182" i="3"/>
  <c r="H182" i="3"/>
  <c r="J182" i="3"/>
  <c r="K182" i="3"/>
  <c r="L182" i="3"/>
  <c r="M182" i="3"/>
  <c r="N182" i="3"/>
  <c r="E184" i="3"/>
  <c r="F184" i="3"/>
  <c r="G184" i="3"/>
  <c r="H184" i="3"/>
  <c r="J184" i="3"/>
  <c r="K184" i="3"/>
  <c r="L184" i="3"/>
  <c r="M184" i="3"/>
  <c r="N184" i="3"/>
  <c r="E187" i="3"/>
  <c r="E186" i="3" s="1"/>
  <c r="F187" i="3"/>
  <c r="F186" i="3" s="1"/>
  <c r="G187" i="3"/>
  <c r="H187" i="3"/>
  <c r="J187" i="3"/>
  <c r="K187" i="3"/>
  <c r="K186" i="3" s="1"/>
  <c r="L187" i="3"/>
  <c r="M187" i="3"/>
  <c r="M186" i="3" s="1"/>
  <c r="N187" i="3"/>
  <c r="E190" i="3"/>
  <c r="E189" i="3" s="1"/>
  <c r="F190" i="3"/>
  <c r="F189" i="3" s="1"/>
  <c r="G190" i="3"/>
  <c r="G189" i="3" s="1"/>
  <c r="H190" i="3"/>
  <c r="H189" i="3" s="1"/>
  <c r="J190" i="3"/>
  <c r="J189" i="3" s="1"/>
  <c r="K190" i="3"/>
  <c r="K189" i="3" s="1"/>
  <c r="L190" i="3"/>
  <c r="L189" i="3" s="1"/>
  <c r="M190" i="3"/>
  <c r="M189" i="3" s="1"/>
  <c r="N190" i="3"/>
  <c r="N189" i="3" s="1"/>
  <c r="E191" i="3"/>
  <c r="F191" i="3"/>
  <c r="G191" i="3"/>
  <c r="H191" i="3"/>
  <c r="J191" i="3"/>
  <c r="K191" i="3"/>
  <c r="L191" i="3"/>
  <c r="M191" i="3"/>
  <c r="N191" i="3"/>
  <c r="D192" i="3"/>
  <c r="E192" i="3"/>
  <c r="F192" i="3"/>
  <c r="G192" i="3"/>
  <c r="H192" i="3"/>
  <c r="J192" i="3"/>
  <c r="K192" i="3"/>
  <c r="L192" i="3"/>
  <c r="M192" i="3"/>
  <c r="N192" i="3"/>
  <c r="E195" i="3"/>
  <c r="E194" i="3" s="1"/>
  <c r="F195" i="3"/>
  <c r="F194" i="3" s="1"/>
  <c r="G195" i="3"/>
  <c r="G194" i="3" s="1"/>
  <c r="H195" i="3"/>
  <c r="H194" i="3" s="1"/>
  <c r="J195" i="3"/>
  <c r="J194" i="3" s="1"/>
  <c r="K195" i="3"/>
  <c r="K194" i="3" s="1"/>
  <c r="L195" i="3"/>
  <c r="L194" i="3" s="1"/>
  <c r="M195" i="3"/>
  <c r="M194" i="3" s="1"/>
  <c r="N195" i="3"/>
  <c r="N194" i="3" s="1"/>
  <c r="E200" i="3"/>
  <c r="F200" i="3"/>
  <c r="G200" i="3"/>
  <c r="H200" i="3"/>
  <c r="J200" i="3"/>
  <c r="K200" i="3"/>
  <c r="L200" i="3"/>
  <c r="M200" i="3"/>
  <c r="N200" i="3"/>
  <c r="J69" i="1"/>
  <c r="J262" i="1"/>
  <c r="J263" i="1"/>
  <c r="J264" i="1"/>
  <c r="I187" i="3" s="1"/>
  <c r="J265" i="1"/>
  <c r="J266" i="1"/>
  <c r="I191" i="3" s="1"/>
  <c r="J267" i="1"/>
  <c r="I192" i="3" s="1"/>
  <c r="J268" i="1"/>
  <c r="I195" i="3" s="1"/>
  <c r="I194" i="3" s="1"/>
  <c r="J261" i="1"/>
  <c r="J251" i="1"/>
  <c r="I140" i="3" s="1"/>
  <c r="I139" i="3" s="1"/>
  <c r="J252" i="1"/>
  <c r="J253" i="1"/>
  <c r="I169" i="3" s="1"/>
  <c r="J254" i="1"/>
  <c r="I170" i="3" s="1"/>
  <c r="J255" i="1"/>
  <c r="J250" i="1"/>
  <c r="J247" i="1"/>
  <c r="J226" i="1"/>
  <c r="J227" i="1"/>
  <c r="I133" i="3" s="1"/>
  <c r="J228" i="1"/>
  <c r="J229" i="1"/>
  <c r="I144" i="3" s="1"/>
  <c r="J230" i="1"/>
  <c r="I145" i="3" s="1"/>
  <c r="J232" i="1"/>
  <c r="J242" i="1"/>
  <c r="J243" i="1"/>
  <c r="J244" i="1"/>
  <c r="J225" i="1"/>
  <c r="J221" i="1"/>
  <c r="J194" i="1"/>
  <c r="J195" i="1"/>
  <c r="J196" i="1"/>
  <c r="I127" i="3" s="1"/>
  <c r="J197" i="1"/>
  <c r="I128" i="3" s="1"/>
  <c r="J198" i="1"/>
  <c r="I129" i="3" s="1"/>
  <c r="J199" i="1"/>
  <c r="J200" i="1"/>
  <c r="J201" i="1"/>
  <c r="J202" i="1"/>
  <c r="J203" i="1"/>
  <c r="J206" i="1"/>
  <c r="I151" i="3" s="1"/>
  <c r="J212" i="1"/>
  <c r="J213" i="1"/>
  <c r="J217" i="1"/>
  <c r="J218" i="1"/>
  <c r="J193" i="1"/>
  <c r="J183" i="1"/>
  <c r="I114" i="3" s="1"/>
  <c r="J184" i="1"/>
  <c r="J185" i="1"/>
  <c r="J186" i="1"/>
  <c r="J187" i="1"/>
  <c r="J181" i="1"/>
  <c r="J176" i="1"/>
  <c r="I91" i="3" s="1"/>
  <c r="J177" i="1"/>
  <c r="I92" i="3" s="1"/>
  <c r="J175" i="1"/>
  <c r="J144" i="1"/>
  <c r="J145" i="1"/>
  <c r="J147" i="1"/>
  <c r="I84" i="3" s="1"/>
  <c r="J148" i="1"/>
  <c r="J149" i="1"/>
  <c r="I86" i="3" s="1"/>
  <c r="J151" i="1"/>
  <c r="I88" i="3" s="1"/>
  <c r="J153" i="1"/>
  <c r="I90" i="3" s="1"/>
  <c r="J154" i="1"/>
  <c r="I96" i="3" s="1"/>
  <c r="J155" i="1"/>
  <c r="I97" i="3" s="1"/>
  <c r="J157" i="1"/>
  <c r="I99" i="3" s="1"/>
  <c r="J159" i="1"/>
  <c r="I101" i="3" s="1"/>
  <c r="J160" i="1"/>
  <c r="I102" i="3" s="1"/>
  <c r="J161" i="1"/>
  <c r="I103" i="3" s="1"/>
  <c r="J162" i="1"/>
  <c r="I104" i="3" s="1"/>
  <c r="J163" i="1"/>
  <c r="J168" i="1"/>
  <c r="J169" i="1"/>
  <c r="J172" i="1"/>
  <c r="J142" i="1"/>
  <c r="J114" i="1"/>
  <c r="J118" i="1"/>
  <c r="J120" i="1"/>
  <c r="I67" i="3" s="1"/>
  <c r="J122" i="1"/>
  <c r="I69" i="3" s="1"/>
  <c r="J124" i="1"/>
  <c r="I71" i="3" s="1"/>
  <c r="J127" i="1"/>
  <c r="I74" i="3" s="1"/>
  <c r="J128" i="1"/>
  <c r="I75" i="3" s="1"/>
  <c r="J113" i="1"/>
  <c r="J78" i="1"/>
  <c r="J82" i="1"/>
  <c r="J83" i="1"/>
  <c r="J86" i="1"/>
  <c r="I49" i="3" s="1"/>
  <c r="J87" i="1"/>
  <c r="I50" i="3" s="1"/>
  <c r="J88" i="1"/>
  <c r="I51" i="3" s="1"/>
  <c r="J89" i="1"/>
  <c r="J93" i="1"/>
  <c r="J94" i="1"/>
  <c r="J95" i="1"/>
  <c r="J99" i="1"/>
  <c r="J100" i="1"/>
  <c r="J68" i="1"/>
  <c r="J22" i="1"/>
  <c r="J24" i="1"/>
  <c r="J25" i="1"/>
  <c r="J26" i="1"/>
  <c r="I93" i="3" s="1"/>
  <c r="J27" i="1"/>
  <c r="I94" i="3" s="1"/>
  <c r="J28" i="1"/>
  <c r="J29" i="1"/>
  <c r="J30" i="1"/>
  <c r="J31" i="1"/>
  <c r="J32" i="1"/>
  <c r="J33" i="1"/>
  <c r="J34" i="1"/>
  <c r="I119" i="3" s="1"/>
  <c r="J35" i="1"/>
  <c r="I120" i="3" s="1"/>
  <c r="J36" i="1"/>
  <c r="J37" i="1"/>
  <c r="I122" i="3" s="1"/>
  <c r="J38" i="1"/>
  <c r="I123" i="3" s="1"/>
  <c r="J39" i="1"/>
  <c r="I124" i="3" s="1"/>
  <c r="I157" i="3"/>
  <c r="I155" i="3" s="1"/>
  <c r="J45" i="1"/>
  <c r="J46" i="1"/>
  <c r="J47" i="1"/>
  <c r="J48" i="1"/>
  <c r="I172" i="3" s="1"/>
  <c r="J49" i="1"/>
  <c r="J50" i="1"/>
  <c r="J51" i="1"/>
  <c r="I181" i="3" s="1"/>
  <c r="J52" i="1"/>
  <c r="I182" i="3" s="1"/>
  <c r="J54" i="1"/>
  <c r="J55" i="1"/>
  <c r="J56" i="1"/>
  <c r="I190" i="3" s="1"/>
  <c r="I189" i="3" s="1"/>
  <c r="J21" i="1"/>
  <c r="M125" i="3" l="1"/>
  <c r="K125" i="3"/>
  <c r="F125" i="3"/>
  <c r="H125" i="3"/>
  <c r="L125" i="3"/>
  <c r="G125" i="3"/>
  <c r="N125" i="3"/>
  <c r="J125" i="3"/>
  <c r="I201" i="3"/>
  <c r="I200" i="3" s="1"/>
  <c r="I193" i="3" s="1"/>
  <c r="J19" i="1"/>
  <c r="L193" i="3"/>
  <c r="M141" i="3"/>
  <c r="K141" i="3"/>
  <c r="H141" i="3"/>
  <c r="F141" i="3"/>
  <c r="N193" i="3"/>
  <c r="N141" i="3"/>
  <c r="L141" i="3"/>
  <c r="J141" i="3"/>
  <c r="G141" i="3"/>
  <c r="E141" i="3"/>
  <c r="I20" i="3"/>
  <c r="J193" i="3"/>
  <c r="G193" i="3"/>
  <c r="E193" i="3"/>
  <c r="L23" i="3"/>
  <c r="H23" i="3"/>
  <c r="F23" i="3"/>
  <c r="M23" i="3"/>
  <c r="K23" i="3"/>
  <c r="G23" i="3"/>
  <c r="E23" i="3"/>
  <c r="I163" i="3"/>
  <c r="I162" i="3" s="1"/>
  <c r="M76" i="3"/>
  <c r="K76" i="3"/>
  <c r="G76" i="3"/>
  <c r="L76" i="3"/>
  <c r="H76" i="3"/>
  <c r="F76" i="3"/>
  <c r="M193" i="3"/>
  <c r="K193" i="3"/>
  <c r="H193" i="3"/>
  <c r="F193" i="3"/>
  <c r="I148" i="3"/>
  <c r="I52" i="3"/>
  <c r="I61" i="3"/>
  <c r="I81" i="3"/>
  <c r="I65" i="3"/>
  <c r="I44" i="3"/>
  <c r="I40" i="3"/>
  <c r="I31" i="3"/>
  <c r="I46" i="3"/>
  <c r="I185" i="3"/>
  <c r="I184" i="3" s="1"/>
  <c r="I130" i="3"/>
  <c r="I21" i="3"/>
  <c r="I126" i="3"/>
  <c r="I134" i="3"/>
  <c r="J260" i="1"/>
  <c r="I174" i="3"/>
  <c r="K164" i="3"/>
  <c r="N56" i="3"/>
  <c r="L56" i="3"/>
  <c r="J56" i="3"/>
  <c r="G56" i="3"/>
  <c r="E56" i="3"/>
  <c r="M56" i="3"/>
  <c r="K56" i="3"/>
  <c r="H56" i="3"/>
  <c r="F56" i="3"/>
  <c r="J249" i="1"/>
  <c r="J241" i="1"/>
  <c r="J240" i="1" s="1"/>
  <c r="J237" i="1"/>
  <c r="J223" i="1" s="1"/>
  <c r="I117" i="3"/>
  <c r="I115" i="3"/>
  <c r="I171" i="3"/>
  <c r="I116" i="3"/>
  <c r="E123" i="3"/>
  <c r="E118" i="3" s="1"/>
  <c r="I143" i="3"/>
  <c r="L179" i="3"/>
  <c r="J179" i="3"/>
  <c r="G179" i="3"/>
  <c r="I111" i="3"/>
  <c r="I82" i="3"/>
  <c r="I188" i="3"/>
  <c r="I186" i="3" s="1"/>
  <c r="I166" i="3"/>
  <c r="I121" i="3"/>
  <c r="I118" i="3" s="1"/>
  <c r="I95" i="3"/>
  <c r="I105" i="3"/>
  <c r="N167" i="3"/>
  <c r="N164" i="3" s="1"/>
  <c r="N179" i="3"/>
  <c r="H179" i="3"/>
  <c r="M179" i="3"/>
  <c r="M177" i="3" s="1"/>
  <c r="K179" i="3"/>
  <c r="K177" i="3" s="1"/>
  <c r="F179" i="3"/>
  <c r="F177" i="3" s="1"/>
  <c r="E179" i="3"/>
  <c r="E177" i="3" s="1"/>
  <c r="I131" i="3"/>
  <c r="I179" i="3"/>
  <c r="M118" i="3"/>
  <c r="F118" i="3"/>
  <c r="I110" i="3"/>
  <c r="I85" i="3"/>
  <c r="N186" i="3"/>
  <c r="L186" i="3"/>
  <c r="J186" i="3"/>
  <c r="H186" i="3"/>
  <c r="G186" i="3"/>
  <c r="M164" i="3"/>
  <c r="F164" i="3"/>
  <c r="K118" i="3"/>
  <c r="L113" i="3"/>
  <c r="H113" i="3"/>
  <c r="L164" i="3"/>
  <c r="H164" i="3"/>
  <c r="G164" i="3"/>
  <c r="N113" i="3"/>
  <c r="J113" i="3"/>
  <c r="G113" i="3"/>
  <c r="M113" i="3"/>
  <c r="K113" i="3"/>
  <c r="F113" i="3"/>
  <c r="E113" i="3"/>
  <c r="N118" i="3"/>
  <c r="L118" i="3"/>
  <c r="J118" i="3"/>
  <c r="H118" i="3"/>
  <c r="G118" i="3"/>
  <c r="J214" i="1"/>
  <c r="J190" i="1" s="1"/>
  <c r="I125" i="3" l="1"/>
  <c r="I19" i="3"/>
  <c r="I141" i="3"/>
  <c r="I56" i="3"/>
  <c r="I173" i="3"/>
  <c r="K135" i="3"/>
  <c r="K203" i="3" s="1"/>
  <c r="H135" i="3"/>
  <c r="M135" i="3"/>
  <c r="M203" i="3" s="1"/>
  <c r="G135" i="3"/>
  <c r="L135" i="3"/>
  <c r="F135" i="3"/>
  <c r="F203" i="3" s="1"/>
  <c r="N135" i="3"/>
  <c r="I113" i="3"/>
  <c r="L177" i="3"/>
  <c r="G177" i="3"/>
  <c r="N177" i="3"/>
  <c r="J177" i="3"/>
  <c r="I177" i="3"/>
  <c r="H177" i="3"/>
  <c r="E264" i="1"/>
  <c r="D187" i="3" s="1"/>
  <c r="D264" i="1"/>
  <c r="B264" i="1"/>
  <c r="E134" i="3" l="1"/>
  <c r="E125" i="3" s="1"/>
  <c r="G203" i="3"/>
  <c r="L203" i="3"/>
  <c r="H203" i="3"/>
  <c r="E172" i="3"/>
  <c r="E164" i="3" s="1"/>
  <c r="E135" i="3" s="1"/>
  <c r="J133" i="1"/>
  <c r="J106" i="1" s="1"/>
  <c r="P264" i="1"/>
  <c r="O187" i="3" s="1"/>
  <c r="I167" i="3" l="1"/>
  <c r="I164" i="3" s="1"/>
  <c r="I135" i="3" s="1"/>
  <c r="J105" i="1"/>
  <c r="E206" i="1" l="1"/>
  <c r="C206" i="1"/>
  <c r="D206" i="1"/>
  <c r="B206" i="1"/>
  <c r="D151" i="3" l="1"/>
  <c r="P206" i="1"/>
  <c r="O151" i="3" s="1"/>
  <c r="E101" i="3" l="1"/>
  <c r="E76" i="3" s="1"/>
  <c r="J31" i="3"/>
  <c r="E203" i="3" l="1"/>
  <c r="N33" i="3"/>
  <c r="J33" i="3"/>
  <c r="J23" i="3" s="1"/>
  <c r="J71" i="1"/>
  <c r="J59" i="1" s="1"/>
  <c r="I33" i="3" l="1"/>
  <c r="N45" i="3"/>
  <c r="N23" i="3" s="1"/>
  <c r="J182" i="1"/>
  <c r="J180" i="1" s="1"/>
  <c r="D49" i="1"/>
  <c r="D244" i="1"/>
  <c r="D214" i="1"/>
  <c r="C184" i="1"/>
  <c r="D184" i="1"/>
  <c r="B184" i="1"/>
  <c r="D176" i="1"/>
  <c r="D87" i="1"/>
  <c r="P267" i="1"/>
  <c r="O192" i="3" s="1"/>
  <c r="E262" i="1"/>
  <c r="E263" i="1"/>
  <c r="E265" i="1"/>
  <c r="E266" i="1"/>
  <c r="D191" i="3" s="1"/>
  <c r="E268" i="1"/>
  <c r="D195" i="3" s="1"/>
  <c r="D194" i="3" s="1"/>
  <c r="E261" i="1"/>
  <c r="K259" i="1"/>
  <c r="L259" i="1"/>
  <c r="M259" i="1"/>
  <c r="N259" i="1"/>
  <c r="O259" i="1"/>
  <c r="F259" i="1"/>
  <c r="G259" i="1"/>
  <c r="H259" i="1"/>
  <c r="I259" i="1"/>
  <c r="E251" i="1"/>
  <c r="D140" i="3" s="1"/>
  <c r="D139" i="3" s="1"/>
  <c r="E252" i="1"/>
  <c r="E253" i="1"/>
  <c r="D169" i="3" s="1"/>
  <c r="E254" i="1"/>
  <c r="D170" i="3" s="1"/>
  <c r="E255" i="1"/>
  <c r="E250" i="1"/>
  <c r="K248" i="1"/>
  <c r="L248" i="1"/>
  <c r="M248" i="1"/>
  <c r="N248" i="1"/>
  <c r="O248" i="1"/>
  <c r="F248" i="1"/>
  <c r="G248" i="1"/>
  <c r="H248" i="1"/>
  <c r="I248" i="1"/>
  <c r="J246" i="1"/>
  <c r="J245" i="1" s="1"/>
  <c r="E247" i="1"/>
  <c r="K246" i="1"/>
  <c r="K245" i="1" s="1"/>
  <c r="L246" i="1"/>
  <c r="L245" i="1" s="1"/>
  <c r="M246" i="1"/>
  <c r="M245" i="1" s="1"/>
  <c r="N246" i="1"/>
  <c r="N245" i="1" s="1"/>
  <c r="O246" i="1"/>
  <c r="O245" i="1" s="1"/>
  <c r="F246" i="1"/>
  <c r="F245" i="1" s="1"/>
  <c r="G246" i="1"/>
  <c r="G245" i="1" s="1"/>
  <c r="H246" i="1"/>
  <c r="H245" i="1" s="1"/>
  <c r="I246" i="1"/>
  <c r="I245" i="1" s="1"/>
  <c r="E246" i="1"/>
  <c r="E245" i="1" s="1"/>
  <c r="E243" i="1"/>
  <c r="E244" i="1"/>
  <c r="E242" i="1"/>
  <c r="K240" i="1"/>
  <c r="L240" i="1"/>
  <c r="M240" i="1"/>
  <c r="N240" i="1"/>
  <c r="O240" i="1"/>
  <c r="F240" i="1"/>
  <c r="G240" i="1"/>
  <c r="H240" i="1"/>
  <c r="I240" i="1"/>
  <c r="E226" i="1"/>
  <c r="E227" i="1"/>
  <c r="D133" i="3" s="1"/>
  <c r="E228" i="1"/>
  <c r="E229" i="1"/>
  <c r="D144" i="3" s="1"/>
  <c r="E230" i="1"/>
  <c r="D145" i="3" s="1"/>
  <c r="E232" i="1"/>
  <c r="E237" i="1"/>
  <c r="E225" i="1"/>
  <c r="E223" i="1" s="1"/>
  <c r="K222" i="1"/>
  <c r="M222" i="1"/>
  <c r="N222" i="1"/>
  <c r="O222" i="1"/>
  <c r="F222" i="1"/>
  <c r="G222" i="1"/>
  <c r="H222" i="1"/>
  <c r="I222" i="1"/>
  <c r="J220" i="1"/>
  <c r="J219" i="1" s="1"/>
  <c r="E221" i="1"/>
  <c r="E220" i="1" s="1"/>
  <c r="E219" i="1" s="1"/>
  <c r="K220" i="1"/>
  <c r="K219" i="1" s="1"/>
  <c r="L220" i="1"/>
  <c r="L219" i="1" s="1"/>
  <c r="M220" i="1"/>
  <c r="M219" i="1" s="1"/>
  <c r="N220" i="1"/>
  <c r="N219" i="1" s="1"/>
  <c r="O220" i="1"/>
  <c r="O219" i="1" s="1"/>
  <c r="F220" i="1"/>
  <c r="F219" i="1" s="1"/>
  <c r="G220" i="1"/>
  <c r="G219" i="1" s="1"/>
  <c r="H220" i="1"/>
  <c r="H219" i="1" s="1"/>
  <c r="I220" i="1"/>
  <c r="I219" i="1" s="1"/>
  <c r="E194" i="1"/>
  <c r="E195" i="1"/>
  <c r="D126" i="3" s="1"/>
  <c r="E196" i="1"/>
  <c r="E197" i="1"/>
  <c r="D128" i="3" s="1"/>
  <c r="E198" i="1"/>
  <c r="E199" i="1"/>
  <c r="E200" i="1"/>
  <c r="E201" i="1"/>
  <c r="E202" i="1"/>
  <c r="E203" i="1"/>
  <c r="P203" i="1" s="1"/>
  <c r="E212" i="1"/>
  <c r="E213" i="1"/>
  <c r="P213" i="1" s="1"/>
  <c r="E214" i="1"/>
  <c r="P214" i="1" s="1"/>
  <c r="E217" i="1"/>
  <c r="P217" i="1" s="1"/>
  <c r="E218" i="1"/>
  <c r="E193" i="1"/>
  <c r="K189" i="1"/>
  <c r="L189" i="1"/>
  <c r="M189" i="1"/>
  <c r="N189" i="1"/>
  <c r="O189" i="1"/>
  <c r="F189" i="1"/>
  <c r="G189" i="1"/>
  <c r="H189" i="1"/>
  <c r="I189" i="1"/>
  <c r="E182" i="1"/>
  <c r="D45" i="3" s="1"/>
  <c r="E183" i="1"/>
  <c r="D114" i="3" s="1"/>
  <c r="E184" i="1"/>
  <c r="E185" i="1"/>
  <c r="E186" i="1"/>
  <c r="E187" i="1"/>
  <c r="E181" i="1"/>
  <c r="K179" i="1"/>
  <c r="L179" i="1"/>
  <c r="M179" i="1"/>
  <c r="N179" i="1"/>
  <c r="F179" i="1"/>
  <c r="G179" i="1"/>
  <c r="H179" i="1"/>
  <c r="I179" i="1"/>
  <c r="E176" i="1"/>
  <c r="D91" i="3" s="1"/>
  <c r="E177" i="1"/>
  <c r="D92" i="3" s="1"/>
  <c r="E175" i="1"/>
  <c r="K173" i="1"/>
  <c r="L173" i="1"/>
  <c r="M173" i="1"/>
  <c r="N173" i="1"/>
  <c r="O173" i="1"/>
  <c r="F173" i="1"/>
  <c r="G173" i="1"/>
  <c r="H173" i="1"/>
  <c r="I173" i="1"/>
  <c r="E143" i="1"/>
  <c r="D80" i="3" s="1"/>
  <c r="E144" i="1"/>
  <c r="E145" i="1"/>
  <c r="E147" i="1"/>
  <c r="D84" i="3" s="1"/>
  <c r="E148" i="1"/>
  <c r="E149" i="1"/>
  <c r="D86" i="3" s="1"/>
  <c r="E151" i="1"/>
  <c r="D88" i="3" s="1"/>
  <c r="E153" i="1"/>
  <c r="D90" i="3" s="1"/>
  <c r="E154" i="1"/>
  <c r="D96" i="3" s="1"/>
  <c r="E155" i="1"/>
  <c r="E157" i="1"/>
  <c r="D99" i="3" s="1"/>
  <c r="E159" i="1"/>
  <c r="D101" i="3" s="1"/>
  <c r="E160" i="1"/>
  <c r="D102" i="3" s="1"/>
  <c r="E161" i="1"/>
  <c r="D103" i="3" s="1"/>
  <c r="E162" i="1"/>
  <c r="D104" i="3" s="1"/>
  <c r="E163" i="1"/>
  <c r="E168" i="1"/>
  <c r="E169" i="1"/>
  <c r="E172" i="1"/>
  <c r="E142" i="1"/>
  <c r="L137" i="1"/>
  <c r="M137" i="1"/>
  <c r="N137" i="1"/>
  <c r="F137" i="1"/>
  <c r="G137" i="1"/>
  <c r="H137" i="1"/>
  <c r="I137" i="1"/>
  <c r="E114" i="1"/>
  <c r="E118" i="1"/>
  <c r="E120" i="1"/>
  <c r="D67" i="3" s="1"/>
  <c r="E122" i="1"/>
  <c r="D69" i="3" s="1"/>
  <c r="E124" i="1"/>
  <c r="D71" i="3" s="1"/>
  <c r="E127" i="1"/>
  <c r="D74" i="3" s="1"/>
  <c r="D75" i="3"/>
  <c r="E133" i="1"/>
  <c r="E113" i="1"/>
  <c r="K58" i="1"/>
  <c r="L58" i="1"/>
  <c r="M58" i="1"/>
  <c r="N58" i="1"/>
  <c r="O58" i="1"/>
  <c r="F58" i="1"/>
  <c r="G58" i="1"/>
  <c r="H58" i="1"/>
  <c r="I58" i="1"/>
  <c r="E69" i="1"/>
  <c r="E71" i="1"/>
  <c r="E78" i="1"/>
  <c r="E82" i="1"/>
  <c r="E83" i="1"/>
  <c r="E86" i="1"/>
  <c r="D49" i="3" s="1"/>
  <c r="E87" i="1"/>
  <c r="D50" i="3" s="1"/>
  <c r="E88" i="1"/>
  <c r="D51" i="3" s="1"/>
  <c r="E89" i="1"/>
  <c r="E93" i="1"/>
  <c r="E94" i="1"/>
  <c r="E95" i="1"/>
  <c r="E99" i="1"/>
  <c r="E100" i="1"/>
  <c r="P100" i="1" s="1"/>
  <c r="E68" i="1"/>
  <c r="E22" i="1"/>
  <c r="D21" i="3" s="1"/>
  <c r="E24" i="1"/>
  <c r="E25" i="1"/>
  <c r="E26" i="1"/>
  <c r="D93" i="3" s="1"/>
  <c r="E27" i="1"/>
  <c r="D94" i="3" s="1"/>
  <c r="E28" i="1"/>
  <c r="E29" i="1"/>
  <c r="E30" i="1"/>
  <c r="E31" i="1"/>
  <c r="E32" i="1"/>
  <c r="E33" i="1"/>
  <c r="E34" i="1"/>
  <c r="D119" i="3" s="1"/>
  <c r="E35" i="1"/>
  <c r="D120" i="3" s="1"/>
  <c r="E36" i="1"/>
  <c r="E37" i="1"/>
  <c r="D122" i="3" s="1"/>
  <c r="E38" i="1"/>
  <c r="D123" i="3" s="1"/>
  <c r="E39" i="1"/>
  <c r="D124" i="3" s="1"/>
  <c r="E42" i="1"/>
  <c r="D157" i="3" s="1"/>
  <c r="D155" i="3" s="1"/>
  <c r="E45" i="1"/>
  <c r="E46" i="1"/>
  <c r="E47" i="1"/>
  <c r="E48" i="1"/>
  <c r="D172" i="3" s="1"/>
  <c r="E49" i="1"/>
  <c r="E50" i="1"/>
  <c r="E51" i="1"/>
  <c r="D181" i="3" s="1"/>
  <c r="E52" i="1"/>
  <c r="D182" i="3" s="1"/>
  <c r="E54" i="1"/>
  <c r="E55" i="1"/>
  <c r="E56" i="1"/>
  <c r="D190" i="3" s="1"/>
  <c r="D189" i="3" s="1"/>
  <c r="E21" i="1"/>
  <c r="K18" i="1"/>
  <c r="M18" i="1"/>
  <c r="N18" i="1"/>
  <c r="O18" i="1"/>
  <c r="F18" i="1"/>
  <c r="G18" i="1"/>
  <c r="H18" i="1"/>
  <c r="I18" i="1"/>
  <c r="L18" i="1"/>
  <c r="D201" i="3" l="1"/>
  <c r="D200" i="3" s="1"/>
  <c r="D193" i="3" s="1"/>
  <c r="E106" i="1"/>
  <c r="E19" i="1"/>
  <c r="E222" i="1"/>
  <c r="E59" i="1"/>
  <c r="E58" i="1" s="1"/>
  <c r="D163" i="3"/>
  <c r="D162" i="3" s="1"/>
  <c r="E190" i="1"/>
  <c r="E189" i="1" s="1"/>
  <c r="I269" i="1"/>
  <c r="I275" i="1" s="1"/>
  <c r="G269" i="1"/>
  <c r="G275" i="1" s="1"/>
  <c r="E138" i="1"/>
  <c r="E137" i="1" s="1"/>
  <c r="F269" i="1"/>
  <c r="F275" i="1" s="1"/>
  <c r="M269" i="1"/>
  <c r="M275" i="1" s="1"/>
  <c r="H269" i="1"/>
  <c r="H275" i="1" s="1"/>
  <c r="N269" i="1"/>
  <c r="N275" i="1" s="1"/>
  <c r="D20" i="3"/>
  <c r="D19" i="3" s="1"/>
  <c r="E105" i="1"/>
  <c r="E18" i="1"/>
  <c r="D148" i="3"/>
  <c r="P169" i="1"/>
  <c r="D52" i="3"/>
  <c r="D61" i="3"/>
  <c r="P194" i="1"/>
  <c r="D81" i="3"/>
  <c r="D65" i="3"/>
  <c r="D46" i="3"/>
  <c r="D31" i="3"/>
  <c r="D44" i="3"/>
  <c r="D40" i="3"/>
  <c r="D129" i="3"/>
  <c r="D185" i="3"/>
  <c r="D184" i="3" s="1"/>
  <c r="D130" i="3"/>
  <c r="D173" i="3"/>
  <c r="D33" i="3"/>
  <c r="D134" i="3"/>
  <c r="E260" i="1"/>
  <c r="E259" i="1" s="1"/>
  <c r="D174" i="3"/>
  <c r="P218" i="1"/>
  <c r="D127" i="3"/>
  <c r="E241" i="1"/>
  <c r="E240" i="1" s="1"/>
  <c r="E249" i="1"/>
  <c r="E248" i="1" s="1"/>
  <c r="D131" i="3"/>
  <c r="E180" i="1"/>
  <c r="E179" i="1" s="1"/>
  <c r="E173" i="1"/>
  <c r="D171" i="3"/>
  <c r="D97" i="3"/>
  <c r="D166" i="3"/>
  <c r="P193" i="1"/>
  <c r="O179" i="1"/>
  <c r="D116" i="3"/>
  <c r="D167" i="3"/>
  <c r="D105" i="3"/>
  <c r="D143" i="3"/>
  <c r="D141" i="3" s="1"/>
  <c r="D188" i="3"/>
  <c r="D186" i="3" s="1"/>
  <c r="D117" i="3"/>
  <c r="D115" i="3"/>
  <c r="I45" i="3"/>
  <c r="I23" i="3" s="1"/>
  <c r="J179" i="1"/>
  <c r="D179" i="3"/>
  <c r="D111" i="3"/>
  <c r="D121" i="3"/>
  <c r="D118" i="3" s="1"/>
  <c r="D95" i="3"/>
  <c r="P172" i="1"/>
  <c r="D110" i="3"/>
  <c r="D85" i="3"/>
  <c r="D82" i="3"/>
  <c r="P21" i="1"/>
  <c r="P55" i="1"/>
  <c r="P52" i="1"/>
  <c r="O182" i="3" s="1"/>
  <c r="P50" i="1"/>
  <c r="P48" i="1"/>
  <c r="O172" i="3" s="1"/>
  <c r="P46" i="1"/>
  <c r="P95" i="1"/>
  <c r="P93" i="1"/>
  <c r="P89" i="1"/>
  <c r="P88" i="1"/>
  <c r="O51" i="3" s="1"/>
  <c r="P87" i="1"/>
  <c r="O50" i="3" s="1"/>
  <c r="P82" i="1"/>
  <c r="P78" i="1"/>
  <c r="O40" i="3" s="1"/>
  <c r="P71" i="1"/>
  <c r="O33" i="3" s="1"/>
  <c r="P113" i="1"/>
  <c r="P162" i="1"/>
  <c r="O104" i="3" s="1"/>
  <c r="P160" i="1"/>
  <c r="O102" i="3" s="1"/>
  <c r="P157" i="1"/>
  <c r="O99" i="3" s="1"/>
  <c r="P154" i="1"/>
  <c r="O96" i="3" s="1"/>
  <c r="P151" i="1"/>
  <c r="O88" i="3" s="1"/>
  <c r="P148" i="1"/>
  <c r="P145" i="1"/>
  <c r="P201" i="1"/>
  <c r="P199" i="1"/>
  <c r="P196" i="1"/>
  <c r="O127" i="3" s="1"/>
  <c r="P229" i="1"/>
  <c r="O144" i="3" s="1"/>
  <c r="P268" i="1"/>
  <c r="O195" i="3" s="1"/>
  <c r="O194" i="3" s="1"/>
  <c r="P56" i="1"/>
  <c r="O190" i="3" s="1"/>
  <c r="O189" i="3" s="1"/>
  <c r="P54" i="1"/>
  <c r="P51" i="1"/>
  <c r="O181" i="3" s="1"/>
  <c r="P49" i="1"/>
  <c r="J164" i="3" s="1"/>
  <c r="J135" i="3" s="1"/>
  <c r="P47" i="1"/>
  <c r="O171" i="3" s="1"/>
  <c r="P45" i="1"/>
  <c r="P99" i="1"/>
  <c r="P94" i="1"/>
  <c r="P86" i="1"/>
  <c r="O49" i="3" s="1"/>
  <c r="P83" i="1"/>
  <c r="O46" i="3" s="1"/>
  <c r="P142" i="1"/>
  <c r="P163" i="1"/>
  <c r="P161" i="1"/>
  <c r="O103" i="3" s="1"/>
  <c r="P159" i="1"/>
  <c r="O101" i="3" s="1"/>
  <c r="P155" i="1"/>
  <c r="O97" i="3" s="1"/>
  <c r="P153" i="1"/>
  <c r="O90" i="3" s="1"/>
  <c r="P149" i="1"/>
  <c r="O86" i="3" s="1"/>
  <c r="P147" i="1"/>
  <c r="O84" i="3" s="1"/>
  <c r="P144" i="1"/>
  <c r="P200" i="1"/>
  <c r="P198" i="1"/>
  <c r="P197" i="1"/>
  <c r="O128" i="3" s="1"/>
  <c r="P230" i="1"/>
  <c r="O145" i="3" s="1"/>
  <c r="P261" i="1"/>
  <c r="J189" i="1"/>
  <c r="P212" i="1"/>
  <c r="P242" i="1"/>
  <c r="P243" i="1"/>
  <c r="P253" i="1"/>
  <c r="O169" i="3" s="1"/>
  <c r="J248" i="1"/>
  <c r="P265" i="1"/>
  <c r="P262" i="1"/>
  <c r="P177" i="1"/>
  <c r="O92" i="3" s="1"/>
  <c r="P176" i="1"/>
  <c r="O91" i="3" s="1"/>
  <c r="P42" i="1"/>
  <c r="O157" i="3" s="1"/>
  <c r="O155" i="3" s="1"/>
  <c r="P36" i="1"/>
  <c r="P34" i="1"/>
  <c r="O119" i="3" s="1"/>
  <c r="P32" i="1"/>
  <c r="P30" i="1"/>
  <c r="P28" i="1"/>
  <c r="P26" i="1"/>
  <c r="O93" i="3" s="1"/>
  <c r="P24" i="1"/>
  <c r="P181" i="1"/>
  <c r="P237" i="1"/>
  <c r="P247" i="1"/>
  <c r="P246" i="1" s="1"/>
  <c r="P245" i="1" s="1"/>
  <c r="P254" i="1"/>
  <c r="O170" i="3" s="1"/>
  <c r="P252" i="1"/>
  <c r="P251" i="1"/>
  <c r="O140" i="3" s="1"/>
  <c r="O139" i="3" s="1"/>
  <c r="P255" i="1"/>
  <c r="P202" i="1"/>
  <c r="P39" i="1"/>
  <c r="O124" i="3" s="1"/>
  <c r="P37" i="1"/>
  <c r="O122" i="3" s="1"/>
  <c r="P35" i="1"/>
  <c r="O120" i="3" s="1"/>
  <c r="P33" i="1"/>
  <c r="P29" i="1"/>
  <c r="P27" i="1"/>
  <c r="O94" i="3" s="1"/>
  <c r="P25" i="1"/>
  <c r="P133" i="1"/>
  <c r="P128" i="1"/>
  <c r="O75" i="3" s="1"/>
  <c r="P127" i="1"/>
  <c r="O74" i="3" s="1"/>
  <c r="P124" i="1"/>
  <c r="O71" i="3" s="1"/>
  <c r="P122" i="1"/>
  <c r="O69" i="3" s="1"/>
  <c r="P120" i="1"/>
  <c r="O67" i="3" s="1"/>
  <c r="P118" i="1"/>
  <c r="P114" i="1"/>
  <c r="J173" i="1"/>
  <c r="P186" i="1"/>
  <c r="P187" i="1"/>
  <c r="P183" i="1"/>
  <c r="P232" i="1"/>
  <c r="O148" i="3" s="1"/>
  <c r="P228" i="1"/>
  <c r="P22" i="1"/>
  <c r="O21" i="3" s="1"/>
  <c r="P31" i="1"/>
  <c r="P195" i="1"/>
  <c r="O126" i="3" s="1"/>
  <c r="P244" i="1"/>
  <c r="P38" i="1"/>
  <c r="O123" i="3" s="1"/>
  <c r="P69" i="1"/>
  <c r="O31" i="3" s="1"/>
  <c r="P175" i="1"/>
  <c r="P185" i="1"/>
  <c r="P184" i="1"/>
  <c r="P263" i="1"/>
  <c r="P225" i="1"/>
  <c r="P226" i="1"/>
  <c r="P266" i="1"/>
  <c r="O191" i="3" s="1"/>
  <c r="J259" i="1"/>
  <c r="J58" i="1"/>
  <c r="P250" i="1"/>
  <c r="P221" i="1"/>
  <c r="P220" i="1" s="1"/>
  <c r="P219" i="1" s="1"/>
  <c r="P68" i="1"/>
  <c r="J18" i="1"/>
  <c r="P168" i="1"/>
  <c r="P182" i="1"/>
  <c r="O45" i="3" s="1"/>
  <c r="D125" i="3" l="1"/>
  <c r="O201" i="3"/>
  <c r="O200" i="3" s="1"/>
  <c r="O193" i="3" s="1"/>
  <c r="P106" i="1"/>
  <c r="P105" i="1" s="1"/>
  <c r="P19" i="1"/>
  <c r="P59" i="1"/>
  <c r="P58" i="1" s="1"/>
  <c r="D23" i="3"/>
  <c r="O163" i="3"/>
  <c r="O162" i="3" s="1"/>
  <c r="P190" i="1"/>
  <c r="D76" i="3"/>
  <c r="O20" i="3"/>
  <c r="O19" i="3" s="1"/>
  <c r="E269" i="1"/>
  <c r="R31" i="1"/>
  <c r="O114" i="3"/>
  <c r="R181" i="1"/>
  <c r="O52" i="3"/>
  <c r="O105" i="3"/>
  <c r="O61" i="3"/>
  <c r="D56" i="3"/>
  <c r="O81" i="3"/>
  <c r="O65" i="3"/>
  <c r="O44" i="3"/>
  <c r="O23" i="3" s="1"/>
  <c r="O129" i="3"/>
  <c r="O185" i="3"/>
  <c r="O184" i="3" s="1"/>
  <c r="O130" i="3"/>
  <c r="O173" i="3"/>
  <c r="O174" i="3"/>
  <c r="O134" i="3"/>
  <c r="P260" i="1"/>
  <c r="P249" i="1"/>
  <c r="P241" i="1"/>
  <c r="P180" i="1"/>
  <c r="O143" i="3"/>
  <c r="O141" i="3" s="1"/>
  <c r="D164" i="3"/>
  <c r="O110" i="3"/>
  <c r="D177" i="3"/>
  <c r="D113" i="3"/>
  <c r="O166" i="3"/>
  <c r="O188" i="3"/>
  <c r="O186" i="3" s="1"/>
  <c r="O179" i="3"/>
  <c r="O131" i="3"/>
  <c r="O117" i="3"/>
  <c r="O116" i="3"/>
  <c r="O111" i="3"/>
  <c r="O85" i="3"/>
  <c r="O121" i="3"/>
  <c r="O118" i="3" s="1"/>
  <c r="O115" i="3"/>
  <c r="O167" i="3"/>
  <c r="O82" i="3"/>
  <c r="O95" i="3"/>
  <c r="L222" i="1"/>
  <c r="D135" i="3" l="1"/>
  <c r="D203" i="3" s="1"/>
  <c r="E275" i="1" s="1"/>
  <c r="L269" i="1"/>
  <c r="L275" i="1" s="1"/>
  <c r="O56" i="3"/>
  <c r="O177" i="3"/>
  <c r="O164" i="3"/>
  <c r="O113" i="3"/>
  <c r="P227" i="1"/>
  <c r="P223" i="1" s="1"/>
  <c r="J222" i="1"/>
  <c r="O135" i="3" l="1"/>
  <c r="O133" i="3"/>
  <c r="O125" i="3" s="1"/>
  <c r="O143" i="1" l="1"/>
  <c r="O138" i="1" s="1"/>
  <c r="K143" i="1"/>
  <c r="K138" i="1" s="1"/>
  <c r="J80" i="3" l="1"/>
  <c r="J76" i="3" s="1"/>
  <c r="K137" i="1"/>
  <c r="K269" i="1" s="1"/>
  <c r="N80" i="3"/>
  <c r="N76" i="3" s="1"/>
  <c r="O137" i="1"/>
  <c r="O269" i="1" s="1"/>
  <c r="J143" i="1"/>
  <c r="J138" i="1" s="1"/>
  <c r="N203" i="3" l="1"/>
  <c r="O275" i="1" s="1"/>
  <c r="J203" i="3"/>
  <c r="K275" i="1" s="1"/>
  <c r="I80" i="3"/>
  <c r="I76" i="3" s="1"/>
  <c r="P143" i="1"/>
  <c r="P138" i="1" s="1"/>
  <c r="P18" i="1"/>
  <c r="P240" i="1"/>
  <c r="P259" i="1"/>
  <c r="I203" i="3" l="1"/>
  <c r="O80" i="3"/>
  <c r="O76" i="3" s="1"/>
  <c r="P137" i="1"/>
  <c r="J137" i="1"/>
  <c r="J269" i="1" s="1"/>
  <c r="P248" i="1"/>
  <c r="P222" i="1"/>
  <c r="P189" i="1"/>
  <c r="P179" i="1"/>
  <c r="P173" i="1"/>
  <c r="J275" i="1" l="1"/>
  <c r="P269" i="1"/>
  <c r="O203" i="3"/>
  <c r="P275" i="1" l="1"/>
  <c r="C52" i="1"/>
  <c r="C263" i="1" l="1"/>
  <c r="D263" i="1"/>
  <c r="B263" i="1"/>
  <c r="C213" i="1"/>
  <c r="D213" i="1"/>
  <c r="B213" i="1"/>
  <c r="C147" i="1" l="1"/>
  <c r="D147" i="1"/>
  <c r="B147" i="1"/>
  <c r="C31" i="1"/>
  <c r="D31" i="1"/>
  <c r="B31" i="1"/>
  <c r="C94" i="1"/>
  <c r="B94" i="1"/>
  <c r="B124" i="1"/>
  <c r="C124" i="1"/>
  <c r="D124" i="1"/>
  <c r="B155" i="1"/>
  <c r="C155" i="1"/>
  <c r="D155" i="1"/>
  <c r="B157" i="1"/>
  <c r="C157" i="1"/>
  <c r="D157" i="1"/>
  <c r="C151" i="1"/>
  <c r="D151" i="1"/>
  <c r="B151" i="1"/>
  <c r="C244" i="1"/>
  <c r="B244" i="1"/>
  <c r="C243" i="1"/>
  <c r="D243" i="1"/>
  <c r="B243" i="1"/>
  <c r="D128" i="1"/>
  <c r="C128" i="1"/>
  <c r="B128" i="1"/>
  <c r="C127" i="1"/>
  <c r="D127" i="1"/>
  <c r="B127" i="1"/>
  <c r="C49" i="1"/>
  <c r="B49" i="1"/>
  <c r="C172" i="1"/>
  <c r="B172" i="1"/>
  <c r="C168" i="1"/>
  <c r="D168" i="1"/>
  <c r="C169" i="1"/>
  <c r="B169" i="1"/>
  <c r="B168" i="1"/>
  <c r="C163" i="1"/>
  <c r="D163" i="1"/>
  <c r="B163" i="1"/>
  <c r="C162" i="1"/>
  <c r="D162" i="1"/>
  <c r="B162" i="1"/>
  <c r="C161" i="1"/>
  <c r="D161" i="1"/>
  <c r="B161" i="1"/>
  <c r="C160" i="1"/>
  <c r="D160" i="1"/>
  <c r="B160" i="1"/>
  <c r="C159" i="1"/>
  <c r="D159" i="1"/>
  <c r="B159" i="1"/>
  <c r="C154" i="1"/>
  <c r="D154" i="1"/>
  <c r="B154" i="1"/>
  <c r="C153" i="1"/>
  <c r="D153" i="1"/>
  <c r="B153" i="1"/>
  <c r="C149" i="1"/>
  <c r="D149" i="1"/>
  <c r="B149" i="1"/>
  <c r="C148" i="1"/>
  <c r="D148" i="1"/>
  <c r="B148" i="1"/>
  <c r="C145" i="1"/>
  <c r="D145" i="1"/>
  <c r="B145" i="1"/>
  <c r="C144" i="1"/>
  <c r="B144" i="1"/>
  <c r="C143" i="1"/>
  <c r="D143" i="1"/>
  <c r="B143" i="1"/>
  <c r="C133" i="1"/>
  <c r="B133" i="1"/>
  <c r="C122" i="1"/>
  <c r="D122" i="1"/>
  <c r="B122" i="1"/>
  <c r="C120" i="1"/>
  <c r="D120" i="1"/>
  <c r="B120" i="1"/>
  <c r="C118" i="1"/>
  <c r="B118" i="1"/>
  <c r="C114" i="1"/>
  <c r="B114" i="1"/>
  <c r="C100" i="1"/>
  <c r="D100" i="1"/>
  <c r="B100" i="1"/>
  <c r="C99" i="1"/>
  <c r="B99" i="1"/>
  <c r="C95" i="1"/>
  <c r="D95" i="1"/>
  <c r="B95" i="1"/>
  <c r="D93" i="1"/>
  <c r="C93" i="1"/>
  <c r="B93" i="1"/>
  <c r="C87" i="1"/>
  <c r="C88" i="1"/>
  <c r="D88" i="1"/>
  <c r="B88" i="1"/>
  <c r="B87" i="1"/>
  <c r="C86" i="1"/>
  <c r="D86" i="1"/>
  <c r="B86" i="1"/>
  <c r="C83" i="1"/>
  <c r="D83" i="1"/>
  <c r="B83" i="1"/>
  <c r="C82" i="1"/>
  <c r="D82" i="1"/>
  <c r="B82" i="1"/>
  <c r="C78" i="1"/>
  <c r="D78" i="1"/>
  <c r="B78" i="1"/>
  <c r="C71" i="1"/>
  <c r="D71" i="1"/>
  <c r="B71" i="1"/>
  <c r="C69" i="1"/>
  <c r="B69" i="1"/>
  <c r="C56" i="1"/>
  <c r="D56" i="1"/>
  <c r="B56" i="1"/>
  <c r="C55" i="1"/>
  <c r="D55" i="1"/>
  <c r="B55" i="1"/>
  <c r="C54" i="1"/>
  <c r="D54" i="1"/>
  <c r="B54" i="1"/>
  <c r="D52" i="1"/>
  <c r="B52" i="1"/>
  <c r="C51" i="1"/>
  <c r="D51" i="1"/>
  <c r="B51" i="1"/>
  <c r="C50" i="1"/>
  <c r="D50" i="1"/>
  <c r="B50" i="1"/>
  <c r="C48" i="1"/>
  <c r="D48" i="1"/>
  <c r="B48" i="1"/>
  <c r="C47" i="1"/>
  <c r="D47" i="1"/>
  <c r="B47" i="1"/>
  <c r="C46" i="1"/>
  <c r="D46" i="1"/>
  <c r="B46" i="1"/>
  <c r="C45" i="1"/>
  <c r="B45" i="1"/>
  <c r="C42" i="1"/>
  <c r="D42" i="1"/>
  <c r="B42" i="1"/>
  <c r="C29" i="1"/>
  <c r="D29" i="1"/>
  <c r="C30" i="1"/>
  <c r="B30" i="1"/>
  <c r="B29" i="1"/>
  <c r="C32" i="1"/>
  <c r="D32" i="1"/>
  <c r="C33" i="1"/>
  <c r="D33" i="1"/>
  <c r="B33" i="1"/>
  <c r="B32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28" i="1"/>
  <c r="B28" i="1"/>
  <c r="C27" i="1"/>
  <c r="D27" i="1"/>
  <c r="B27" i="1"/>
  <c r="C26" i="1"/>
  <c r="D26" i="1"/>
  <c r="B26" i="1"/>
  <c r="C25" i="1"/>
  <c r="D25" i="1"/>
  <c r="B25" i="1"/>
  <c r="C24" i="1"/>
  <c r="B24" i="1"/>
  <c r="C22" i="1"/>
  <c r="D22" i="1"/>
  <c r="B22" i="1"/>
  <c r="D177" i="1"/>
  <c r="C177" i="1"/>
  <c r="B177" i="1"/>
  <c r="C182" i="1"/>
  <c r="D182" i="1"/>
  <c r="B182" i="1"/>
  <c r="C183" i="1"/>
  <c r="D183" i="1"/>
  <c r="B183" i="1"/>
  <c r="C185" i="1"/>
  <c r="D185" i="1"/>
  <c r="C186" i="1"/>
  <c r="D186" i="1"/>
  <c r="B186" i="1"/>
  <c r="B185" i="1"/>
  <c r="C187" i="1"/>
  <c r="B187" i="1"/>
  <c r="C194" i="1"/>
  <c r="D194" i="1"/>
  <c r="B194" i="1"/>
  <c r="C198" i="1"/>
  <c r="D198" i="1"/>
  <c r="B198" i="1"/>
  <c r="C197" i="1"/>
  <c r="D197" i="1"/>
  <c r="B197" i="1"/>
  <c r="C196" i="1"/>
  <c r="D196" i="1"/>
  <c r="B196" i="1"/>
  <c r="C195" i="1"/>
  <c r="D195" i="1"/>
  <c r="B195" i="1"/>
  <c r="C199" i="1"/>
  <c r="D199" i="1"/>
  <c r="B199" i="1"/>
  <c r="C200" i="1"/>
  <c r="D200" i="1"/>
  <c r="B200" i="1"/>
  <c r="C201" i="1"/>
  <c r="D201" i="1"/>
  <c r="B201" i="1"/>
  <c r="C202" i="1"/>
  <c r="D202" i="1"/>
  <c r="B202" i="1"/>
  <c r="C203" i="1"/>
  <c r="D203" i="1"/>
  <c r="B203" i="1"/>
  <c r="C212" i="1"/>
  <c r="B212" i="1"/>
  <c r="C217" i="1"/>
  <c r="D217" i="1"/>
  <c r="B217" i="1"/>
  <c r="C218" i="1"/>
  <c r="B218" i="1"/>
  <c r="C226" i="1"/>
  <c r="D226" i="1"/>
  <c r="B226" i="1"/>
  <c r="C227" i="1"/>
  <c r="D227" i="1"/>
  <c r="B227" i="1"/>
  <c r="C228" i="1"/>
  <c r="D228" i="1"/>
  <c r="B228" i="1"/>
  <c r="C230" i="1"/>
  <c r="D230" i="1"/>
  <c r="B230" i="1"/>
  <c r="C229" i="1"/>
  <c r="D229" i="1"/>
  <c r="B229" i="1"/>
  <c r="C232" i="1"/>
  <c r="D232" i="1"/>
  <c r="B232" i="1"/>
  <c r="C237" i="1"/>
  <c r="B237" i="1"/>
  <c r="C251" i="1"/>
  <c r="D251" i="1"/>
  <c r="B251" i="1"/>
  <c r="C252" i="1"/>
  <c r="D252" i="1"/>
  <c r="B252" i="1"/>
  <c r="C253" i="1"/>
  <c r="D253" i="1"/>
  <c r="B253" i="1"/>
  <c r="C254" i="1"/>
  <c r="D254" i="1"/>
  <c r="B254" i="1"/>
  <c r="C255" i="1"/>
  <c r="D255" i="1"/>
  <c r="B255" i="1"/>
  <c r="C262" i="1"/>
  <c r="B262" i="1"/>
  <c r="C265" i="1"/>
  <c r="D265" i="1"/>
  <c r="B265" i="1"/>
  <c r="C266" i="1"/>
  <c r="D266" i="1"/>
  <c r="B266" i="1"/>
  <c r="C267" i="1"/>
  <c r="D267" i="1"/>
  <c r="B267" i="1"/>
  <c r="C268" i="1"/>
  <c r="D268" i="1"/>
  <c r="B268" i="1"/>
  <c r="C261" i="1"/>
  <c r="B261" i="1"/>
  <c r="C250" i="1"/>
  <c r="B250" i="1"/>
  <c r="C247" i="1"/>
  <c r="B247" i="1"/>
  <c r="C242" i="1"/>
  <c r="B242" i="1"/>
  <c r="C225" i="1"/>
  <c r="B225" i="1"/>
  <c r="C221" i="1"/>
  <c r="B221" i="1"/>
  <c r="C193" i="1"/>
  <c r="B193" i="1"/>
  <c r="C181" i="1"/>
  <c r="B181" i="1"/>
  <c r="C175" i="1"/>
  <c r="B175" i="1"/>
  <c r="C142" i="1"/>
  <c r="B142" i="1"/>
  <c r="C113" i="1"/>
  <c r="B113" i="1"/>
  <c r="C68" i="1"/>
  <c r="B68" i="1"/>
  <c r="C21" i="1"/>
  <c r="B21" i="1"/>
  <c r="D261" i="1"/>
  <c r="D250" i="1"/>
  <c r="D247" i="1"/>
  <c r="D242" i="1"/>
  <c r="D225" i="1"/>
  <c r="D221" i="1"/>
  <c r="D193" i="1"/>
  <c r="D181" i="1"/>
  <c r="D175" i="1"/>
  <c r="D142" i="1"/>
  <c r="D113" i="1"/>
  <c r="D68" i="1"/>
  <c r="D21" i="1"/>
  <c r="E58" i="3" l="1"/>
  <c r="E77" i="3" l="1"/>
  <c r="E206" i="3" s="1"/>
  <c r="F278" i="1" s="1"/>
  <c r="D58" i="3" l="1"/>
  <c r="I58" i="3"/>
  <c r="O58" i="3" l="1"/>
  <c r="D59" i="3" l="1"/>
  <c r="D60" i="3"/>
  <c r="D57" i="3" l="1"/>
  <c r="I60" i="3"/>
  <c r="I59" i="3"/>
  <c r="O60" i="3"/>
  <c r="D77" i="3" l="1"/>
  <c r="O59" i="3"/>
  <c r="I57" i="3"/>
  <c r="O57" i="3" l="1"/>
  <c r="I77" i="3"/>
  <c r="O77" i="3" l="1"/>
  <c r="I156" i="3"/>
  <c r="I137" i="3" s="1"/>
  <c r="I206" i="3" s="1"/>
  <c r="J278" i="1" s="1"/>
  <c r="D156" i="3"/>
  <c r="D137" i="3" s="1"/>
  <c r="D206" i="3" s="1"/>
  <c r="E278" i="1" s="1"/>
  <c r="O156" i="3" l="1"/>
  <c r="O137" i="3" s="1"/>
  <c r="O206" i="3" s="1"/>
  <c r="P278" i="1" s="1"/>
  <c r="D142" i="3" l="1"/>
  <c r="D136" i="3" s="1"/>
  <c r="D204" i="3" s="1"/>
  <c r="E276" i="1" s="1"/>
  <c r="I142" i="3" l="1"/>
  <c r="I136" i="3" s="1"/>
  <c r="I204" i="3" s="1"/>
  <c r="J276" i="1" s="1"/>
  <c r="O142" i="3"/>
  <c r="O136" i="3" s="1"/>
  <c r="O204" i="3" s="1"/>
  <c r="P276" i="1" s="1"/>
</calcChain>
</file>

<file path=xl/sharedStrings.xml><?xml version="1.0" encoding="utf-8"?>
<sst xmlns="http://schemas.openxmlformats.org/spreadsheetml/2006/main" count="797" uniqueCount="537">
  <si>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</si>
  <si>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</si>
  <si>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</si>
  <si>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</si>
  <si>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</si>
  <si>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</si>
  <si>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</si>
  <si>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</si>
  <si>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</si>
  <si>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</si>
  <si>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</si>
  <si>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</si>
  <si>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</si>
  <si>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</si>
  <si>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</si>
  <si>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</si>
  <si>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</si>
  <si>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</si>
  <si>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</si>
  <si>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</si>
  <si>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</si>
  <si>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</si>
  <si>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</si>
  <si>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</si>
  <si>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</si>
  <si>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</si>
  <si>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</si>
  <si>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</si>
  <si>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</si>
  <si>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</si>
  <si>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</si>
  <si>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</si>
  <si>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</si>
  <si>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</si>
  <si>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</si>
  <si>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</si>
  <si>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</si>
  <si>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</si>
  <si>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</si>
  <si>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</si>
  <si>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</si>
  <si>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</si>
  <si>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</si>
  <si>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</si>
  <si>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</si>
  <si>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</si>
  <si>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</si>
  <si>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</si>
  <si>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</si>
  <si>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</si>
  <si>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</si>
  <si>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</si>
  <si>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</si>
  <si>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</si>
  <si>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</si>
  <si>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</si>
  <si>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</si>
  <si>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</si>
  <si>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</si>
  <si>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</si>
  <si>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</si>
  <si>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</si>
  <si>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</si>
  <si>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</si>
  <si>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</si>
  <si>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</si>
  <si>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</si>
  <si>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</si>
  <si>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</si>
  <si>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</si>
  <si>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</si>
  <si>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</si>
  <si>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</si>
  <si>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</si>
  <si>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</si>
  <si>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</si>
  <si>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</si>
  <si>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</si>
  <si>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</si>
  <si>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</si>
  <si>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</si>
  <si>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</si>
  <si>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</si>
  <si>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</si>
  <si>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</si>
  <si>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</si>
  <si>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</si>
  <si>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</si>
  <si>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</si>
  <si>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</si>
  <si>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</si>
  <si>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</si>
  <si>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</si>
  <si>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</si>
  <si>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</si>
  <si>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</si>
  <si>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</si>
  <si>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</si>
  <si>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</si>
  <si>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</si>
  <si>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</si>
  <si>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</si>
  <si>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</si>
  <si>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</si>
  <si>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</si>
  <si>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</si>
  <si>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</si>
  <si>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</si>
  <si>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</si>
  <si>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</si>
  <si>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</si>
  <si>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</si>
  <si>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</si>
  <si>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</si>
  <si>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</si>
  <si>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</si>
  <si>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</si>
  <si>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</si>
  <si>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</si>
  <si>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</si>
  <si>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</si>
  <si>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</si>
  <si>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</si>
  <si>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</si>
  <si>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</si>
  <si>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</si>
  <si>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</si>
  <si>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</si>
  <si>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</si>
  <si>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</si>
  <si>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</si>
  <si>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</si>
  <si>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</si>
  <si>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</si>
  <si>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</si>
  <si>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</si>
  <si>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</si>
  <si>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</si>
  <si>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</si>
  <si>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</si>
  <si>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</si>
  <si>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</si>
  <si>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</si>
  <si>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</si>
  <si>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</si>
  <si>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</si>
  <si>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</si>
  <si>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</si>
  <si>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</si>
  <si>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</si>
  <si>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</si>
  <si>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</si>
  <si>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</si>
  <si>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</si>
  <si>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</si>
  <si>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</si>
  <si>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</si>
  <si>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</si>
  <si>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</si>
  <si>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</si>
  <si>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</si>
  <si>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</si>
  <si>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</si>
  <si>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</si>
  <si>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</si>
  <si>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</si>
  <si>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</si>
  <si>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</si>
  <si>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</si>
  <si>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</si>
  <si>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</si>
  <si>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</si>
  <si>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</si>
  <si>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</si>
  <si>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</si>
  <si>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</si>
  <si>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</si>
  <si>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</si>
  <si>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</si>
  <si>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</si>
  <si>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</si>
  <si>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</si>
  <si>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</si>
  <si>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</si>
  <si>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</si>
  <si>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</si>
  <si>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</si>
  <si>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</si>
  <si>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</si>
  <si>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</si>
  <si>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</si>
  <si>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</si>
  <si>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</si>
  <si>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</si>
  <si>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</si>
  <si>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</si>
  <si>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</si>
  <si>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</si>
  <si>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</si>
  <si>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</si>
  <si>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</si>
  <si>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</si>
  <si>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</si>
  <si>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</si>
  <si>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</si>
  <si>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</si>
  <si>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</si>
  <si>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</si>
  <si>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</si>
  <si>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</si>
  <si>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</si>
  <si>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</si>
  <si>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</si>
  <si>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</si>
  <si>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</si>
  <si>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</si>
  <si>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</si>
  <si>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</si>
  <si>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</si>
  <si>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</si>
  <si>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</si>
  <si>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</si>
  <si>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</si>
  <si>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</si>
  <si>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</si>
  <si>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</si>
  <si>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</si>
  <si>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</si>
  <si>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</si>
  <si>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</si>
  <si>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</si>
  <si>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</si>
  <si>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</si>
  <si>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</si>
  <si>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</si>
  <si>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</si>
  <si>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</si>
  <si>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</si>
  <si>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</si>
  <si>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</si>
  <si>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</si>
  <si>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</si>
  <si>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</si>
  <si>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</si>
  <si>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</si>
  <si>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</si>
  <si>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</si>
  <si>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</si>
  <si>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</si>
  <si>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</si>
  <si>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</si>
  <si>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</si>
  <si>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</si>
  <si>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</si>
  <si>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</si>
  <si>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</si>
  <si>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</si>
  <si>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</si>
  <si>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</si>
  <si>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</si>
  <si>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</si>
  <si>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</si>
  <si>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</si>
  <si>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</si>
  <si>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</si>
  <si>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</si>
  <si>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</si>
  <si>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</si>
  <si>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</si>
  <si>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</si>
  <si>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</si>
  <si>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</si>
  <si>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</si>
  <si>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</si>
  <si>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</si>
  <si>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</si>
  <si>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</si>
  <si>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</si>
  <si>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</si>
  <si>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</si>
  <si>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</si>
  <si>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</si>
  <si>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</si>
  <si>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</si>
  <si>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</si>
  <si>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</si>
  <si>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</si>
  <si>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</si>
  <si>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</si>
  <si>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</si>
  <si>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</si>
  <si>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</si>
  <si>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</si>
  <si>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</si>
  <si>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</si>
  <si>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</si>
  <si>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</si>
  <si>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</si>
  <si>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</si>
  <si>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</si>
  <si>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</si>
  <si>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</si>
  <si>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</si>
  <si>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</si>
  <si>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</si>
  <si>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</si>
  <si>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</si>
  <si>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</si>
  <si>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</si>
  <si>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</si>
  <si>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</si>
  <si>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</si>
  <si>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</si>
  <si>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</si>
  <si>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</si>
  <si>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</si>
  <si>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</si>
  <si>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</si>
  <si>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</si>
  <si>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</si>
  <si>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</si>
  <si>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</si>
  <si>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</si>
  <si>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</si>
  <si>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</si>
  <si>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</si>
  <si>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</si>
  <si>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</si>
  <si>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</si>
  <si>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</si>
  <si>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</si>
  <si>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</si>
  <si>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</si>
  <si>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</si>
  <si>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</si>
  <si>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</si>
  <si>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</si>
  <si>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</si>
  <si>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</si>
  <si>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</si>
  <si>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</si>
  <si>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</si>
  <si>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</si>
  <si>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</si>
  <si>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</si>
  <si>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</si>
  <si>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</si>
  <si>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</si>
  <si>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</si>
  <si>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</si>
  <si>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</si>
  <si>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</si>
  <si>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</si>
  <si>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</si>
  <si>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</si>
  <si>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</si>
  <si>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</si>
  <si>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</si>
  <si>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</si>
  <si>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</si>
  <si>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</si>
  <si>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</si>
  <si>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</si>
  <si>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</si>
  <si>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</si>
  <si>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</si>
  <si>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</si>
  <si>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</si>
  <si>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</si>
  <si>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</si>
  <si>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</si>
  <si>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</si>
  <si>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</si>
  <si>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</si>
  <si>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</si>
  <si>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</si>
  <si>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</si>
  <si>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</si>
  <si>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</si>
  <si>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</si>
  <si>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</si>
  <si>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</si>
  <si>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</si>
  <si>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</si>
  <si>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</si>
  <si>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</si>
  <si>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</si>
  <si>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</si>
  <si>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</si>
  <si>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</si>
  <si>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</si>
  <si>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</si>
  <si>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</si>
  <si>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</si>
  <si>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</si>
  <si>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</si>
  <si>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</si>
  <si>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</si>
  <si>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</si>
  <si>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</si>
  <si>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</si>
  <si>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</si>
  <si>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</si>
  <si>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</si>
  <si>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</si>
  <si>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</si>
  <si>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</si>
  <si>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</si>
  <si>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</si>
  <si>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</si>
  <si>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</si>
  <si>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</si>
  <si>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</si>
  <si>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</si>
  <si>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</si>
  <si>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</si>
  <si>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</si>
  <si>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</si>
  <si>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</si>
  <si>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</si>
  <si>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</si>
  <si>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</si>
  <si>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</si>
  <si>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</si>
  <si>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</si>
  <si>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</si>
  <si>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 xml:space="preserve"> __________________</t>
  </si>
  <si>
    <t>(зі змінами)»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</si>
  <si>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</si>
  <si>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</si>
  <si>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</si>
  <si>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</si>
  <si>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</si>
  <si>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</si>
  <si>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 xml:space="preserve">                        Додаток № 3</t>
  </si>
  <si>
    <t>1218110</t>
  </si>
  <si>
    <t xml:space="preserve">територіальної   громади    на   2020   рік»  </t>
  </si>
  <si>
    <t>0617321</t>
  </si>
  <si>
    <t xml:space="preserve">територіальної   громади    на    2020   рік» </t>
  </si>
  <si>
    <t xml:space="preserve">    код бюджету</t>
  </si>
  <si>
    <t>0219800</t>
  </si>
  <si>
    <t xml:space="preserve">від  24   грудня   2019   року  №  6248 - МР           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</si>
  <si>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</si>
  <si>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</si>
  <si>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</si>
  <si>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</si>
  <si>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</si>
  <si>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</si>
  <si>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</si>
  <si>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</si>
  <si>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</si>
  <si>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</si>
  <si>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</si>
  <si>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</si>
  <si>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</si>
  <si>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</si>
  <si>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</si>
  <si>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</si>
  <si>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</si>
  <si>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</si>
  <si>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</si>
  <si>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</si>
  <si>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</si>
  <si>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</si>
  <si>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</si>
  <si>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</si>
  <si>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</si>
  <si>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</si>
  <si>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</si>
  <si>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</si>
  <si>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</si>
  <si>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</si>
  <si>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</si>
  <si>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</si>
  <si>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</si>
  <si>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</si>
  <si>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</si>
  <si>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</si>
  <si>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</si>
  <si>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</si>
  <si>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</si>
  <si>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</si>
  <si>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</si>
  <si>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</si>
  <si>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</si>
  <si>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</si>
  <si>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</si>
  <si>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</si>
  <si>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</si>
  <si>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</si>
  <si>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</si>
  <si>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</si>
  <si>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</si>
  <si>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</si>
  <si>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</si>
  <si>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</si>
  <si>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</si>
  <si>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</si>
  <si>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</si>
  <si>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</si>
  <si>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</si>
  <si>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</si>
  <si>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</si>
  <si>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</si>
  <si>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</si>
  <si>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</si>
  <si>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</si>
  <si>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</si>
  <si>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 xml:space="preserve">                        Додаток № 4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</si>
  <si>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</si>
  <si>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</si>
  <si>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</si>
  <si>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</si>
  <si>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</si>
  <si>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</si>
  <si>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</si>
  <si>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</si>
  <si>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</si>
  <si>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</si>
  <si>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</si>
  <si>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</si>
  <si>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</si>
  <si>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</si>
  <si>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</si>
  <si>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</si>
  <si>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Виконавець: Липова С.А.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</si>
  <si>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</si>
  <si>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</si>
  <si>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</si>
  <si>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</si>
  <si>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</si>
  <si>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</si>
  <si>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</si>
  <si>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від  23  вересня   2020   року   № 7524 -  МР</t>
  </si>
  <si>
    <t>Секретар Сумської міської ради</t>
  </si>
  <si>
    <t>А.В. Баранов</t>
  </si>
  <si>
    <t>від 23 вересня   2020    року   № 7524 -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</si>
</sst>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90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/>
    <xf numFmtId="3" fontId="38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6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left" wrapText="1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 applyProtection="1"/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49" fontId="42" fillId="0" borderId="0" xfId="0" applyNumberFormat="1" applyFont="1" applyFill="1" applyAlignment="1" applyProtection="1">
      <alignment vertical="center"/>
    </xf>
    <xf numFmtId="0" fontId="43" fillId="0" borderId="0" xfId="0" applyNumberFormat="1" applyFont="1" applyFill="1" applyAlignment="1" applyProtection="1">
      <alignment vertical="top"/>
    </xf>
    <xf numFmtId="0" fontId="45" fillId="0" borderId="0" xfId="0" applyNumberFormat="1" applyFont="1" applyFill="1" applyAlignment="1" applyProtection="1"/>
    <xf numFmtId="3" fontId="45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/>
    <xf numFmtId="3" fontId="45" fillId="0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1" fontId="23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49" fontId="23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4" fontId="25" fillId="0" borderId="7" xfId="0" applyNumberFormat="1" applyFont="1" applyFill="1" applyBorder="1" applyAlignment="1">
      <alignment horizontal="right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" fontId="46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 shrinkToFit="1"/>
    </xf>
    <xf numFmtId="49" fontId="47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3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Alignment="1" applyProtection="1"/>
    <xf numFmtId="49" fontId="23" fillId="0" borderId="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5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Alignment="1" applyProtection="1">
      <alignment horizontal="center" vertical="center"/>
    </xf>
    <xf numFmtId="0" fontId="43" fillId="0" borderId="0" xfId="0" applyNumberFormat="1" applyFont="1" applyFill="1" applyAlignment="1" applyProtection="1">
      <alignment horizontal="center" vertical="top"/>
    </xf>
    <xf numFmtId="3" fontId="39" fillId="0" borderId="0" xfId="0" applyNumberFormat="1" applyFont="1" applyFill="1" applyBorder="1" applyAlignment="1">
      <alignment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I736"/>
  <sheetViews>
    <sheetView showGridLines="0" showZeros="0" view="pageBreakPreview" topLeftCell="A15" zoomScale="98" zoomScaleNormal="71" zoomScaleSheetLayoutView="98" workbookViewId="0">
      <pane xSplit="4" ySplit="3" topLeftCell="E79" activePane="bottomRight" state="frozenSplit"/>
      <selection activeCell="A15" sqref="A15"/>
      <selection pane="topRight" activeCell="E15" sqref="E15"/>
      <selection pane="bottomLeft" activeCell="A18" sqref="A18"/>
      <selection pane="bottomRight" activeCell="G84" sqref="G84"/>
    </sheetView>
  </sheetViews>
  <sheetFormatPr defaultColWidth="9.1640625" defaultRowHeight="15" x14ac:dyDescent="0.25"/>
  <cols>
    <col min="1" max="1" width="16.1640625" style="84" customWidth="1"/>
    <col min="2" max="2" width="15.33203125" style="18" customWidth="1"/>
    <col min="3" max="3" width="14.6640625" style="18" customWidth="1"/>
    <col min="4" max="4" width="62" style="29" customWidth="1"/>
    <col min="5" max="5" width="21.33203125" style="57" customWidth="1"/>
    <col min="6" max="6" width="20.83203125" style="57" customWidth="1"/>
    <col min="7" max="7" width="21" style="57" customWidth="1"/>
    <col min="8" max="8" width="18.33203125" style="57" customWidth="1"/>
    <col min="9" max="9" width="18" style="57" customWidth="1"/>
    <col min="10" max="10" width="20.6640625" style="57" customWidth="1"/>
    <col min="11" max="11" width="20" style="57" customWidth="1"/>
    <col min="12" max="12" width="20.1640625" style="57" customWidth="1"/>
    <col min="13" max="13" width="18.33203125" style="57" customWidth="1"/>
    <col min="14" max="14" width="19.83203125" style="57" customWidth="1"/>
    <col min="15" max="15" width="18.83203125" style="57" customWidth="1"/>
    <col min="16" max="16" width="21.5" style="176" customWidth="1"/>
    <col min="17" max="17" width="11.5" style="34" customWidth="1"/>
    <col min="18" max="18" width="16.1640625" style="34" customWidth="1"/>
    <col min="19" max="529" width="9.1640625" style="34"/>
    <col min="530" max="16384" width="9.1640625" style="20"/>
  </cols>
  <sheetData>
    <row r="1" spans="1:529" ht="26.25" customHeight="1" x14ac:dyDescent="0.25">
      <c r="K1" s="110" t="s">
        <v>420</v>
      </c>
      <c r="L1" s="180" t="s">
        <v>434</v>
      </c>
      <c r="M1" s="180"/>
      <c r="N1" s="180"/>
      <c r="O1" s="180"/>
      <c r="P1" s="172"/>
    </row>
    <row r="2" spans="1:529" ht="26.25" customHeight="1" x14ac:dyDescent="0.25">
      <c r="K2" s="110"/>
      <c r="L2" s="172" t="s">
        <v>422</v>
      </c>
      <c r="M2" s="172"/>
      <c r="N2" s="172"/>
      <c r="O2" s="172"/>
      <c r="P2" s="86"/>
    </row>
    <row r="3" spans="1:529" ht="26.25" customHeight="1" x14ac:dyDescent="0.25">
      <c r="K3" s="110"/>
      <c r="L3" s="182" t="s">
        <v>423</v>
      </c>
      <c r="M3" s="182"/>
      <c r="N3" s="182"/>
      <c r="O3" s="182"/>
      <c r="P3" s="182"/>
    </row>
    <row r="4" spans="1:529" ht="26.25" customHeight="1" x14ac:dyDescent="0.25">
      <c r="K4" s="110"/>
      <c r="L4" s="181" t="s">
        <v>424</v>
      </c>
      <c r="M4" s="181"/>
      <c r="N4" s="181"/>
      <c r="O4" s="181"/>
      <c r="P4" s="181"/>
    </row>
    <row r="5" spans="1:529" ht="26.25" customHeight="1" x14ac:dyDescent="0.25">
      <c r="K5" s="110"/>
      <c r="L5" s="172" t="s">
        <v>425</v>
      </c>
      <c r="M5" s="172"/>
      <c r="N5" s="172"/>
      <c r="O5" s="172"/>
      <c r="P5" s="172"/>
    </row>
    <row r="6" spans="1:529" ht="23.25" customHeight="1" x14ac:dyDescent="0.25">
      <c r="K6" s="111"/>
      <c r="L6" s="172" t="s">
        <v>428</v>
      </c>
      <c r="M6" s="172"/>
      <c r="N6" s="172"/>
      <c r="O6" s="172"/>
      <c r="P6" s="172"/>
    </row>
    <row r="7" spans="1:529" ht="26.25" customHeight="1" x14ac:dyDescent="0.25">
      <c r="K7" s="172"/>
      <c r="L7" s="172" t="s">
        <v>438</v>
      </c>
      <c r="M7" s="172"/>
      <c r="N7" s="172"/>
      <c r="O7" s="172"/>
      <c r="P7" s="172"/>
      <c r="Q7" s="172"/>
    </row>
    <row r="8" spans="1:529" ht="26.25" customHeight="1" x14ac:dyDescent="0.25">
      <c r="K8" s="172"/>
      <c r="L8" s="172" t="s">
        <v>427</v>
      </c>
      <c r="M8" s="172"/>
      <c r="N8" s="172"/>
      <c r="O8" s="172"/>
      <c r="P8" s="172"/>
      <c r="Q8" s="172"/>
    </row>
    <row r="9" spans="1:529" ht="26.25" x14ac:dyDescent="0.4">
      <c r="L9" s="97" t="s">
        <v>533</v>
      </c>
      <c r="M9" s="97"/>
      <c r="N9" s="97"/>
      <c r="O9" s="97"/>
      <c r="P9" s="97"/>
    </row>
    <row r="10" spans="1:529" ht="26.25" x14ac:dyDescent="0.4">
      <c r="L10" s="97"/>
      <c r="M10" s="97"/>
      <c r="N10" s="97"/>
      <c r="O10" s="97"/>
      <c r="P10" s="97"/>
    </row>
    <row r="11" spans="1:529" s="54" customFormat="1" ht="59.25" customHeight="1" x14ac:dyDescent="0.3">
      <c r="A11" s="183" t="s">
        <v>392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</row>
    <row r="12" spans="1:529" s="54" customFormat="1" ht="42" customHeight="1" x14ac:dyDescent="0.3">
      <c r="A12" s="112" t="s">
        <v>398</v>
      </c>
      <c r="B12" s="11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</row>
    <row r="13" spans="1:529" s="54" customFormat="1" ht="31.5" customHeight="1" x14ac:dyDescent="0.3">
      <c r="A13" s="113" t="s">
        <v>439</v>
      </c>
      <c r="B13" s="11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</row>
    <row r="14" spans="1:529" s="56" customFormat="1" ht="14.25" customHeight="1" x14ac:dyDescent="0.3">
      <c r="A14" s="78"/>
      <c r="B14" s="60"/>
      <c r="C14" s="60"/>
      <c r="D14" s="1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02" t="s">
        <v>394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</row>
    <row r="15" spans="1:529" s="21" customFormat="1" ht="34.5" customHeight="1" x14ac:dyDescent="0.2">
      <c r="A15" s="184" t="s">
        <v>371</v>
      </c>
      <c r="B15" s="178" t="s">
        <v>372</v>
      </c>
      <c r="C15" s="178" t="s">
        <v>359</v>
      </c>
      <c r="D15" s="178" t="s">
        <v>373</v>
      </c>
      <c r="E15" s="178" t="s">
        <v>245</v>
      </c>
      <c r="F15" s="178"/>
      <c r="G15" s="178"/>
      <c r="H15" s="178"/>
      <c r="I15" s="178"/>
      <c r="J15" s="178" t="s">
        <v>246</v>
      </c>
      <c r="K15" s="178"/>
      <c r="L15" s="178"/>
      <c r="M15" s="178"/>
      <c r="N15" s="178"/>
      <c r="O15" s="178"/>
      <c r="P15" s="178" t="s">
        <v>247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84"/>
      <c r="B16" s="178"/>
      <c r="C16" s="178"/>
      <c r="D16" s="178"/>
      <c r="E16" s="178" t="s">
        <v>360</v>
      </c>
      <c r="F16" s="178" t="s">
        <v>248</v>
      </c>
      <c r="G16" s="178" t="s">
        <v>249</v>
      </c>
      <c r="H16" s="178"/>
      <c r="I16" s="178" t="s">
        <v>250</v>
      </c>
      <c r="J16" s="178" t="s">
        <v>360</v>
      </c>
      <c r="K16" s="178" t="s">
        <v>361</v>
      </c>
      <c r="L16" s="178" t="s">
        <v>248</v>
      </c>
      <c r="M16" s="178" t="s">
        <v>249</v>
      </c>
      <c r="N16" s="178"/>
      <c r="O16" s="178" t="s">
        <v>250</v>
      </c>
      <c r="P16" s="178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66.75" customHeight="1" x14ac:dyDescent="0.2">
      <c r="A17" s="184"/>
      <c r="B17" s="178"/>
      <c r="C17" s="178"/>
      <c r="D17" s="178"/>
      <c r="E17" s="178"/>
      <c r="F17" s="178"/>
      <c r="G17" s="173" t="s">
        <v>251</v>
      </c>
      <c r="H17" s="173" t="s">
        <v>252</v>
      </c>
      <c r="I17" s="178"/>
      <c r="J17" s="178"/>
      <c r="K17" s="178"/>
      <c r="L17" s="178"/>
      <c r="M17" s="173" t="s">
        <v>251</v>
      </c>
      <c r="N17" s="173" t="s">
        <v>252</v>
      </c>
      <c r="O17" s="178"/>
      <c r="P17" s="17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79" t="s">
        <v>160</v>
      </c>
      <c r="B18" s="62"/>
      <c r="C18" s="62"/>
      <c r="D18" s="32" t="s">
        <v>39</v>
      </c>
      <c r="E18" s="63">
        <f>E19</f>
        <v>221717955</v>
      </c>
      <c r="F18" s="63">
        <f t="shared" ref="F18:J18" si="0">F19</f>
        <v>172316655</v>
      </c>
      <c r="G18" s="63">
        <f t="shared" si="0"/>
        <v>93281496</v>
      </c>
      <c r="H18" s="63">
        <f t="shared" si="0"/>
        <v>4360400</v>
      </c>
      <c r="I18" s="63">
        <f t="shared" si="0"/>
        <v>49401300</v>
      </c>
      <c r="J18" s="63">
        <f t="shared" si="0"/>
        <v>19543141.199999999</v>
      </c>
      <c r="K18" s="63">
        <f t="shared" ref="K18" si="1">K19</f>
        <v>19026298</v>
      </c>
      <c r="L18" s="63">
        <f t="shared" ref="L18" si="2">L19</f>
        <v>516843.2</v>
      </c>
      <c r="M18" s="63">
        <f t="shared" ref="M18" si="3">M19</f>
        <v>91105</v>
      </c>
      <c r="N18" s="63">
        <f t="shared" ref="N18" si="4">N19</f>
        <v>52450</v>
      </c>
      <c r="O18" s="63">
        <f t="shared" ref="O18:P18" si="5">O19</f>
        <v>19026298</v>
      </c>
      <c r="P18" s="63">
        <f t="shared" si="5"/>
        <v>241261096.19999999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36" customHeight="1" x14ac:dyDescent="0.25">
      <c r="A19" s="73" t="s">
        <v>161</v>
      </c>
      <c r="B19" s="64"/>
      <c r="C19" s="64"/>
      <c r="D19" s="33" t="s">
        <v>443</v>
      </c>
      <c r="E19" s="65">
        <f>E21+E22+E23+E24+E25+E26+E27+E28+E29+E30+E31+E32+E33+E34+E35+E36+E37+E38+E39+E40+E41+E42+E45+E46+E47+E48+E49+E50+E51+E52+E54+E55+E56+E43+E44+E57</f>
        <v>221717955</v>
      </c>
      <c r="F19" s="65">
        <f>F21+F22+F23+F24+F25+F26+F27+F28+F29+F30+F31+F32+F33+F34+F35+F36+F37+F38+F39+F40+F41+F42+F45+F46+F47+F48+F49+F50+F51+F52+F54+F55+F56+F43+F44+F57</f>
        <v>172316655</v>
      </c>
      <c r="G19" s="65">
        <f t="shared" ref="G19:P19" si="6">G21+G22+G23+G24+G25+G26+G27+G28+G29+G30+G31+G32+G33+G34+G35+G36+G37+G38+G39+G40+G41+G42+G45+G46+G47+G48+G49+G50+G51+G52+G54+G55+G56+G43+G44+G57</f>
        <v>93281496</v>
      </c>
      <c r="H19" s="65">
        <f t="shared" si="6"/>
        <v>4360400</v>
      </c>
      <c r="I19" s="65">
        <f t="shared" si="6"/>
        <v>49401300</v>
      </c>
      <c r="J19" s="65">
        <f t="shared" si="6"/>
        <v>19543141.199999999</v>
      </c>
      <c r="K19" s="65">
        <f t="shared" si="6"/>
        <v>19026298</v>
      </c>
      <c r="L19" s="65">
        <f t="shared" si="6"/>
        <v>516843.2</v>
      </c>
      <c r="M19" s="65">
        <f t="shared" si="6"/>
        <v>91105</v>
      </c>
      <c r="N19" s="65">
        <f t="shared" si="6"/>
        <v>52450</v>
      </c>
      <c r="O19" s="65">
        <f t="shared" si="6"/>
        <v>19026298</v>
      </c>
      <c r="P19" s="65">
        <f t="shared" si="6"/>
        <v>241261096.19999999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40" customFormat="1" ht="50.25" customHeight="1" x14ac:dyDescent="0.25">
      <c r="A20" s="73"/>
      <c r="B20" s="64"/>
      <c r="C20" s="64"/>
      <c r="D20" s="33" t="s">
        <v>442</v>
      </c>
      <c r="E20" s="65">
        <f>E53</f>
        <v>443550</v>
      </c>
      <c r="F20" s="65">
        <f t="shared" ref="F20:P20" si="7">F53</f>
        <v>443550</v>
      </c>
      <c r="G20" s="65">
        <f t="shared" si="7"/>
        <v>336750</v>
      </c>
      <c r="H20" s="65">
        <f t="shared" si="7"/>
        <v>0</v>
      </c>
      <c r="I20" s="65">
        <f t="shared" si="7"/>
        <v>0</v>
      </c>
      <c r="J20" s="65">
        <f t="shared" si="7"/>
        <v>0</v>
      </c>
      <c r="K20" s="65">
        <f t="shared" si="7"/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65">
        <f t="shared" si="7"/>
        <v>0</v>
      </c>
      <c r="P20" s="65">
        <f t="shared" si="7"/>
        <v>443550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</row>
    <row r="21" spans="1:529" s="23" customFormat="1" ht="45.75" customHeight="1" x14ac:dyDescent="0.25">
      <c r="A21" s="43" t="s">
        <v>162</v>
      </c>
      <c r="B21" s="44" t="str">
        <f>'дод 4'!A20</f>
        <v>0160</v>
      </c>
      <c r="C21" s="44" t="str">
        <f>'дод 4'!B20</f>
        <v>0111</v>
      </c>
      <c r="D2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1" s="66">
        <f t="shared" ref="E21:E57" si="8">F21+I21</f>
        <v>99891782</v>
      </c>
      <c r="F21" s="66">
        <f>105070300+350000+405400-4697800+243482-1103300+14800-213000+230000+41400-400000-49500</f>
        <v>99891782</v>
      </c>
      <c r="G21" s="66">
        <f>77144000-3850700+199575-174600+188526</f>
        <v>73506801</v>
      </c>
      <c r="H21" s="66">
        <f>2750400-400000</f>
        <v>2350400</v>
      </c>
      <c r="I21" s="66"/>
      <c r="J21" s="66">
        <f>L21+O21</f>
        <v>49500</v>
      </c>
      <c r="K21" s="66">
        <f>1230200-1230200+49500</f>
        <v>49500</v>
      </c>
      <c r="L21" s="66"/>
      <c r="M21" s="66"/>
      <c r="N21" s="66"/>
      <c r="O21" s="66">
        <f>1230200-1230200+49500</f>
        <v>49500</v>
      </c>
      <c r="P21" s="66">
        <f t="shared" ref="P21:P57" si="9">E21+J21</f>
        <v>99941282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21.75" customHeight="1" x14ac:dyDescent="0.25">
      <c r="A22" s="43" t="s">
        <v>263</v>
      </c>
      <c r="B22" s="44" t="str">
        <f>'дод 4'!A21</f>
        <v>0180</v>
      </c>
      <c r="C22" s="44" t="str">
        <f>'дод 4'!B21</f>
        <v>0133</v>
      </c>
      <c r="D22" s="24" t="str">
        <f>'дод 4'!C21</f>
        <v>Інша діяльність у сфері державного управління</v>
      </c>
      <c r="E22" s="66">
        <f t="shared" si="8"/>
        <v>430300</v>
      </c>
      <c r="F22" s="66">
        <f>310000+34300+86000</f>
        <v>430300</v>
      </c>
      <c r="G22" s="66"/>
      <c r="H22" s="66"/>
      <c r="I22" s="66"/>
      <c r="J22" s="66">
        <f t="shared" ref="J22:J57" si="10">L22+O22</f>
        <v>0</v>
      </c>
      <c r="K22" s="66"/>
      <c r="L22" s="66"/>
      <c r="M22" s="66"/>
      <c r="N22" s="66"/>
      <c r="O22" s="66"/>
      <c r="P22" s="66">
        <f t="shared" si="9"/>
        <v>430300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21.75" customHeight="1" x14ac:dyDescent="0.25">
      <c r="A23" s="43" t="s">
        <v>528</v>
      </c>
      <c r="B23" s="43" t="s">
        <v>529</v>
      </c>
      <c r="C23" s="43" t="s">
        <v>127</v>
      </c>
      <c r="D23" s="24" t="s">
        <v>530</v>
      </c>
      <c r="E23" s="66">
        <f t="shared" si="8"/>
        <v>304496</v>
      </c>
      <c r="F23" s="66">
        <v>304496</v>
      </c>
      <c r="G23" s="66"/>
      <c r="H23" s="66"/>
      <c r="I23" s="66"/>
      <c r="J23" s="66">
        <f t="shared" si="10"/>
        <v>0</v>
      </c>
      <c r="K23" s="66"/>
      <c r="L23" s="66"/>
      <c r="M23" s="66"/>
      <c r="N23" s="66"/>
      <c r="O23" s="66"/>
      <c r="P23" s="66">
        <f t="shared" si="9"/>
        <v>304496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8.25" customHeight="1" x14ac:dyDescent="0.25">
      <c r="A24" s="43" t="s">
        <v>279</v>
      </c>
      <c r="B24" s="44" t="str">
        <f>'дод 4'!A82</f>
        <v>3033</v>
      </c>
      <c r="C24" s="44" t="str">
        <f>'дод 4'!B82</f>
        <v>1070</v>
      </c>
      <c r="D24" s="24" t="s">
        <v>494</v>
      </c>
      <c r="E24" s="66">
        <f t="shared" si="8"/>
        <v>124200</v>
      </c>
      <c r="F24" s="66">
        <v>124200</v>
      </c>
      <c r="G24" s="66"/>
      <c r="H24" s="66"/>
      <c r="I24" s="66"/>
      <c r="J24" s="66">
        <f t="shared" si="10"/>
        <v>0</v>
      </c>
      <c r="K24" s="66"/>
      <c r="L24" s="66"/>
      <c r="M24" s="66"/>
      <c r="N24" s="66"/>
      <c r="O24" s="66"/>
      <c r="P24" s="66">
        <f t="shared" si="9"/>
        <v>124200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36.75" customHeight="1" x14ac:dyDescent="0.25">
      <c r="A25" s="43" t="s">
        <v>163</v>
      </c>
      <c r="B25" s="44" t="str">
        <f>'дод 4'!A85</f>
        <v>3036</v>
      </c>
      <c r="C25" s="44" t="str">
        <f>'дод 4'!B85</f>
        <v>1070</v>
      </c>
      <c r="D25" s="24" t="str">
        <f>'дод 4'!C85</f>
        <v>Компенсаційні виплати на пільговий проїзд електротранспортом окремим категоріям громадян</v>
      </c>
      <c r="E25" s="66">
        <f t="shared" si="8"/>
        <v>270325</v>
      </c>
      <c r="F25" s="66">
        <v>270325</v>
      </c>
      <c r="G25" s="66"/>
      <c r="H25" s="66"/>
      <c r="I25" s="66"/>
      <c r="J25" s="66">
        <f t="shared" si="10"/>
        <v>0</v>
      </c>
      <c r="K25" s="66"/>
      <c r="L25" s="66"/>
      <c r="M25" s="66"/>
      <c r="N25" s="66"/>
      <c r="O25" s="66"/>
      <c r="P25" s="66">
        <f t="shared" si="9"/>
        <v>270325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36" customHeight="1" x14ac:dyDescent="0.25">
      <c r="A26" s="43" t="s">
        <v>164</v>
      </c>
      <c r="B26" s="44" t="str">
        <f>'дод 4'!A93</f>
        <v>3121</v>
      </c>
      <c r="C26" s="44" t="str">
        <f>'дод 4'!B93</f>
        <v>1040</v>
      </c>
      <c r="D26" s="24" t="str">
        <f>'дод 4'!C93</f>
        <v>Утримання та забезпечення діяльності центрів соціальних служб для сім’ї, дітей та молоді</v>
      </c>
      <c r="E26" s="66">
        <f t="shared" si="8"/>
        <v>2529735</v>
      </c>
      <c r="F26" s="66">
        <f>2487735+42000</f>
        <v>2529735</v>
      </c>
      <c r="G26" s="66">
        <v>1883250</v>
      </c>
      <c r="H26" s="66">
        <v>50170</v>
      </c>
      <c r="I26" s="66"/>
      <c r="J26" s="66">
        <f t="shared" si="10"/>
        <v>0</v>
      </c>
      <c r="K26" s="66"/>
      <c r="L26" s="66"/>
      <c r="M26" s="66"/>
      <c r="N26" s="66"/>
      <c r="O26" s="66"/>
      <c r="P26" s="66">
        <f t="shared" si="9"/>
        <v>2529735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38.25" customHeight="1" x14ac:dyDescent="0.25">
      <c r="A27" s="43" t="s">
        <v>165</v>
      </c>
      <c r="B27" s="44" t="str">
        <f>'дод 4'!A94</f>
        <v>3131</v>
      </c>
      <c r="C27" s="44" t="str">
        <f>'дод 4'!B94</f>
        <v>1040</v>
      </c>
      <c r="D27" s="24" t="str">
        <f>'дод 4'!C94</f>
        <v>Здійснення заходів та реалізація проектів на виконання Державної цільової соціальної програми "Молодь України"</v>
      </c>
      <c r="E27" s="66">
        <f t="shared" si="8"/>
        <v>684504</v>
      </c>
      <c r="F27" s="66">
        <f>850000+17000+62000-244496</f>
        <v>684504</v>
      </c>
      <c r="G27" s="66"/>
      <c r="H27" s="66"/>
      <c r="I27" s="66"/>
      <c r="J27" s="66">
        <f t="shared" si="10"/>
        <v>0</v>
      </c>
      <c r="K27" s="66"/>
      <c r="L27" s="66"/>
      <c r="M27" s="66"/>
      <c r="N27" s="66"/>
      <c r="O27" s="66"/>
      <c r="P27" s="66">
        <f t="shared" si="9"/>
        <v>684504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60" hidden="1" customHeight="1" x14ac:dyDescent="0.25">
      <c r="A28" s="43" t="s">
        <v>166</v>
      </c>
      <c r="B28" s="44" t="str">
        <f>'дод 4'!A95</f>
        <v>3140</v>
      </c>
      <c r="C28" s="44" t="str">
        <f>'дод 4'!B95</f>
        <v>1040</v>
      </c>
      <c r="D28" s="24" t="s">
        <v>22</v>
      </c>
      <c r="E28" s="66">
        <f t="shared" si="8"/>
        <v>0</v>
      </c>
      <c r="F28" s="66">
        <f>560000-372000-188000</f>
        <v>0</v>
      </c>
      <c r="G28" s="66"/>
      <c r="H28" s="66"/>
      <c r="I28" s="66"/>
      <c r="J28" s="66">
        <f t="shared" si="10"/>
        <v>0</v>
      </c>
      <c r="K28" s="66"/>
      <c r="L28" s="66"/>
      <c r="M28" s="66"/>
      <c r="N28" s="66"/>
      <c r="O28" s="66"/>
      <c r="P28" s="66">
        <f t="shared" si="9"/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7.5" customHeight="1" x14ac:dyDescent="0.25">
      <c r="A29" s="43" t="s">
        <v>333</v>
      </c>
      <c r="B29" s="44" t="str">
        <f>'дод 4'!A110</f>
        <v>3241</v>
      </c>
      <c r="C29" s="44" t="str">
        <f>'дод 4'!B110</f>
        <v>1090</v>
      </c>
      <c r="D29" s="24" t="str">
        <f>'дод 4'!C110</f>
        <v>Забезпечення діяльності інших закладів у сфері соціального захисту і соціального забезпечення</v>
      </c>
      <c r="E29" s="66">
        <f t="shared" si="8"/>
        <v>1198395</v>
      </c>
      <c r="F29" s="66">
        <v>1198395</v>
      </c>
      <c r="G29" s="66">
        <v>852910</v>
      </c>
      <c r="H29" s="66">
        <v>114300</v>
      </c>
      <c r="I29" s="66"/>
      <c r="J29" s="66">
        <f t="shared" si="10"/>
        <v>0</v>
      </c>
      <c r="K29" s="66"/>
      <c r="L29" s="66"/>
      <c r="M29" s="66"/>
      <c r="N29" s="66"/>
      <c r="O29" s="66"/>
      <c r="P29" s="66">
        <f t="shared" si="9"/>
        <v>1198395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3.75" customHeight="1" x14ac:dyDescent="0.25">
      <c r="A30" s="43" t="s">
        <v>334</v>
      </c>
      <c r="B30" s="44" t="str">
        <f>'дод 4'!A111</f>
        <v>3242</v>
      </c>
      <c r="C30" s="44" t="str">
        <f>'дод 4'!B111</f>
        <v>1090</v>
      </c>
      <c r="D30" s="24" t="s">
        <v>495</v>
      </c>
      <c r="E30" s="66">
        <f t="shared" si="8"/>
        <v>218310</v>
      </c>
      <c r="F30" s="66">
        <v>218310</v>
      </c>
      <c r="G30" s="66"/>
      <c r="H30" s="66"/>
      <c r="I30" s="66"/>
      <c r="J30" s="66">
        <f t="shared" si="10"/>
        <v>0</v>
      </c>
      <c r="K30" s="66"/>
      <c r="L30" s="66"/>
      <c r="M30" s="66"/>
      <c r="N30" s="66"/>
      <c r="O30" s="66"/>
      <c r="P30" s="66">
        <f t="shared" si="9"/>
        <v>218310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33.75" customHeight="1" x14ac:dyDescent="0.25">
      <c r="A31" s="43" t="s">
        <v>350</v>
      </c>
      <c r="B31" s="44" t="str">
        <f>'дод 4'!A115</f>
        <v>4060</v>
      </c>
      <c r="C31" s="44" t="str">
        <f>'дод 4'!B115</f>
        <v>0828</v>
      </c>
      <c r="D31" s="24" t="str">
        <f>'дод 4'!C115</f>
        <v>Забезпечення діяльності палаців i будинків культури, клубів, центрів дозвілля та iнших клубних закладів</v>
      </c>
      <c r="E31" s="66">
        <f t="shared" si="8"/>
        <v>5102602</v>
      </c>
      <c r="F31" s="67">
        <f>4745000-150000+49900+414262+200000-32400-124160</f>
        <v>5102602</v>
      </c>
      <c r="G31" s="66">
        <f>2098000-317585</f>
        <v>1780415</v>
      </c>
      <c r="H31" s="66">
        <f>727600-289200</f>
        <v>438400</v>
      </c>
      <c r="I31" s="66"/>
      <c r="J31" s="66">
        <f t="shared" si="10"/>
        <v>767798</v>
      </c>
      <c r="K31" s="66">
        <f>25500+585738+32400+124160</f>
        <v>767798</v>
      </c>
      <c r="L31" s="66"/>
      <c r="M31" s="66"/>
      <c r="N31" s="66"/>
      <c r="O31" s="66">
        <f>25500+585738+32400+124160</f>
        <v>767798</v>
      </c>
      <c r="P31" s="66">
        <f t="shared" si="9"/>
        <v>5870400</v>
      </c>
      <c r="Q31" s="26"/>
      <c r="R31" s="161">
        <f>P31+P32+P33</f>
        <v>10422824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30.75" customHeight="1" x14ac:dyDescent="0.25">
      <c r="A32" s="43" t="s">
        <v>331</v>
      </c>
      <c r="B32" s="44" t="str">
        <f>'дод 4'!A116</f>
        <v>4081</v>
      </c>
      <c r="C32" s="44" t="str">
        <f>'дод 4'!B116</f>
        <v>0829</v>
      </c>
      <c r="D32" s="24" t="str">
        <f>'дод 4'!C116</f>
        <v>Забезпечення діяльності інших закладів в галузі культури і мистецтва</v>
      </c>
      <c r="E32" s="66">
        <f t="shared" si="8"/>
        <v>3882000</v>
      </c>
      <c r="F32" s="66">
        <f>2374900+300000+276000+150000+337000+144000+284000+16100</f>
        <v>3882000</v>
      </c>
      <c r="G32" s="66">
        <v>1389000</v>
      </c>
      <c r="H32" s="66">
        <v>91200</v>
      </c>
      <c r="I32" s="66"/>
      <c r="J32" s="66">
        <f t="shared" si="10"/>
        <v>224000</v>
      </c>
      <c r="K32" s="66">
        <v>224000</v>
      </c>
      <c r="L32" s="66"/>
      <c r="M32" s="66"/>
      <c r="N32" s="66"/>
      <c r="O32" s="66">
        <v>224000</v>
      </c>
      <c r="P32" s="66">
        <f t="shared" si="9"/>
        <v>4106000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25.5" customHeight="1" x14ac:dyDescent="0.25">
      <c r="A33" s="43" t="s">
        <v>332</v>
      </c>
      <c r="B33" s="44" t="str">
        <f>'дод 4'!A117</f>
        <v>4082</v>
      </c>
      <c r="C33" s="44" t="str">
        <f>'дод 4'!B117</f>
        <v>0829</v>
      </c>
      <c r="D33" s="24" t="str">
        <f>'дод 4'!C117</f>
        <v>Інші заходи в галузі культури і мистецтва</v>
      </c>
      <c r="E33" s="66">
        <f t="shared" si="8"/>
        <v>446424</v>
      </c>
      <c r="F33" s="66">
        <f>465000-18576</f>
        <v>446424</v>
      </c>
      <c r="G33" s="66"/>
      <c r="H33" s="66"/>
      <c r="I33" s="66"/>
      <c r="J33" s="66">
        <f t="shared" si="10"/>
        <v>0</v>
      </c>
      <c r="K33" s="66"/>
      <c r="L33" s="66"/>
      <c r="M33" s="66"/>
      <c r="N33" s="66"/>
      <c r="O33" s="66"/>
      <c r="P33" s="66">
        <f t="shared" si="9"/>
        <v>446424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6.75" customHeight="1" x14ac:dyDescent="0.25">
      <c r="A34" s="52" t="s">
        <v>167</v>
      </c>
      <c r="B34" s="45" t="str">
        <f>'дод 4'!A119</f>
        <v>5011</v>
      </c>
      <c r="C34" s="45" t="str">
        <f>'дод 4'!B119</f>
        <v>0810</v>
      </c>
      <c r="D34" s="22" t="str">
        <f>'дод 4'!C119</f>
        <v>Проведення навчально-тренувальних зборів і змагань з олімпійських видів спорту</v>
      </c>
      <c r="E34" s="66">
        <f t="shared" si="8"/>
        <v>551000</v>
      </c>
      <c r="F34" s="66">
        <f>750000+1000000+11000-1000000-210000</f>
        <v>551000</v>
      </c>
      <c r="G34" s="66"/>
      <c r="H34" s="66"/>
      <c r="I34" s="66"/>
      <c r="J34" s="66">
        <f t="shared" si="10"/>
        <v>0</v>
      </c>
      <c r="K34" s="66"/>
      <c r="L34" s="66"/>
      <c r="M34" s="66"/>
      <c r="N34" s="66"/>
      <c r="O34" s="66"/>
      <c r="P34" s="66">
        <f t="shared" si="9"/>
        <v>551000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4.5" customHeight="1" x14ac:dyDescent="0.25">
      <c r="A35" s="52" t="s">
        <v>168</v>
      </c>
      <c r="B35" s="45" t="str">
        <f>'дод 4'!A120</f>
        <v>5012</v>
      </c>
      <c r="C35" s="45" t="str">
        <f>'дод 4'!B120</f>
        <v>0810</v>
      </c>
      <c r="D35" s="22" t="str">
        <f>'дод 4'!C120</f>
        <v>Проведення навчально-тренувальних зборів і змагань з неолімпійських видів спорту</v>
      </c>
      <c r="E35" s="66">
        <f t="shared" si="8"/>
        <v>989400</v>
      </c>
      <c r="F35" s="66">
        <f>750000+1300000+127000+98000-1000000-315600+30000</f>
        <v>989400</v>
      </c>
      <c r="G35" s="66"/>
      <c r="H35" s="66"/>
      <c r="I35" s="66"/>
      <c r="J35" s="66">
        <f t="shared" si="10"/>
        <v>0</v>
      </c>
      <c r="K35" s="66"/>
      <c r="L35" s="66"/>
      <c r="M35" s="66"/>
      <c r="N35" s="66"/>
      <c r="O35" s="66"/>
      <c r="P35" s="66">
        <f t="shared" si="9"/>
        <v>989400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39" customHeight="1" x14ac:dyDescent="0.25">
      <c r="A36" s="52" t="s">
        <v>169</v>
      </c>
      <c r="B36" s="45" t="str">
        <f>'дод 4'!A121</f>
        <v>5031</v>
      </c>
      <c r="C36" s="45" t="str">
        <f>'дод 4'!B121</f>
        <v>0810</v>
      </c>
      <c r="D36" s="22" t="str">
        <f>'дод 4'!C121</f>
        <v>Утримання та навчально-тренувальна робота комунальних дитячо-юнацьких спортивних шкіл</v>
      </c>
      <c r="E36" s="66">
        <f t="shared" si="8"/>
        <v>13683310</v>
      </c>
      <c r="F36" s="66">
        <f>13106830+37000+412000+25000-130000+53900-15000+60000-11420+100000-5000+50000</f>
        <v>13683310</v>
      </c>
      <c r="G36" s="66">
        <f>9753300+116000</f>
        <v>9869300</v>
      </c>
      <c r="H36" s="66">
        <f>819990-130000</f>
        <v>689990</v>
      </c>
      <c r="I36" s="66">
        <v>0</v>
      </c>
      <c r="J36" s="66">
        <f t="shared" si="10"/>
        <v>295420</v>
      </c>
      <c r="K36" s="66">
        <f>500000+228000-500000+39000+12000+11420+5000</f>
        <v>295420</v>
      </c>
      <c r="L36" s="66"/>
      <c r="M36" s="66"/>
      <c r="N36" s="66"/>
      <c r="O36" s="66">
        <f>500000+228000-500000+39000+12000+11420+5000</f>
        <v>295420</v>
      </c>
      <c r="P36" s="66">
        <f t="shared" si="9"/>
        <v>13978730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33.75" customHeight="1" x14ac:dyDescent="0.25">
      <c r="A37" s="52" t="s">
        <v>393</v>
      </c>
      <c r="B37" s="45" t="str">
        <f>'дод 4'!A122</f>
        <v>5032</v>
      </c>
      <c r="C37" s="45" t="str">
        <f>'дод 4'!B122</f>
        <v>0810</v>
      </c>
      <c r="D37" s="22" t="str">
        <f>'дод 4'!C122</f>
        <v>Фінансова підтримка дитячо-юнацьких спортивних шкіл фізкультурно-спортивних товариств</v>
      </c>
      <c r="E37" s="66">
        <f t="shared" si="8"/>
        <v>11492630</v>
      </c>
      <c r="F37" s="66">
        <f>11143630+20000+143000+40000-14000+25000+80000+5000+50000</f>
        <v>11492630</v>
      </c>
      <c r="G37" s="66"/>
      <c r="H37" s="66"/>
      <c r="I37" s="66"/>
      <c r="J37" s="66">
        <f t="shared" si="10"/>
        <v>198000</v>
      </c>
      <c r="K37" s="66">
        <f>93000+7000+30000+68000</f>
        <v>198000</v>
      </c>
      <c r="L37" s="66"/>
      <c r="M37" s="66"/>
      <c r="N37" s="66"/>
      <c r="O37" s="66">
        <f>93000+7000+30000+68000</f>
        <v>198000</v>
      </c>
      <c r="P37" s="66">
        <f t="shared" si="9"/>
        <v>11690630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48" customHeight="1" x14ac:dyDescent="0.25">
      <c r="A38" s="52" t="s">
        <v>170</v>
      </c>
      <c r="B38" s="45" t="str">
        <f>'дод 4'!A123</f>
        <v>5061</v>
      </c>
      <c r="C38" s="45" t="str">
        <f>'дод 4'!B123</f>
        <v>0810</v>
      </c>
      <c r="D38" s="22" t="str">
        <f>'дод 4'!C123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8" s="66">
        <f t="shared" si="8"/>
        <v>4551120</v>
      </c>
      <c r="F38" s="66">
        <f>3728120+165000+50000-50000+15000+585000+20000+28000+10000</f>
        <v>4551120</v>
      </c>
      <c r="G38" s="66">
        <v>2446900</v>
      </c>
      <c r="H38" s="66">
        <f>370100-50000</f>
        <v>320100</v>
      </c>
      <c r="I38" s="66"/>
      <c r="J38" s="66">
        <f t="shared" si="10"/>
        <v>1861120</v>
      </c>
      <c r="K38" s="66">
        <f>900000-900000+1682000</f>
        <v>1682000</v>
      </c>
      <c r="L38" s="66">
        <v>179120</v>
      </c>
      <c r="M38" s="66">
        <v>91105</v>
      </c>
      <c r="N38" s="66">
        <v>51050</v>
      </c>
      <c r="O38" s="66">
        <f>900000-900000+1682000</f>
        <v>1682000</v>
      </c>
      <c r="P38" s="66">
        <f t="shared" si="9"/>
        <v>6412240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30.75" customHeight="1" x14ac:dyDescent="0.25">
      <c r="A39" s="52" t="s">
        <v>384</v>
      </c>
      <c r="B39" s="45" t="str">
        <f>'дод 4'!A124</f>
        <v>5062</v>
      </c>
      <c r="C39" s="45" t="str">
        <f>'дод 4'!B124</f>
        <v>0810</v>
      </c>
      <c r="D39" s="22" t="str">
        <f>'дод 4'!C124</f>
        <v>Підтримка спорту вищих досягнень та організацій, які здійснюють фізкультурно-спортивну діяльність в регіоні</v>
      </c>
      <c r="E39" s="66">
        <f t="shared" si="8"/>
        <v>9750590</v>
      </c>
      <c r="F39" s="66">
        <f>6608390+200000+215000+65000+5000+2000000-18800+500000+29000+147000</f>
        <v>9750590</v>
      </c>
      <c r="G39" s="66"/>
      <c r="H39" s="66"/>
      <c r="I39" s="66"/>
      <c r="J39" s="66">
        <f t="shared" si="10"/>
        <v>78450</v>
      </c>
      <c r="K39" s="66">
        <f>43450+25000+10000</f>
        <v>78450</v>
      </c>
      <c r="L39" s="66"/>
      <c r="M39" s="66"/>
      <c r="N39" s="66"/>
      <c r="O39" s="66">
        <f>43450+25000+10000</f>
        <v>78450</v>
      </c>
      <c r="P39" s="66">
        <f t="shared" si="9"/>
        <v>9829040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39" customHeight="1" x14ac:dyDescent="0.25">
      <c r="A40" s="52" t="s">
        <v>497</v>
      </c>
      <c r="B40" s="45">
        <v>7325</v>
      </c>
      <c r="C40" s="163" t="s">
        <v>119</v>
      </c>
      <c r="D40" s="22" t="s">
        <v>396</v>
      </c>
      <c r="E40" s="66">
        <f t="shared" si="8"/>
        <v>0</v>
      </c>
      <c r="F40" s="66"/>
      <c r="G40" s="66"/>
      <c r="H40" s="66"/>
      <c r="I40" s="66"/>
      <c r="J40" s="66">
        <f t="shared" si="10"/>
        <v>1400000</v>
      </c>
      <c r="K40" s="66">
        <v>1400000</v>
      </c>
      <c r="L40" s="66"/>
      <c r="M40" s="66"/>
      <c r="N40" s="66"/>
      <c r="O40" s="66">
        <v>1400000</v>
      </c>
      <c r="P40" s="66">
        <f t="shared" si="9"/>
        <v>1400000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x14ac:dyDescent="0.25">
      <c r="A41" s="52" t="s">
        <v>498</v>
      </c>
      <c r="B41" s="45">
        <v>7330</v>
      </c>
      <c r="C41" s="163" t="s">
        <v>119</v>
      </c>
      <c r="D41" s="22" t="s">
        <v>364</v>
      </c>
      <c r="E41" s="66">
        <f t="shared" si="8"/>
        <v>0</v>
      </c>
      <c r="F41" s="66"/>
      <c r="G41" s="66"/>
      <c r="H41" s="66"/>
      <c r="I41" s="66"/>
      <c r="J41" s="66">
        <f t="shared" si="10"/>
        <v>1230200</v>
      </c>
      <c r="K41" s="66">
        <v>1230200</v>
      </c>
      <c r="L41" s="66"/>
      <c r="M41" s="66"/>
      <c r="N41" s="66"/>
      <c r="O41" s="66">
        <v>1230200</v>
      </c>
      <c r="P41" s="66">
        <f t="shared" si="9"/>
        <v>1230200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4" customHeight="1" x14ac:dyDescent="0.25">
      <c r="A42" s="52" t="s">
        <v>171</v>
      </c>
      <c r="B42" s="45" t="str">
        <f>'дод 4'!A157</f>
        <v>7412</v>
      </c>
      <c r="C42" s="45" t="str">
        <f>'дод 4'!B157</f>
        <v>0451</v>
      </c>
      <c r="D42" s="22" t="str">
        <f>'дод 4'!C157</f>
        <v>Регулювання цін на послуги місцевого автотранспорту</v>
      </c>
      <c r="E42" s="66">
        <f t="shared" si="8"/>
        <v>5452000</v>
      </c>
      <c r="F42" s="66"/>
      <c r="G42" s="66"/>
      <c r="H42" s="66"/>
      <c r="I42" s="66">
        <f>10000000-4485500-62500</f>
        <v>5452000</v>
      </c>
      <c r="J42" s="66">
        <f t="shared" si="10"/>
        <v>0</v>
      </c>
      <c r="K42" s="66"/>
      <c r="L42" s="66"/>
      <c r="M42" s="66"/>
      <c r="N42" s="66"/>
      <c r="O42" s="66"/>
      <c r="P42" s="66">
        <f t="shared" si="9"/>
        <v>5452000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4" customHeight="1" x14ac:dyDescent="0.25">
      <c r="A43" s="52" t="s">
        <v>431</v>
      </c>
      <c r="B43" s="45">
        <f>'дод 4'!A158</f>
        <v>7413</v>
      </c>
      <c r="C43" s="45" t="str">
        <f>'дод 4'!B158</f>
        <v>0451</v>
      </c>
      <c r="D43" s="125" t="str">
        <f>'дод 4'!C158</f>
        <v>Інші заходи у сфері автотранспорту</v>
      </c>
      <c r="E43" s="66">
        <f t="shared" si="8"/>
        <v>8837800</v>
      </c>
      <c r="F43" s="66"/>
      <c r="G43" s="66"/>
      <c r="H43" s="66"/>
      <c r="I43" s="66">
        <f>2800000+3337800+2700000</f>
        <v>8837800</v>
      </c>
      <c r="J43" s="66">
        <f t="shared" si="10"/>
        <v>0</v>
      </c>
      <c r="K43" s="66"/>
      <c r="L43" s="66"/>
      <c r="M43" s="66"/>
      <c r="N43" s="66"/>
      <c r="O43" s="66"/>
      <c r="P43" s="66">
        <f t="shared" si="9"/>
        <v>8837800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24" customHeight="1" x14ac:dyDescent="0.25">
      <c r="A44" s="52" t="s">
        <v>432</v>
      </c>
      <c r="B44" s="45">
        <f>'дод 4'!A159</f>
        <v>7426</v>
      </c>
      <c r="C44" s="52" t="s">
        <v>496</v>
      </c>
      <c r="D44" s="125" t="str">
        <f>'дод 4'!C159</f>
        <v>Інші заходи у сфері електротранспорту</v>
      </c>
      <c r="E44" s="66">
        <f t="shared" si="8"/>
        <v>35111500</v>
      </c>
      <c r="F44" s="66"/>
      <c r="G44" s="66"/>
      <c r="H44" s="66"/>
      <c r="I44" s="66">
        <f>15200000+11111500+8800000</f>
        <v>35111500</v>
      </c>
      <c r="J44" s="66">
        <f t="shared" si="10"/>
        <v>0</v>
      </c>
      <c r="K44" s="66"/>
      <c r="L44" s="66"/>
      <c r="M44" s="66"/>
      <c r="N44" s="66"/>
      <c r="O44" s="66"/>
      <c r="P44" s="66">
        <f t="shared" si="9"/>
        <v>35111500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20.25" customHeight="1" x14ac:dyDescent="0.25">
      <c r="A45" s="52" t="s">
        <v>255</v>
      </c>
      <c r="B45" s="45" t="str">
        <f>'дод 4'!A163</f>
        <v>7530</v>
      </c>
      <c r="C45" s="45" t="str">
        <f>'дод 4'!B163</f>
        <v>0460</v>
      </c>
      <c r="D45" s="22" t="s">
        <v>256</v>
      </c>
      <c r="E45" s="66">
        <f t="shared" si="8"/>
        <v>9225970</v>
      </c>
      <c r="F45" s="66">
        <f>10000000+3450000-2189700-2034330</f>
        <v>9225970</v>
      </c>
      <c r="G45" s="66"/>
      <c r="H45" s="66"/>
      <c r="I45" s="66"/>
      <c r="J45" s="66">
        <f t="shared" si="10"/>
        <v>629330</v>
      </c>
      <c r="K45" s="66">
        <f>5000000+1050000-1390000-3000000-1030670</f>
        <v>629330</v>
      </c>
      <c r="L45" s="66"/>
      <c r="M45" s="66"/>
      <c r="N45" s="66"/>
      <c r="O45" s="66">
        <f>5000000+1050000-1390000-3000000-1030670</f>
        <v>629330</v>
      </c>
      <c r="P45" s="66">
        <f t="shared" si="9"/>
        <v>9855300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0.25" customHeight="1" x14ac:dyDescent="0.25">
      <c r="A46" s="52" t="s">
        <v>172</v>
      </c>
      <c r="B46" s="45" t="str">
        <f>'дод 4'!A166</f>
        <v>7610</v>
      </c>
      <c r="C46" s="45" t="str">
        <f>'дод 4'!B166</f>
        <v>0411</v>
      </c>
      <c r="D46" s="22" t="str">
        <f>'дод 4'!C166</f>
        <v>Сприяння розвитку малого та середнього підприємництва</v>
      </c>
      <c r="E46" s="66">
        <f t="shared" si="8"/>
        <v>155000</v>
      </c>
      <c r="F46" s="66">
        <f>115000+100000-60000</f>
        <v>155000</v>
      </c>
      <c r="G46" s="66"/>
      <c r="H46" s="66"/>
      <c r="I46" s="66"/>
      <c r="J46" s="66">
        <f t="shared" si="10"/>
        <v>0</v>
      </c>
      <c r="K46" s="66"/>
      <c r="L46" s="66"/>
      <c r="M46" s="66"/>
      <c r="N46" s="66"/>
      <c r="O46" s="66"/>
      <c r="P46" s="66">
        <f t="shared" si="9"/>
        <v>155000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23.25" customHeight="1" x14ac:dyDescent="0.25">
      <c r="A47" s="52" t="s">
        <v>173</v>
      </c>
      <c r="B47" s="45" t="str">
        <f>'дод 4'!A171</f>
        <v>7670</v>
      </c>
      <c r="C47" s="45" t="str">
        <f>'дод 4'!B171</f>
        <v>0490</v>
      </c>
      <c r="D47" s="22" t="str">
        <f>'дод 4'!C171</f>
        <v>Внески до статутного капіталу суб’єктів господарювання</v>
      </c>
      <c r="E47" s="66">
        <f t="shared" si="8"/>
        <v>0</v>
      </c>
      <c r="F47" s="66"/>
      <c r="G47" s="66"/>
      <c r="H47" s="66"/>
      <c r="I47" s="66"/>
      <c r="J47" s="66">
        <f t="shared" si="10"/>
        <v>9922000</v>
      </c>
      <c r="K47" s="66">
        <f>22572000-13000000+3000000-2650000</f>
        <v>9922000</v>
      </c>
      <c r="L47" s="66"/>
      <c r="M47" s="66"/>
      <c r="N47" s="66"/>
      <c r="O47" s="66">
        <f>22572000-13000000+3000000-2650000</f>
        <v>9922000</v>
      </c>
      <c r="P47" s="66">
        <f t="shared" si="9"/>
        <v>9922000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36.75" customHeight="1" x14ac:dyDescent="0.25">
      <c r="A48" s="52" t="s">
        <v>269</v>
      </c>
      <c r="B48" s="45" t="str">
        <f>'дод 4'!A172</f>
        <v>7680</v>
      </c>
      <c r="C48" s="45" t="str">
        <f>'дод 4'!B172</f>
        <v>0490</v>
      </c>
      <c r="D48" s="22" t="str">
        <f>'дод 4'!C172</f>
        <v>Членські внески до асоціацій органів місцевого самоврядування</v>
      </c>
      <c r="E48" s="66">
        <f t="shared" si="8"/>
        <v>221467</v>
      </c>
      <c r="F48" s="66">
        <f>158069+82000+1715-317-20000</f>
        <v>221467</v>
      </c>
      <c r="G48" s="66"/>
      <c r="H48" s="66"/>
      <c r="I48" s="66"/>
      <c r="J48" s="66">
        <f t="shared" si="10"/>
        <v>0</v>
      </c>
      <c r="K48" s="66"/>
      <c r="L48" s="66"/>
      <c r="M48" s="66"/>
      <c r="N48" s="66"/>
      <c r="O48" s="66"/>
      <c r="P48" s="66">
        <f t="shared" si="9"/>
        <v>221467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87" customHeight="1" x14ac:dyDescent="0.25">
      <c r="A49" s="52" t="s">
        <v>329</v>
      </c>
      <c r="B49" s="45" t="str">
        <f>'дод 4'!A173</f>
        <v>7691</v>
      </c>
      <c r="C49" s="45" t="str">
        <f>'дод 4'!B173</f>
        <v>0490</v>
      </c>
      <c r="D49" s="22" t="str">
        <f>'дод 4'!C173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9" s="66">
        <f t="shared" si="8"/>
        <v>0</v>
      </c>
      <c r="F49" s="66"/>
      <c r="G49" s="66"/>
      <c r="H49" s="66"/>
      <c r="I49" s="66"/>
      <c r="J49" s="66">
        <f t="shared" si="10"/>
        <v>68223.199999999997</v>
      </c>
      <c r="K49" s="66"/>
      <c r="L49" s="66">
        <f>64711+3512.2</f>
        <v>68223.199999999997</v>
      </c>
      <c r="M49" s="66"/>
      <c r="N49" s="66"/>
      <c r="O49" s="66"/>
      <c r="P49" s="66">
        <f t="shared" si="9"/>
        <v>68223.199999999997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23.25" customHeight="1" x14ac:dyDescent="0.25">
      <c r="A50" s="52" t="s">
        <v>262</v>
      </c>
      <c r="B50" s="45" t="str">
        <f>'дод 4'!A174</f>
        <v>7693</v>
      </c>
      <c r="C50" s="45" t="str">
        <f>'дод 4'!B174</f>
        <v>0490</v>
      </c>
      <c r="D50" s="22" t="str">
        <f>'дод 4'!C174</f>
        <v>Інші заходи, пов'язані з економічною діяльністю</v>
      </c>
      <c r="E50" s="66">
        <f t="shared" si="8"/>
        <v>1188465</v>
      </c>
      <c r="F50" s="66">
        <f>1617587+250000+3000-1398-34300-146424-500000</f>
        <v>1188465</v>
      </c>
      <c r="G50" s="66"/>
      <c r="H50" s="66"/>
      <c r="I50" s="66"/>
      <c r="J50" s="66">
        <f t="shared" si="10"/>
        <v>0</v>
      </c>
      <c r="K50" s="66"/>
      <c r="L50" s="66"/>
      <c r="M50" s="66"/>
      <c r="N50" s="66"/>
      <c r="O50" s="66"/>
      <c r="P50" s="66">
        <f t="shared" si="9"/>
        <v>1188465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34.5" customHeight="1" x14ac:dyDescent="0.25">
      <c r="A51" s="52" t="s">
        <v>174</v>
      </c>
      <c r="B51" s="45" t="str">
        <f>'дод 4'!A181</f>
        <v>8110</v>
      </c>
      <c r="C51" s="45" t="str">
        <f>'дод 4'!B181</f>
        <v>0320</v>
      </c>
      <c r="D51" s="22" t="str">
        <f>'дод 4'!C181</f>
        <v>Заходи із запобігання та ліквідації надзвичайних ситуацій та наслідків стихійного лиха</v>
      </c>
      <c r="E51" s="66">
        <f t="shared" si="8"/>
        <v>584500</v>
      </c>
      <c r="F51" s="66">
        <f>284500+300000</f>
        <v>584500</v>
      </c>
      <c r="G51" s="66"/>
      <c r="H51" s="66">
        <v>7500</v>
      </c>
      <c r="I51" s="66"/>
      <c r="J51" s="66">
        <f t="shared" si="10"/>
        <v>2299600</v>
      </c>
      <c r="K51" s="66">
        <f>2159600+140000</f>
        <v>2299600</v>
      </c>
      <c r="L51" s="66"/>
      <c r="M51" s="66"/>
      <c r="N51" s="66"/>
      <c r="O51" s="66">
        <f>2159600+140000</f>
        <v>2299600</v>
      </c>
      <c r="P51" s="66">
        <f t="shared" si="9"/>
        <v>2884100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23" customFormat="1" ht="19.5" customHeight="1" x14ac:dyDescent="0.25">
      <c r="A52" s="52" t="s">
        <v>244</v>
      </c>
      <c r="B52" s="45" t="str">
        <f>'дод 4'!A182</f>
        <v>8120</v>
      </c>
      <c r="C52" s="45" t="str">
        <f>'дод 4'!B182</f>
        <v>0320</v>
      </c>
      <c r="D52" s="22" t="str">
        <f>'дод 4'!C182</f>
        <v>Заходи з організації рятування на водах, у т.ч. за рахунок:</v>
      </c>
      <c r="E52" s="66">
        <f t="shared" si="8"/>
        <v>2042890</v>
      </c>
      <c r="F52" s="66">
        <f>1892080+19210+32020+78970+7990-3700+16320</f>
        <v>2042890</v>
      </c>
      <c r="G52" s="66">
        <f>1542220+10700</f>
        <v>1552920</v>
      </c>
      <c r="H52" s="66">
        <f>79880-3700</f>
        <v>76180</v>
      </c>
      <c r="I52" s="66"/>
      <c r="J52" s="66">
        <f t="shared" si="10"/>
        <v>5500</v>
      </c>
      <c r="K52" s="66"/>
      <c r="L52" s="66">
        <v>5500</v>
      </c>
      <c r="M52" s="66"/>
      <c r="N52" s="66">
        <v>1400</v>
      </c>
      <c r="O52" s="66"/>
      <c r="P52" s="66">
        <f t="shared" si="9"/>
        <v>2048390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</row>
    <row r="53" spans="1:529" s="27" customFormat="1" ht="51.75" customHeight="1" x14ac:dyDescent="0.25">
      <c r="A53" s="136"/>
      <c r="B53" s="137"/>
      <c r="C53" s="137"/>
      <c r="D53" s="138" t="str">
        <f>'дод 4'!C183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3" s="139">
        <f t="shared" si="8"/>
        <v>443550</v>
      </c>
      <c r="F53" s="139">
        <f>380580+29350+33620</f>
        <v>443550</v>
      </c>
      <c r="G53" s="139">
        <f>311950+24800</f>
        <v>336750</v>
      </c>
      <c r="H53" s="139"/>
      <c r="I53" s="139"/>
      <c r="J53" s="139">
        <f t="shared" si="10"/>
        <v>0</v>
      </c>
      <c r="K53" s="139"/>
      <c r="L53" s="139"/>
      <c r="M53" s="139"/>
      <c r="N53" s="139"/>
      <c r="O53" s="139"/>
      <c r="P53" s="139">
        <f t="shared" si="9"/>
        <v>443550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</row>
    <row r="54" spans="1:529" s="23" customFormat="1" ht="21.75" customHeight="1" x14ac:dyDescent="0.25">
      <c r="A54" s="52" t="s">
        <v>265</v>
      </c>
      <c r="B54" s="45" t="str">
        <f>'дод 4'!A185</f>
        <v>8230</v>
      </c>
      <c r="C54" s="45" t="str">
        <f>'дод 4'!B185</f>
        <v>0380</v>
      </c>
      <c r="D54" s="22" t="str">
        <f>'дод 4'!C185</f>
        <v>Інші заходи громадського порядку та безпеки</v>
      </c>
      <c r="E54" s="66">
        <f t="shared" si="8"/>
        <v>627360</v>
      </c>
      <c r="F54" s="66">
        <f>683360-56000</f>
        <v>627360</v>
      </c>
      <c r="G54" s="66"/>
      <c r="H54" s="66">
        <f>278160-56000</f>
        <v>222160</v>
      </c>
      <c r="I54" s="66"/>
      <c r="J54" s="66">
        <f t="shared" si="10"/>
        <v>0</v>
      </c>
      <c r="K54" s="66"/>
      <c r="L54" s="66"/>
      <c r="M54" s="66"/>
      <c r="N54" s="66"/>
      <c r="O54" s="66"/>
      <c r="P54" s="66">
        <f t="shared" si="9"/>
        <v>627360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</row>
    <row r="55" spans="1:529" s="23" customFormat="1" ht="23.25" customHeight="1" x14ac:dyDescent="0.25">
      <c r="A55" s="43" t="s">
        <v>175</v>
      </c>
      <c r="B55" s="44" t="str">
        <f>'дод 4'!A188</f>
        <v>8340</v>
      </c>
      <c r="C55" s="44" t="str">
        <f>'дод 4'!B188</f>
        <v>0540</v>
      </c>
      <c r="D55" s="24" t="str">
        <f>'дод 4'!C188</f>
        <v>Природоохоронні заходи за рахунок цільових фондів</v>
      </c>
      <c r="E55" s="66">
        <f t="shared" si="8"/>
        <v>0</v>
      </c>
      <c r="F55" s="66"/>
      <c r="G55" s="66"/>
      <c r="H55" s="66"/>
      <c r="I55" s="66"/>
      <c r="J55" s="66">
        <f t="shared" si="10"/>
        <v>264000</v>
      </c>
      <c r="K55" s="66"/>
      <c r="L55" s="66">
        <v>264000</v>
      </c>
      <c r="M55" s="66"/>
      <c r="N55" s="66"/>
      <c r="O55" s="66"/>
      <c r="P55" s="66">
        <f t="shared" si="9"/>
        <v>264000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26.25" customHeight="1" x14ac:dyDescent="0.25">
      <c r="A56" s="52" t="s">
        <v>276</v>
      </c>
      <c r="B56" s="45" t="str">
        <f>'дод 4'!A190</f>
        <v>8420</v>
      </c>
      <c r="C56" s="45" t="str">
        <f>'дод 4'!B190</f>
        <v>0830</v>
      </c>
      <c r="D56" s="22" t="str">
        <f>'дод 4'!C190</f>
        <v>Інші заходи у сфері засобів масової інформації</v>
      </c>
      <c r="E56" s="66">
        <f t="shared" si="8"/>
        <v>100000</v>
      </c>
      <c r="F56" s="66">
        <v>100000</v>
      </c>
      <c r="G56" s="66"/>
      <c r="H56" s="66"/>
      <c r="I56" s="66"/>
      <c r="J56" s="66">
        <f t="shared" si="10"/>
        <v>0</v>
      </c>
      <c r="K56" s="66"/>
      <c r="L56" s="66"/>
      <c r="M56" s="66"/>
      <c r="N56" s="66"/>
      <c r="O56" s="66"/>
      <c r="P56" s="66">
        <f t="shared" si="9"/>
        <v>100000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42.75" customHeight="1" x14ac:dyDescent="0.25">
      <c r="A57" s="52" t="s">
        <v>440</v>
      </c>
      <c r="B57" s="45">
        <v>9800</v>
      </c>
      <c r="C57" s="52" t="s">
        <v>49</v>
      </c>
      <c r="D57" s="22" t="s">
        <v>411</v>
      </c>
      <c r="E57" s="66">
        <f t="shared" si="8"/>
        <v>2069880</v>
      </c>
      <c r="F57" s="66">
        <f>50000+706000+330000+389000+594880</f>
        <v>2069880</v>
      </c>
      <c r="G57" s="66"/>
      <c r="H57" s="66"/>
      <c r="I57" s="66"/>
      <c r="J57" s="66">
        <f t="shared" si="10"/>
        <v>250000</v>
      </c>
      <c r="K57" s="66">
        <f>469000+170000-389000</f>
        <v>250000</v>
      </c>
      <c r="L57" s="66"/>
      <c r="M57" s="66"/>
      <c r="N57" s="66"/>
      <c r="O57" s="66">
        <f>469000+170000-389000</f>
        <v>250000</v>
      </c>
      <c r="P57" s="66">
        <f t="shared" si="9"/>
        <v>2319880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31" customFormat="1" ht="23.25" customHeight="1" x14ac:dyDescent="0.2">
      <c r="A58" s="80" t="s">
        <v>176</v>
      </c>
      <c r="B58" s="69"/>
      <c r="C58" s="69"/>
      <c r="D58" s="30" t="s">
        <v>28</v>
      </c>
      <c r="E58" s="63">
        <f>E59</f>
        <v>947397577.25</v>
      </c>
      <c r="F58" s="63">
        <f t="shared" ref="F58:J58" si="11">F59</f>
        <v>947397577.25</v>
      </c>
      <c r="G58" s="63">
        <f t="shared" si="11"/>
        <v>633136993.80999994</v>
      </c>
      <c r="H58" s="63">
        <f t="shared" si="11"/>
        <v>68084447.560000002</v>
      </c>
      <c r="I58" s="63">
        <f t="shared" si="11"/>
        <v>0</v>
      </c>
      <c r="J58" s="63">
        <f t="shared" si="11"/>
        <v>103703211.92</v>
      </c>
      <c r="K58" s="63">
        <f t="shared" ref="K58" si="12">K59</f>
        <v>49986703.920000002</v>
      </c>
      <c r="L58" s="63">
        <f t="shared" ref="L58" si="13">L59</f>
        <v>53527508</v>
      </c>
      <c r="M58" s="63">
        <f t="shared" ref="M58" si="14">M59</f>
        <v>4208876</v>
      </c>
      <c r="N58" s="63">
        <f t="shared" ref="N58" si="15">N59</f>
        <v>3124191</v>
      </c>
      <c r="O58" s="63">
        <f t="shared" ref="O58:P58" si="16">O59</f>
        <v>50175703.920000002</v>
      </c>
      <c r="P58" s="63">
        <f t="shared" si="16"/>
        <v>1051100789.17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</row>
    <row r="59" spans="1:529" s="40" customFormat="1" ht="30" customHeight="1" x14ac:dyDescent="0.25">
      <c r="A59" s="81" t="s">
        <v>177</v>
      </c>
      <c r="B59" s="70"/>
      <c r="C59" s="70"/>
      <c r="D59" s="33" t="s">
        <v>492</v>
      </c>
      <c r="E59" s="65">
        <f t="shared" ref="E59:P59" si="17">E68+E69+E71+E78+E82+E83+E86+E87+E88+E89+E91+E93+E94+E95+E96+E97+E99+E100+E101+E103+E104</f>
        <v>947397577.25</v>
      </c>
      <c r="F59" s="65">
        <f t="shared" si="17"/>
        <v>947397577.25</v>
      </c>
      <c r="G59" s="65">
        <f t="shared" si="17"/>
        <v>633136993.80999994</v>
      </c>
      <c r="H59" s="65">
        <f t="shared" si="17"/>
        <v>68084447.560000002</v>
      </c>
      <c r="I59" s="65">
        <f t="shared" si="17"/>
        <v>0</v>
      </c>
      <c r="J59" s="65">
        <f t="shared" si="17"/>
        <v>103703211.92</v>
      </c>
      <c r="K59" s="65">
        <f t="shared" si="17"/>
        <v>49986703.920000002</v>
      </c>
      <c r="L59" s="65">
        <f t="shared" si="17"/>
        <v>53527508</v>
      </c>
      <c r="M59" s="65">
        <f t="shared" si="17"/>
        <v>4208876</v>
      </c>
      <c r="N59" s="65">
        <f t="shared" si="17"/>
        <v>3124191</v>
      </c>
      <c r="O59" s="65">
        <f t="shared" si="17"/>
        <v>50175703.920000002</v>
      </c>
      <c r="P59" s="65">
        <f t="shared" si="17"/>
        <v>1051100789.17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</row>
    <row r="60" spans="1:529" s="40" customFormat="1" ht="30" x14ac:dyDescent="0.25">
      <c r="A60" s="81"/>
      <c r="B60" s="70"/>
      <c r="C60" s="70"/>
      <c r="D60" s="33" t="s">
        <v>451</v>
      </c>
      <c r="E60" s="65">
        <f>E76+E80+E84+E102</f>
        <v>378448800</v>
      </c>
      <c r="F60" s="65">
        <f t="shared" ref="F60:P60" si="18">F76+F80+F84+F102</f>
        <v>378448800</v>
      </c>
      <c r="G60" s="65">
        <f t="shared" si="18"/>
        <v>302081404</v>
      </c>
      <c r="H60" s="65">
        <f t="shared" si="18"/>
        <v>0</v>
      </c>
      <c r="I60" s="65">
        <f t="shared" si="18"/>
        <v>0</v>
      </c>
      <c r="J60" s="65">
        <f t="shared" si="18"/>
        <v>33571.67</v>
      </c>
      <c r="K60" s="65">
        <f t="shared" si="18"/>
        <v>33571.67</v>
      </c>
      <c r="L60" s="65">
        <f t="shared" si="18"/>
        <v>0</v>
      </c>
      <c r="M60" s="65">
        <f t="shared" si="18"/>
        <v>0</v>
      </c>
      <c r="N60" s="65">
        <f t="shared" si="18"/>
        <v>0</v>
      </c>
      <c r="O60" s="65">
        <f t="shared" si="18"/>
        <v>33571.67</v>
      </c>
      <c r="P60" s="65">
        <f t="shared" si="18"/>
        <v>378482371.67000002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</row>
    <row r="61" spans="1:529" s="40" customFormat="1" ht="45" x14ac:dyDescent="0.25">
      <c r="A61" s="81"/>
      <c r="B61" s="70"/>
      <c r="C61" s="70"/>
      <c r="D61" s="33" t="s">
        <v>450</v>
      </c>
      <c r="E61" s="65">
        <f>E98</f>
        <v>0</v>
      </c>
      <c r="F61" s="65">
        <f t="shared" ref="F61:P61" si="19">F98</f>
        <v>0</v>
      </c>
      <c r="G61" s="65">
        <f t="shared" si="19"/>
        <v>0</v>
      </c>
      <c r="H61" s="65">
        <f t="shared" si="19"/>
        <v>0</v>
      </c>
      <c r="I61" s="65">
        <f t="shared" si="19"/>
        <v>0</v>
      </c>
      <c r="J61" s="65">
        <f t="shared" si="19"/>
        <v>10496496.550000001</v>
      </c>
      <c r="K61" s="65">
        <f t="shared" si="19"/>
        <v>10496496.550000001</v>
      </c>
      <c r="L61" s="65">
        <f t="shared" si="19"/>
        <v>0</v>
      </c>
      <c r="M61" s="65">
        <f t="shared" si="19"/>
        <v>0</v>
      </c>
      <c r="N61" s="65">
        <f t="shared" si="19"/>
        <v>0</v>
      </c>
      <c r="O61" s="65">
        <f t="shared" si="19"/>
        <v>10496496.550000001</v>
      </c>
      <c r="P61" s="65">
        <f t="shared" si="19"/>
        <v>10496496.550000001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</row>
    <row r="62" spans="1:529" s="40" customFormat="1" ht="64.5" customHeight="1" x14ac:dyDescent="0.25">
      <c r="A62" s="81"/>
      <c r="B62" s="70"/>
      <c r="C62" s="70"/>
      <c r="D62" s="33" t="s">
        <v>449</v>
      </c>
      <c r="E62" s="65">
        <f>E72+E79</f>
        <v>2739700</v>
      </c>
      <c r="F62" s="65">
        <f t="shared" ref="F62:P62" si="20">F72+F79</f>
        <v>2739700</v>
      </c>
      <c r="G62" s="65">
        <f t="shared" si="20"/>
        <v>2249257</v>
      </c>
      <c r="H62" s="65">
        <f t="shared" si="20"/>
        <v>0</v>
      </c>
      <c r="I62" s="65">
        <f t="shared" si="20"/>
        <v>0</v>
      </c>
      <c r="J62" s="65">
        <f t="shared" si="20"/>
        <v>0</v>
      </c>
      <c r="K62" s="65">
        <f t="shared" si="20"/>
        <v>0</v>
      </c>
      <c r="L62" s="65">
        <f t="shared" si="20"/>
        <v>0</v>
      </c>
      <c r="M62" s="65">
        <f t="shared" si="20"/>
        <v>0</v>
      </c>
      <c r="N62" s="65">
        <f t="shared" si="20"/>
        <v>0</v>
      </c>
      <c r="O62" s="65">
        <f t="shared" si="20"/>
        <v>0</v>
      </c>
      <c r="P62" s="65">
        <f t="shared" si="20"/>
        <v>2739700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</row>
    <row r="63" spans="1:529" s="40" customFormat="1" ht="45" x14ac:dyDescent="0.25">
      <c r="A63" s="81"/>
      <c r="B63" s="70"/>
      <c r="C63" s="70"/>
      <c r="D63" s="33" t="s">
        <v>446</v>
      </c>
      <c r="E63" s="65">
        <f t="shared" ref="E63:P63" si="21">E73+E90</f>
        <v>3303370</v>
      </c>
      <c r="F63" s="65">
        <f t="shared" si="21"/>
        <v>3303370</v>
      </c>
      <c r="G63" s="65">
        <f t="shared" si="21"/>
        <v>1013420</v>
      </c>
      <c r="H63" s="65">
        <f t="shared" si="21"/>
        <v>0</v>
      </c>
      <c r="I63" s="65">
        <f t="shared" si="21"/>
        <v>0</v>
      </c>
      <c r="J63" s="65">
        <f t="shared" si="21"/>
        <v>0</v>
      </c>
      <c r="K63" s="65">
        <f t="shared" si="21"/>
        <v>0</v>
      </c>
      <c r="L63" s="65">
        <f t="shared" si="21"/>
        <v>0</v>
      </c>
      <c r="M63" s="65">
        <f t="shared" si="21"/>
        <v>0</v>
      </c>
      <c r="N63" s="65">
        <f t="shared" si="21"/>
        <v>0</v>
      </c>
      <c r="O63" s="65">
        <f t="shared" si="21"/>
        <v>0</v>
      </c>
      <c r="P63" s="65">
        <f t="shared" si="21"/>
        <v>3303370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</row>
    <row r="64" spans="1:529" s="40" customFormat="1" ht="45" x14ac:dyDescent="0.25">
      <c r="A64" s="81"/>
      <c r="B64" s="70"/>
      <c r="C64" s="70"/>
      <c r="D64" s="33" t="s">
        <v>448</v>
      </c>
      <c r="E64" s="65">
        <f t="shared" ref="E64:P64" si="22">E74+E85</f>
        <v>452641.7</v>
      </c>
      <c r="F64" s="65">
        <f t="shared" si="22"/>
        <v>452641.7</v>
      </c>
      <c r="G64" s="65">
        <f t="shared" si="22"/>
        <v>0</v>
      </c>
      <c r="H64" s="65">
        <f t="shared" si="22"/>
        <v>0</v>
      </c>
      <c r="I64" s="65">
        <f t="shared" si="22"/>
        <v>0</v>
      </c>
      <c r="J64" s="65">
        <f t="shared" si="22"/>
        <v>990558.3</v>
      </c>
      <c r="K64" s="65">
        <f t="shared" si="22"/>
        <v>990558.3</v>
      </c>
      <c r="L64" s="65">
        <f t="shared" si="22"/>
        <v>0</v>
      </c>
      <c r="M64" s="65">
        <f t="shared" si="22"/>
        <v>0</v>
      </c>
      <c r="N64" s="65">
        <f t="shared" si="22"/>
        <v>0</v>
      </c>
      <c r="O64" s="65">
        <f t="shared" si="22"/>
        <v>990558.3</v>
      </c>
      <c r="P64" s="65">
        <f t="shared" si="22"/>
        <v>1443200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</row>
    <row r="65" spans="1:529" s="40" customFormat="1" ht="53.25" customHeight="1" x14ac:dyDescent="0.25">
      <c r="A65" s="81"/>
      <c r="B65" s="70"/>
      <c r="C65" s="70"/>
      <c r="D65" s="33" t="s">
        <v>445</v>
      </c>
      <c r="E65" s="65">
        <f>E70+E75</f>
        <v>1767879</v>
      </c>
      <c r="F65" s="65">
        <f t="shared" ref="F65:P65" si="23">F70+F75</f>
        <v>1767879</v>
      </c>
      <c r="G65" s="65">
        <f t="shared" si="23"/>
        <v>1449080</v>
      </c>
      <c r="H65" s="65">
        <f t="shared" si="23"/>
        <v>0</v>
      </c>
      <c r="I65" s="65">
        <f t="shared" si="23"/>
        <v>0</v>
      </c>
      <c r="J65" s="65">
        <f t="shared" si="23"/>
        <v>744000</v>
      </c>
      <c r="K65" s="65">
        <f t="shared" si="23"/>
        <v>744000</v>
      </c>
      <c r="L65" s="65">
        <f t="shared" si="23"/>
        <v>0</v>
      </c>
      <c r="M65" s="65">
        <f t="shared" si="23"/>
        <v>0</v>
      </c>
      <c r="N65" s="65">
        <f t="shared" si="23"/>
        <v>0</v>
      </c>
      <c r="O65" s="65">
        <f t="shared" si="23"/>
        <v>744000</v>
      </c>
      <c r="P65" s="65">
        <f t="shared" si="23"/>
        <v>2511879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</row>
    <row r="66" spans="1:529" s="40" customFormat="1" ht="60" x14ac:dyDescent="0.25">
      <c r="A66" s="81"/>
      <c r="B66" s="70"/>
      <c r="C66" s="70"/>
      <c r="D66" s="33" t="s">
        <v>447</v>
      </c>
      <c r="E66" s="65">
        <f t="shared" ref="E66:P66" si="24">E77+E81</f>
        <v>4798897</v>
      </c>
      <c r="F66" s="65">
        <f t="shared" si="24"/>
        <v>4798897</v>
      </c>
      <c r="G66" s="65">
        <f t="shared" si="24"/>
        <v>0</v>
      </c>
      <c r="H66" s="65">
        <f t="shared" si="24"/>
        <v>0</v>
      </c>
      <c r="I66" s="65">
        <f t="shared" si="24"/>
        <v>0</v>
      </c>
      <c r="J66" s="65">
        <f t="shared" si="24"/>
        <v>751639</v>
      </c>
      <c r="K66" s="65">
        <f t="shared" si="24"/>
        <v>751639</v>
      </c>
      <c r="L66" s="65">
        <f t="shared" si="24"/>
        <v>0</v>
      </c>
      <c r="M66" s="65">
        <f t="shared" si="24"/>
        <v>0</v>
      </c>
      <c r="N66" s="65">
        <f t="shared" si="24"/>
        <v>0</v>
      </c>
      <c r="O66" s="65">
        <f t="shared" si="24"/>
        <v>751639</v>
      </c>
      <c r="P66" s="65">
        <f t="shared" si="24"/>
        <v>5550536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</row>
    <row r="67" spans="1:529" s="40" customFormat="1" ht="48.75" customHeight="1" x14ac:dyDescent="0.25">
      <c r="A67" s="73"/>
      <c r="B67" s="72"/>
      <c r="C67" s="174"/>
      <c r="D67" s="177" t="s">
        <v>522</v>
      </c>
      <c r="E67" s="65">
        <f>E92</f>
        <v>0</v>
      </c>
      <c r="F67" s="65">
        <f t="shared" ref="F67:P67" si="25">F92</f>
        <v>0</v>
      </c>
      <c r="G67" s="65">
        <f t="shared" si="25"/>
        <v>0</v>
      </c>
      <c r="H67" s="65">
        <f t="shared" si="25"/>
        <v>0</v>
      </c>
      <c r="I67" s="65">
        <f t="shared" si="25"/>
        <v>0</v>
      </c>
      <c r="J67" s="65">
        <f t="shared" si="25"/>
        <v>1180956</v>
      </c>
      <c r="K67" s="65">
        <f t="shared" si="25"/>
        <v>1180956</v>
      </c>
      <c r="L67" s="65">
        <f t="shared" si="25"/>
        <v>0</v>
      </c>
      <c r="M67" s="65">
        <f t="shared" si="25"/>
        <v>0</v>
      </c>
      <c r="N67" s="65">
        <f t="shared" si="25"/>
        <v>0</v>
      </c>
      <c r="O67" s="65">
        <f t="shared" si="25"/>
        <v>1180956</v>
      </c>
      <c r="P67" s="65">
        <f t="shared" si="25"/>
        <v>1180956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</row>
    <row r="68" spans="1:529" s="23" customFormat="1" ht="46.5" customHeight="1" x14ac:dyDescent="0.25">
      <c r="A68" s="43" t="s">
        <v>178</v>
      </c>
      <c r="B68" s="44" t="str">
        <f>'дод 4'!A20</f>
        <v>0160</v>
      </c>
      <c r="C68" s="44" t="str">
        <f>'дод 4'!B20</f>
        <v>0111</v>
      </c>
      <c r="D68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68" s="66">
        <f t="shared" ref="E68:E104" si="26">F68+I68</f>
        <v>3591940</v>
      </c>
      <c r="F68" s="66">
        <f>3470000+3900-161800+242800-7000+11040+33000</f>
        <v>3591940</v>
      </c>
      <c r="G68" s="66">
        <f>2711100-132600-5700-3200</f>
        <v>2569600</v>
      </c>
      <c r="H68" s="66">
        <v>48700</v>
      </c>
      <c r="I68" s="66"/>
      <c r="J68" s="66">
        <f>L68+O68</f>
        <v>0</v>
      </c>
      <c r="K68" s="66"/>
      <c r="L68" s="66"/>
      <c r="M68" s="66"/>
      <c r="N68" s="66"/>
      <c r="O68" s="66"/>
      <c r="P68" s="66">
        <f t="shared" ref="P68:P104" si="27">E68+J68</f>
        <v>3591940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3" customFormat="1" ht="21.75" customHeight="1" x14ac:dyDescent="0.25">
      <c r="A69" s="43" t="s">
        <v>179</v>
      </c>
      <c r="B69" s="44" t="str">
        <f>'дод 4'!A31</f>
        <v>1010</v>
      </c>
      <c r="C69" s="44" t="str">
        <f>'дод 4'!B31</f>
        <v>0910</v>
      </c>
      <c r="D69" s="24" t="s">
        <v>468</v>
      </c>
      <c r="E69" s="66">
        <f t="shared" si="26"/>
        <v>238692642</v>
      </c>
      <c r="F69" s="66">
        <f>244339090+176336+1322957+112300-3000000-13457+307406+40000-2221900-3389500-44684+112000+137280+10000+49950+670300-12440+27304+69700</f>
        <v>238692642</v>
      </c>
      <c r="G69" s="66">
        <f>159350000+144540-11030+199900</f>
        <v>159683410</v>
      </c>
      <c r="H69" s="66">
        <f>26923940-3389500-44684</f>
        <v>23489756</v>
      </c>
      <c r="I69" s="66"/>
      <c r="J69" s="66">
        <f>L69+O69</f>
        <v>18003539</v>
      </c>
      <c r="K69" s="66">
        <f>4200000+500000+88136+760000+703043+347304-7536-5089000+150000+8000+12440-27304+32800</f>
        <v>1677883</v>
      </c>
      <c r="L69" s="66">
        <v>16325656</v>
      </c>
      <c r="M69" s="66"/>
      <c r="N69" s="66"/>
      <c r="O69" s="66">
        <f>4200000+500000+88136+760000+703043+347304-7536-5089000+150000+8000+12440-27304+32800</f>
        <v>1677883</v>
      </c>
      <c r="P69" s="66">
        <f t="shared" si="27"/>
        <v>256696181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7" customFormat="1" ht="51" customHeight="1" x14ac:dyDescent="0.25">
      <c r="A70" s="140"/>
      <c r="B70" s="141"/>
      <c r="C70" s="141"/>
      <c r="D70" s="138" t="s">
        <v>445</v>
      </c>
      <c r="E70" s="139">
        <f t="shared" si="26"/>
        <v>162879</v>
      </c>
      <c r="F70" s="139">
        <v>162879</v>
      </c>
      <c r="G70" s="139">
        <v>133510</v>
      </c>
      <c r="H70" s="139"/>
      <c r="I70" s="139"/>
      <c r="J70" s="139">
        <f>L70+O70</f>
        <v>80600</v>
      </c>
      <c r="K70" s="139">
        <f>80600</f>
        <v>80600</v>
      </c>
      <c r="L70" s="139"/>
      <c r="M70" s="139"/>
      <c r="N70" s="139"/>
      <c r="O70" s="139">
        <f>80600</f>
        <v>80600</v>
      </c>
      <c r="P70" s="139">
        <f t="shared" si="27"/>
        <v>243479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36"/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6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6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36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36"/>
      <c r="OK70" s="36"/>
      <c r="OL70" s="36"/>
      <c r="OM70" s="36"/>
      <c r="ON70" s="36"/>
      <c r="OO70" s="36"/>
      <c r="OP70" s="36"/>
      <c r="OQ70" s="36"/>
      <c r="OR70" s="36"/>
      <c r="OS70" s="36"/>
      <c r="OT70" s="36"/>
      <c r="OU70" s="36"/>
      <c r="OV70" s="36"/>
      <c r="OW70" s="36"/>
      <c r="OX70" s="36"/>
      <c r="OY70" s="36"/>
      <c r="OZ70" s="36"/>
      <c r="PA70" s="36"/>
      <c r="PB70" s="36"/>
      <c r="PC70" s="36"/>
      <c r="PD70" s="36"/>
      <c r="PE70" s="36"/>
      <c r="PF70" s="36"/>
      <c r="PG70" s="36"/>
      <c r="PH70" s="36"/>
      <c r="PI70" s="36"/>
      <c r="PJ70" s="36"/>
      <c r="PK70" s="36"/>
      <c r="PL70" s="36"/>
      <c r="PM70" s="36"/>
      <c r="PN70" s="36"/>
      <c r="PO70" s="36"/>
      <c r="PP70" s="36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36"/>
      <c r="QF70" s="36"/>
      <c r="QG70" s="36"/>
      <c r="QH70" s="36"/>
      <c r="QI70" s="36"/>
      <c r="QJ70" s="36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6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36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</row>
    <row r="71" spans="1:529" s="23" customFormat="1" ht="54" customHeight="1" x14ac:dyDescent="0.25">
      <c r="A71" s="43" t="s">
        <v>180</v>
      </c>
      <c r="B71" s="44" t="str">
        <f>'дод 4'!A33</f>
        <v>1020</v>
      </c>
      <c r="C71" s="44" t="str">
        <f>'дод 4'!B33</f>
        <v>0921</v>
      </c>
      <c r="D71" s="24" t="str">
        <f>'дод 4'!C33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71" s="66">
        <f t="shared" si="26"/>
        <v>543724695.5</v>
      </c>
      <c r="F71" s="66">
        <f>536744807+70000-3078+30000-145366+60000-10090+161061-300000+1612120+137700+1500000+6222290+49000+53251-13000-5358318+78418.5+2033300+716400+43000+43200</f>
        <v>543724695.5</v>
      </c>
      <c r="G71" s="66">
        <f>378056547+4852290-3599684+1713900+587200</f>
        <v>381610253</v>
      </c>
      <c r="H71" s="66">
        <f>35373779-300000-450677</f>
        <v>34623102</v>
      </c>
      <c r="I71" s="66"/>
      <c r="J71" s="66">
        <f t="shared" ref="J71:J104" si="28">L71+O71</f>
        <v>34780295.310000002</v>
      </c>
      <c r="K71" s="66">
        <f>5544914.64+10090+85223+14000+44000+33571.67-53251+13000-200000-43000+370000+50000</f>
        <v>5868548.3099999996</v>
      </c>
      <c r="L71" s="66">
        <v>28911747</v>
      </c>
      <c r="M71" s="66">
        <v>1713303</v>
      </c>
      <c r="N71" s="66">
        <v>147329</v>
      </c>
      <c r="O71" s="66">
        <f>5544914.64+10090+85223+14000+44000+33571.67-53251+13000-200000-43000+370000+50000</f>
        <v>5868548.3099999996</v>
      </c>
      <c r="P71" s="66">
        <f t="shared" si="27"/>
        <v>578504990.80999994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7" customFormat="1" ht="69" customHeight="1" x14ac:dyDescent="0.25">
      <c r="A72" s="140"/>
      <c r="B72" s="141"/>
      <c r="C72" s="141"/>
      <c r="D72" s="138" t="s">
        <v>449</v>
      </c>
      <c r="E72" s="139">
        <f t="shared" ref="E72:E75" si="29">F72+I72</f>
        <v>2720137</v>
      </c>
      <c r="F72" s="139">
        <f>2739700-19563</f>
        <v>2720137</v>
      </c>
      <c r="G72" s="139">
        <f>2249257-16068</f>
        <v>2233189</v>
      </c>
      <c r="H72" s="139"/>
      <c r="I72" s="139"/>
      <c r="J72" s="139">
        <f t="shared" ref="J72:J75" si="30">L72+O72</f>
        <v>0</v>
      </c>
      <c r="K72" s="139"/>
      <c r="L72" s="139"/>
      <c r="M72" s="139"/>
      <c r="N72" s="139"/>
      <c r="O72" s="139"/>
      <c r="P72" s="139">
        <f t="shared" ref="P72:P75" si="31">E72+J72</f>
        <v>2720137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</row>
    <row r="73" spans="1:529" s="27" customFormat="1" ht="45" x14ac:dyDescent="0.25">
      <c r="A73" s="140"/>
      <c r="B73" s="141"/>
      <c r="C73" s="141"/>
      <c r="D73" s="138" t="s">
        <v>446</v>
      </c>
      <c r="E73" s="139">
        <f t="shared" si="29"/>
        <v>2067000</v>
      </c>
      <c r="F73" s="139">
        <v>2067000</v>
      </c>
      <c r="G73" s="139"/>
      <c r="H73" s="139"/>
      <c r="I73" s="139"/>
      <c r="J73" s="139">
        <f t="shared" si="30"/>
        <v>0</v>
      </c>
      <c r="K73" s="139"/>
      <c r="L73" s="139"/>
      <c r="M73" s="139"/>
      <c r="N73" s="139"/>
      <c r="O73" s="139"/>
      <c r="P73" s="139">
        <f t="shared" si="31"/>
        <v>2067000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6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6"/>
      <c r="MA73" s="36"/>
      <c r="MB73" s="36"/>
      <c r="MC73" s="36"/>
      <c r="MD73" s="36"/>
      <c r="ME73" s="36"/>
      <c r="MF73" s="36"/>
      <c r="MG73" s="36"/>
      <c r="MH73" s="36"/>
      <c r="MI73" s="36"/>
      <c r="MJ73" s="36"/>
      <c r="MK73" s="36"/>
      <c r="ML73" s="36"/>
      <c r="MM73" s="36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6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  <c r="PC73" s="36"/>
      <c r="PD73" s="36"/>
      <c r="PE73" s="36"/>
      <c r="PF73" s="36"/>
      <c r="PG73" s="36"/>
      <c r="PH73" s="36"/>
      <c r="PI73" s="36"/>
      <c r="PJ73" s="36"/>
      <c r="PK73" s="36"/>
      <c r="PL73" s="36"/>
      <c r="PM73" s="36"/>
      <c r="PN73" s="36"/>
      <c r="PO73" s="36"/>
      <c r="PP73" s="36"/>
      <c r="PQ73" s="36"/>
      <c r="PR73" s="36"/>
      <c r="PS73" s="36"/>
      <c r="PT73" s="36"/>
      <c r="PU73" s="36"/>
      <c r="PV73" s="36"/>
      <c r="PW73" s="36"/>
      <c r="PX73" s="36"/>
      <c r="PY73" s="36"/>
      <c r="PZ73" s="36"/>
      <c r="QA73" s="36"/>
      <c r="QB73" s="36"/>
      <c r="QC73" s="36"/>
      <c r="QD73" s="36"/>
      <c r="QE73" s="36"/>
      <c r="QF73" s="36"/>
      <c r="QG73" s="36"/>
      <c r="QH73" s="36"/>
      <c r="QI73" s="36"/>
      <c r="QJ73" s="36"/>
      <c r="QK73" s="36"/>
      <c r="QL73" s="36"/>
      <c r="QM73" s="36"/>
      <c r="QN73" s="36"/>
      <c r="QO73" s="36"/>
      <c r="QP73" s="36"/>
      <c r="QQ73" s="36"/>
      <c r="QR73" s="36"/>
      <c r="QS73" s="36"/>
      <c r="QT73" s="36"/>
      <c r="QU73" s="36"/>
      <c r="QV73" s="36"/>
      <c r="QW73" s="36"/>
      <c r="QX73" s="36"/>
      <c r="QY73" s="36"/>
      <c r="QZ73" s="36"/>
      <c r="RA73" s="36"/>
      <c r="RB73" s="36"/>
      <c r="RC73" s="36"/>
      <c r="RD73" s="36"/>
      <c r="RE73" s="36"/>
      <c r="RF73" s="36"/>
      <c r="RG73" s="36"/>
      <c r="RH73" s="36"/>
      <c r="RI73" s="36"/>
      <c r="RJ73" s="36"/>
      <c r="RK73" s="36"/>
      <c r="RL73" s="36"/>
      <c r="RM73" s="36"/>
      <c r="RN73" s="36"/>
      <c r="RO73" s="36"/>
      <c r="RP73" s="36"/>
      <c r="RQ73" s="36"/>
      <c r="RR73" s="36"/>
      <c r="RS73" s="36"/>
      <c r="RT73" s="36"/>
      <c r="RU73" s="36"/>
      <c r="RV73" s="36"/>
      <c r="RW73" s="36"/>
      <c r="RX73" s="36"/>
      <c r="RY73" s="36"/>
      <c r="RZ73" s="36"/>
      <c r="SA73" s="36"/>
      <c r="SB73" s="36"/>
      <c r="SC73" s="36"/>
      <c r="SD73" s="36"/>
      <c r="SE73" s="36"/>
      <c r="SF73" s="36"/>
      <c r="SG73" s="36"/>
      <c r="SH73" s="36"/>
      <c r="SI73" s="36"/>
      <c r="SJ73" s="36"/>
      <c r="SK73" s="36"/>
      <c r="SL73" s="36"/>
      <c r="SM73" s="36"/>
      <c r="SN73" s="36"/>
      <c r="SO73" s="36"/>
      <c r="SP73" s="36"/>
      <c r="SQ73" s="36"/>
      <c r="SR73" s="36"/>
      <c r="SS73" s="36"/>
      <c r="ST73" s="36"/>
      <c r="SU73" s="36"/>
      <c r="SV73" s="36"/>
      <c r="SW73" s="36"/>
      <c r="SX73" s="36"/>
      <c r="SY73" s="36"/>
      <c r="SZ73" s="36"/>
      <c r="TA73" s="36"/>
      <c r="TB73" s="36"/>
      <c r="TC73" s="36"/>
      <c r="TD73" s="36"/>
      <c r="TE73" s="36"/>
      <c r="TF73" s="36"/>
      <c r="TG73" s="36"/>
      <c r="TH73" s="36"/>
      <c r="TI73" s="36"/>
    </row>
    <row r="74" spans="1:529" s="27" customFormat="1" ht="45" x14ac:dyDescent="0.25">
      <c r="A74" s="140"/>
      <c r="B74" s="141"/>
      <c r="C74" s="141"/>
      <c r="D74" s="138" t="s">
        <v>448</v>
      </c>
      <c r="E74" s="139">
        <f t="shared" si="29"/>
        <v>117641.7</v>
      </c>
      <c r="F74" s="139">
        <f>182274-101758+37125.7</f>
        <v>117641.7</v>
      </c>
      <c r="G74" s="139"/>
      <c r="H74" s="139"/>
      <c r="I74" s="139"/>
      <c r="J74" s="139">
        <f t="shared" si="30"/>
        <v>686558.3</v>
      </c>
      <c r="K74" s="139">
        <f>621926+101758-37125.7</f>
        <v>686558.3</v>
      </c>
      <c r="L74" s="139"/>
      <c r="M74" s="139"/>
      <c r="N74" s="139"/>
      <c r="O74" s="139">
        <f>621926+101758-37125.7</f>
        <v>686558.3</v>
      </c>
      <c r="P74" s="139">
        <f t="shared" si="31"/>
        <v>804200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</row>
    <row r="75" spans="1:529" s="27" customFormat="1" ht="52.5" customHeight="1" x14ac:dyDescent="0.25">
      <c r="A75" s="140"/>
      <c r="B75" s="141"/>
      <c r="C75" s="141"/>
      <c r="D75" s="138" t="s">
        <v>445</v>
      </c>
      <c r="E75" s="139">
        <f t="shared" si="29"/>
        <v>1605000</v>
      </c>
      <c r="F75" s="139">
        <v>1605000</v>
      </c>
      <c r="G75" s="139">
        <v>1315570</v>
      </c>
      <c r="H75" s="139"/>
      <c r="I75" s="139"/>
      <c r="J75" s="139">
        <f t="shared" si="30"/>
        <v>663400</v>
      </c>
      <c r="K75" s="139">
        <v>663400</v>
      </c>
      <c r="L75" s="139"/>
      <c r="M75" s="139"/>
      <c r="N75" s="139"/>
      <c r="O75" s="139">
        <v>663400</v>
      </c>
      <c r="P75" s="139">
        <f t="shared" si="31"/>
        <v>2268400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</row>
    <row r="76" spans="1:529" s="27" customFormat="1" ht="30" x14ac:dyDescent="0.25">
      <c r="A76" s="140"/>
      <c r="B76" s="141"/>
      <c r="C76" s="141"/>
      <c r="D76" s="138" t="s">
        <v>451</v>
      </c>
      <c r="E76" s="139">
        <f t="shared" si="26"/>
        <v>351514074</v>
      </c>
      <c r="F76" s="139">
        <f>347149400+6222290+49000-1906616</f>
        <v>351514074</v>
      </c>
      <c r="G76" s="139">
        <f>285015950+4852290-1565367</f>
        <v>288302873</v>
      </c>
      <c r="H76" s="139"/>
      <c r="I76" s="139"/>
      <c r="J76" s="139">
        <f t="shared" si="28"/>
        <v>33571.67</v>
      </c>
      <c r="K76" s="139">
        <v>33571.67</v>
      </c>
      <c r="L76" s="139"/>
      <c r="M76" s="139"/>
      <c r="N76" s="139"/>
      <c r="O76" s="139">
        <v>33571.67</v>
      </c>
      <c r="P76" s="139">
        <f t="shared" si="27"/>
        <v>351547645.67000002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</row>
    <row r="77" spans="1:529" s="27" customFormat="1" ht="60" x14ac:dyDescent="0.25">
      <c r="A77" s="140"/>
      <c r="B77" s="141"/>
      <c r="C77" s="141"/>
      <c r="D77" s="138" t="s">
        <v>447</v>
      </c>
      <c r="E77" s="139">
        <f t="shared" si="26"/>
        <v>4773058</v>
      </c>
      <c r="F77" s="139">
        <f>5970690-1188532-9100</f>
        <v>4773058</v>
      </c>
      <c r="G77" s="139"/>
      <c r="H77" s="139"/>
      <c r="I77" s="139"/>
      <c r="J77" s="139">
        <f t="shared" si="28"/>
        <v>730410</v>
      </c>
      <c r="K77" s="139">
        <f>721310+9100</f>
        <v>730410</v>
      </c>
      <c r="L77" s="139"/>
      <c r="M77" s="139"/>
      <c r="N77" s="139"/>
      <c r="O77" s="139">
        <f>721310+9100</f>
        <v>730410</v>
      </c>
      <c r="P77" s="139">
        <f t="shared" si="27"/>
        <v>5503468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</row>
    <row r="78" spans="1:529" s="23" customFormat="1" ht="54" customHeight="1" x14ac:dyDescent="0.25">
      <c r="A78" s="43" t="s">
        <v>403</v>
      </c>
      <c r="B78" s="44">
        <f>'дод 4'!A40</f>
        <v>1030</v>
      </c>
      <c r="C78" s="44" t="str">
        <f>'дод 4'!B40</f>
        <v>0922</v>
      </c>
      <c r="D78" s="24" t="str">
        <f>'дод 4'!C40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8" s="66">
        <f t="shared" si="26"/>
        <v>15476293</v>
      </c>
      <c r="F78" s="66">
        <f>9152880+50000+110000+106000+25839+11076-150800-60000+37000+50600+642580+5358318+142800</f>
        <v>15476293</v>
      </c>
      <c r="G78" s="66">
        <f>6532300+526700+3599684+117400</f>
        <v>10776084</v>
      </c>
      <c r="H78" s="66">
        <f>709270-60000+450677</f>
        <v>1099947</v>
      </c>
      <c r="I78" s="66">
        <v>0</v>
      </c>
      <c r="J78" s="66">
        <f t="shared" si="28"/>
        <v>252327</v>
      </c>
      <c r="K78" s="66">
        <f>150000+22000+20174+21229-11076-150000+200000</f>
        <v>252327</v>
      </c>
      <c r="L78" s="66"/>
      <c r="M78" s="66"/>
      <c r="N78" s="66"/>
      <c r="O78" s="66">
        <f>150000+22000+20174+21229-11076-150000+200000</f>
        <v>252327</v>
      </c>
      <c r="P78" s="66">
        <f t="shared" si="27"/>
        <v>15728620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</row>
    <row r="79" spans="1:529" s="27" customFormat="1" ht="69" customHeight="1" x14ac:dyDescent="0.25">
      <c r="A79" s="140"/>
      <c r="B79" s="141"/>
      <c r="C79" s="141"/>
      <c r="D79" s="138" t="s">
        <v>449</v>
      </c>
      <c r="E79" s="139">
        <f t="shared" si="26"/>
        <v>19563</v>
      </c>
      <c r="F79" s="139">
        <v>19563</v>
      </c>
      <c r="G79" s="139">
        <v>16068</v>
      </c>
      <c r="H79" s="139"/>
      <c r="I79" s="139"/>
      <c r="J79" s="139">
        <f t="shared" si="28"/>
        <v>0</v>
      </c>
      <c r="K79" s="139"/>
      <c r="L79" s="139"/>
      <c r="M79" s="139"/>
      <c r="N79" s="139"/>
      <c r="O79" s="139"/>
      <c r="P79" s="139">
        <f t="shared" si="27"/>
        <v>19563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</row>
    <row r="80" spans="1:529" s="27" customFormat="1" ht="30" x14ac:dyDescent="0.25">
      <c r="A80" s="140"/>
      <c r="B80" s="141"/>
      <c r="C80" s="141"/>
      <c r="D80" s="138" t="s">
        <v>451</v>
      </c>
      <c r="E80" s="139">
        <f t="shared" si="26"/>
        <v>8763496</v>
      </c>
      <c r="F80" s="139">
        <f>6214300+642580+1906616</f>
        <v>8763496</v>
      </c>
      <c r="G80" s="139">
        <f>5102000+526700+1565367</f>
        <v>7194067</v>
      </c>
      <c r="H80" s="139"/>
      <c r="I80" s="139"/>
      <c r="J80" s="139">
        <f t="shared" si="28"/>
        <v>0</v>
      </c>
      <c r="K80" s="139"/>
      <c r="L80" s="139"/>
      <c r="M80" s="139"/>
      <c r="N80" s="139"/>
      <c r="O80" s="139"/>
      <c r="P80" s="139">
        <f t="shared" si="27"/>
        <v>8763496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  <c r="TF80" s="36"/>
      <c r="TG80" s="36"/>
      <c r="TH80" s="36"/>
      <c r="TI80" s="36"/>
    </row>
    <row r="81" spans="1:529" s="27" customFormat="1" ht="60" x14ac:dyDescent="0.25">
      <c r="A81" s="140"/>
      <c r="B81" s="141"/>
      <c r="C81" s="141"/>
      <c r="D81" s="138" t="s">
        <v>447</v>
      </c>
      <c r="E81" s="139">
        <f t="shared" si="26"/>
        <v>25839</v>
      </c>
      <c r="F81" s="139">
        <v>25839</v>
      </c>
      <c r="G81" s="139"/>
      <c r="H81" s="139"/>
      <c r="I81" s="139"/>
      <c r="J81" s="139">
        <f t="shared" si="28"/>
        <v>21229</v>
      </c>
      <c r="K81" s="139">
        <v>21229</v>
      </c>
      <c r="L81" s="139"/>
      <c r="M81" s="139"/>
      <c r="N81" s="139"/>
      <c r="O81" s="139">
        <v>21229</v>
      </c>
      <c r="P81" s="139">
        <f t="shared" si="27"/>
        <v>47068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  <c r="TF81" s="36"/>
      <c r="TG81" s="36"/>
      <c r="TH81" s="36"/>
      <c r="TI81" s="36"/>
    </row>
    <row r="82" spans="1:529" s="23" customFormat="1" ht="32.25" customHeight="1" x14ac:dyDescent="0.25">
      <c r="A82" s="43" t="s">
        <v>243</v>
      </c>
      <c r="B82" s="44" t="str">
        <f>'дод 4'!A44</f>
        <v>1090</v>
      </c>
      <c r="C82" s="44" t="str">
        <f>'дод 4'!B44</f>
        <v>0960</v>
      </c>
      <c r="D82" s="24" t="str">
        <f>'дод 4'!C44</f>
        <v>Надання позашкільної освіти закладами позашкільної освіти, заходи із позашкільної роботи з дітьми</v>
      </c>
      <c r="E82" s="66">
        <f t="shared" si="26"/>
        <v>27941440</v>
      </c>
      <c r="F82" s="66">
        <f>27792840+230600+25000-380000+90000+183000</f>
        <v>27941440</v>
      </c>
      <c r="G82" s="66">
        <v>19715700</v>
      </c>
      <c r="H82" s="66">
        <f>3358190-380000</f>
        <v>2978190</v>
      </c>
      <c r="I82" s="66">
        <v>0</v>
      </c>
      <c r="J82" s="66">
        <f t="shared" si="28"/>
        <v>15000</v>
      </c>
      <c r="K82" s="66">
        <f>300000-300000+15000</f>
        <v>15000</v>
      </c>
      <c r="L82" s="66"/>
      <c r="M82" s="66"/>
      <c r="N82" s="66"/>
      <c r="O82" s="66">
        <f>300000-300000+15000</f>
        <v>15000</v>
      </c>
      <c r="P82" s="66">
        <f t="shared" si="27"/>
        <v>27956440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43.5" customHeight="1" x14ac:dyDescent="0.25">
      <c r="A83" s="43" t="s">
        <v>242</v>
      </c>
      <c r="B83" s="44" t="str">
        <f>'дод 4'!A46</f>
        <v>1110</v>
      </c>
      <c r="C83" s="44" t="str">
        <f>'дод 4'!B46</f>
        <v>0930</v>
      </c>
      <c r="D83" s="24" t="str">
        <f>'дод 4'!C46</f>
        <v>Підготовка кадрів закладами професійної (професійно-технічної) освіти та іншими закладами освіти, у т.ч. за рахунок:</v>
      </c>
      <c r="E83" s="66">
        <f t="shared" si="26"/>
        <v>70077716.950000003</v>
      </c>
      <c r="F83" s="66">
        <f>116310900-341000+217000+621000+200000-850000-2040100-25815954+1927000-1500000-18651129.05</f>
        <v>70077716.950000003</v>
      </c>
      <c r="G83" s="66">
        <f>69744500-16628791-9622132.19</f>
        <v>43493576.810000002</v>
      </c>
      <c r="H83" s="66">
        <f>11348217-341000-2040100-1469012-2563202.44</f>
        <v>4934902.5600000005</v>
      </c>
      <c r="I83" s="66"/>
      <c r="J83" s="66">
        <f t="shared" si="28"/>
        <v>8383105</v>
      </c>
      <c r="K83" s="66">
        <v>304000</v>
      </c>
      <c r="L83" s="66">
        <v>7974105</v>
      </c>
      <c r="M83" s="66">
        <v>2495573</v>
      </c>
      <c r="N83" s="66">
        <v>2976862</v>
      </c>
      <c r="O83" s="66">
        <f>105000+304000</f>
        <v>409000</v>
      </c>
      <c r="P83" s="66">
        <f t="shared" si="27"/>
        <v>78460821.950000003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7" customFormat="1" ht="30" x14ac:dyDescent="0.25">
      <c r="A84" s="140"/>
      <c r="B84" s="141"/>
      <c r="C84" s="141"/>
      <c r="D84" s="138" t="s">
        <v>451</v>
      </c>
      <c r="E84" s="139">
        <f t="shared" si="26"/>
        <v>8033046</v>
      </c>
      <c r="F84" s="139">
        <f>17825000-9791954</f>
        <v>8033046</v>
      </c>
      <c r="G84" s="139">
        <f>14610650-8026186</f>
        <v>6584464</v>
      </c>
      <c r="H84" s="139"/>
      <c r="I84" s="139"/>
      <c r="J84" s="139">
        <f t="shared" si="28"/>
        <v>0</v>
      </c>
      <c r="K84" s="139"/>
      <c r="L84" s="139"/>
      <c r="M84" s="139"/>
      <c r="N84" s="139"/>
      <c r="O84" s="139"/>
      <c r="P84" s="139">
        <f t="shared" si="27"/>
        <v>8033046</v>
      </c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  <c r="IW84" s="36"/>
      <c r="IX84" s="36"/>
      <c r="IY84" s="36"/>
      <c r="IZ84" s="36"/>
      <c r="JA84" s="36"/>
      <c r="JB84" s="36"/>
      <c r="JC84" s="36"/>
      <c r="JD84" s="36"/>
      <c r="JE84" s="36"/>
      <c r="JF84" s="36"/>
      <c r="JG84" s="36"/>
      <c r="JH84" s="36"/>
      <c r="JI84" s="36"/>
      <c r="JJ84" s="36"/>
      <c r="JK84" s="36"/>
      <c r="JL84" s="36"/>
      <c r="JM84" s="36"/>
      <c r="JN84" s="36"/>
      <c r="JO84" s="36"/>
      <c r="JP84" s="36"/>
      <c r="JQ84" s="36"/>
      <c r="JR84" s="36"/>
      <c r="JS84" s="36"/>
      <c r="JT84" s="36"/>
      <c r="JU84" s="36"/>
      <c r="JV84" s="36"/>
      <c r="JW84" s="36"/>
      <c r="JX84" s="36"/>
      <c r="JY84" s="36"/>
      <c r="JZ84" s="36"/>
      <c r="KA84" s="36"/>
      <c r="KB84" s="36"/>
      <c r="KC84" s="36"/>
      <c r="KD84" s="36"/>
      <c r="KE84" s="36"/>
      <c r="KF84" s="36"/>
      <c r="KG84" s="36"/>
      <c r="KH84" s="36"/>
      <c r="KI84" s="36"/>
      <c r="KJ84" s="36"/>
      <c r="KK84" s="36"/>
      <c r="KL84" s="36"/>
      <c r="KM84" s="36"/>
      <c r="KN84" s="36"/>
      <c r="KO84" s="36"/>
      <c r="KP84" s="36"/>
      <c r="KQ84" s="36"/>
      <c r="KR84" s="36"/>
      <c r="KS84" s="36"/>
      <c r="KT84" s="36"/>
      <c r="KU84" s="36"/>
      <c r="KV84" s="36"/>
      <c r="KW84" s="36"/>
      <c r="KX84" s="36"/>
      <c r="KY84" s="36"/>
      <c r="KZ84" s="36"/>
      <c r="LA84" s="36"/>
      <c r="LB84" s="36"/>
      <c r="LC84" s="36"/>
      <c r="LD84" s="36"/>
      <c r="LE84" s="36"/>
      <c r="LF84" s="36"/>
      <c r="LG84" s="36"/>
      <c r="LH84" s="36"/>
      <c r="LI84" s="36"/>
      <c r="LJ84" s="36"/>
      <c r="LK84" s="36"/>
      <c r="LL84" s="36"/>
      <c r="LM84" s="36"/>
      <c r="LN84" s="36"/>
      <c r="LO84" s="36"/>
      <c r="LP84" s="36"/>
      <c r="LQ84" s="36"/>
      <c r="LR84" s="36"/>
      <c r="LS84" s="36"/>
      <c r="LT84" s="36"/>
      <c r="LU84" s="36"/>
      <c r="LV84" s="36"/>
      <c r="LW84" s="36"/>
      <c r="LX84" s="36"/>
      <c r="LY84" s="36"/>
      <c r="LZ84" s="36"/>
      <c r="MA84" s="36"/>
      <c r="MB84" s="36"/>
      <c r="MC84" s="36"/>
      <c r="MD84" s="36"/>
      <c r="ME84" s="36"/>
      <c r="MF84" s="36"/>
      <c r="MG84" s="36"/>
      <c r="MH84" s="36"/>
      <c r="MI84" s="36"/>
      <c r="MJ84" s="36"/>
      <c r="MK84" s="36"/>
      <c r="ML84" s="36"/>
      <c r="MM84" s="36"/>
      <c r="MN84" s="36"/>
      <c r="MO84" s="36"/>
      <c r="MP84" s="36"/>
      <c r="MQ84" s="36"/>
      <c r="MR84" s="36"/>
      <c r="MS84" s="36"/>
      <c r="MT84" s="36"/>
      <c r="MU84" s="36"/>
      <c r="MV84" s="36"/>
      <c r="MW84" s="36"/>
      <c r="MX84" s="36"/>
      <c r="MY84" s="36"/>
      <c r="MZ84" s="36"/>
      <c r="NA84" s="36"/>
      <c r="NB84" s="36"/>
      <c r="NC84" s="36"/>
      <c r="ND84" s="36"/>
      <c r="NE84" s="36"/>
      <c r="NF84" s="36"/>
      <c r="NG84" s="36"/>
      <c r="NH84" s="36"/>
      <c r="NI84" s="36"/>
      <c r="NJ84" s="36"/>
      <c r="NK84" s="36"/>
      <c r="NL84" s="36"/>
      <c r="NM84" s="36"/>
      <c r="NN84" s="36"/>
      <c r="NO84" s="36"/>
      <c r="NP84" s="36"/>
      <c r="NQ84" s="36"/>
      <c r="NR84" s="36"/>
      <c r="NS84" s="36"/>
      <c r="NT84" s="36"/>
      <c r="NU84" s="36"/>
      <c r="NV84" s="36"/>
      <c r="NW84" s="36"/>
      <c r="NX84" s="36"/>
      <c r="NY84" s="36"/>
      <c r="NZ84" s="36"/>
      <c r="OA84" s="36"/>
      <c r="OB84" s="36"/>
      <c r="OC84" s="36"/>
      <c r="OD84" s="36"/>
      <c r="OE84" s="36"/>
      <c r="OF84" s="36"/>
      <c r="OG84" s="36"/>
      <c r="OH84" s="36"/>
      <c r="OI84" s="36"/>
      <c r="OJ84" s="36"/>
      <c r="OK84" s="36"/>
      <c r="OL84" s="36"/>
      <c r="OM84" s="36"/>
      <c r="ON84" s="36"/>
      <c r="OO84" s="36"/>
      <c r="OP84" s="36"/>
      <c r="OQ84" s="36"/>
      <c r="OR84" s="36"/>
      <c r="OS84" s="36"/>
      <c r="OT84" s="36"/>
      <c r="OU84" s="36"/>
      <c r="OV84" s="36"/>
      <c r="OW84" s="36"/>
      <c r="OX84" s="36"/>
      <c r="OY84" s="36"/>
      <c r="OZ84" s="36"/>
      <c r="PA84" s="36"/>
      <c r="PB84" s="36"/>
      <c r="PC84" s="36"/>
      <c r="PD84" s="36"/>
      <c r="PE84" s="36"/>
      <c r="PF84" s="36"/>
      <c r="PG84" s="36"/>
      <c r="PH84" s="36"/>
      <c r="PI84" s="36"/>
      <c r="PJ84" s="36"/>
      <c r="PK84" s="36"/>
      <c r="PL84" s="36"/>
      <c r="PM84" s="36"/>
      <c r="PN84" s="36"/>
      <c r="PO84" s="36"/>
      <c r="PP84" s="36"/>
      <c r="PQ84" s="36"/>
      <c r="PR84" s="36"/>
      <c r="PS84" s="36"/>
      <c r="PT84" s="36"/>
      <c r="PU84" s="36"/>
      <c r="PV84" s="36"/>
      <c r="PW84" s="36"/>
      <c r="PX84" s="36"/>
      <c r="PY84" s="36"/>
      <c r="PZ84" s="36"/>
      <c r="QA84" s="36"/>
      <c r="QB84" s="36"/>
      <c r="QC84" s="36"/>
      <c r="QD84" s="36"/>
      <c r="QE84" s="36"/>
      <c r="QF84" s="36"/>
      <c r="QG84" s="36"/>
      <c r="QH84" s="36"/>
      <c r="QI84" s="36"/>
      <c r="QJ84" s="36"/>
      <c r="QK84" s="36"/>
      <c r="QL84" s="36"/>
      <c r="QM84" s="36"/>
      <c r="QN84" s="36"/>
      <c r="QO84" s="36"/>
      <c r="QP84" s="36"/>
      <c r="QQ84" s="36"/>
      <c r="QR84" s="36"/>
      <c r="QS84" s="36"/>
      <c r="QT84" s="36"/>
      <c r="QU84" s="36"/>
      <c r="QV84" s="36"/>
      <c r="QW84" s="36"/>
      <c r="QX84" s="36"/>
      <c r="QY84" s="36"/>
      <c r="QZ84" s="36"/>
      <c r="RA84" s="36"/>
      <c r="RB84" s="36"/>
      <c r="RC84" s="36"/>
      <c r="RD84" s="36"/>
      <c r="RE84" s="36"/>
      <c r="RF84" s="36"/>
      <c r="RG84" s="36"/>
      <c r="RH84" s="36"/>
      <c r="RI84" s="36"/>
      <c r="RJ84" s="36"/>
      <c r="RK84" s="36"/>
      <c r="RL84" s="36"/>
      <c r="RM84" s="36"/>
      <c r="RN84" s="36"/>
      <c r="RO84" s="36"/>
      <c r="RP84" s="36"/>
      <c r="RQ84" s="36"/>
      <c r="RR84" s="36"/>
      <c r="RS84" s="36"/>
      <c r="RT84" s="36"/>
      <c r="RU84" s="36"/>
      <c r="RV84" s="36"/>
      <c r="RW84" s="36"/>
      <c r="RX84" s="36"/>
      <c r="RY84" s="36"/>
      <c r="RZ84" s="36"/>
      <c r="SA84" s="36"/>
      <c r="SB84" s="36"/>
      <c r="SC84" s="36"/>
      <c r="SD84" s="36"/>
      <c r="SE84" s="36"/>
      <c r="SF84" s="36"/>
      <c r="SG84" s="36"/>
      <c r="SH84" s="36"/>
      <c r="SI84" s="36"/>
      <c r="SJ84" s="36"/>
      <c r="SK84" s="36"/>
      <c r="SL84" s="36"/>
      <c r="SM84" s="36"/>
      <c r="SN84" s="36"/>
      <c r="SO84" s="36"/>
      <c r="SP84" s="36"/>
      <c r="SQ84" s="36"/>
      <c r="SR84" s="36"/>
      <c r="SS84" s="36"/>
      <c r="ST84" s="36"/>
      <c r="SU84" s="36"/>
      <c r="SV84" s="36"/>
      <c r="SW84" s="36"/>
      <c r="SX84" s="36"/>
      <c r="SY84" s="36"/>
      <c r="SZ84" s="36"/>
      <c r="TA84" s="36"/>
      <c r="TB84" s="36"/>
      <c r="TC84" s="36"/>
      <c r="TD84" s="36"/>
      <c r="TE84" s="36"/>
      <c r="TF84" s="36"/>
      <c r="TG84" s="36"/>
      <c r="TH84" s="36"/>
      <c r="TI84" s="36"/>
    </row>
    <row r="85" spans="1:529" s="27" customFormat="1" ht="45" x14ac:dyDescent="0.25">
      <c r="A85" s="140"/>
      <c r="B85" s="141"/>
      <c r="C85" s="141"/>
      <c r="D85" s="138" t="s">
        <v>521</v>
      </c>
      <c r="E85" s="139">
        <f t="shared" si="26"/>
        <v>335000</v>
      </c>
      <c r="F85" s="139">
        <f>1927000-1592000</f>
        <v>335000</v>
      </c>
      <c r="G85" s="139"/>
      <c r="H85" s="139"/>
      <c r="I85" s="139"/>
      <c r="J85" s="139">
        <f t="shared" ref="J85" si="32">L85+O85</f>
        <v>304000</v>
      </c>
      <c r="K85" s="139">
        <v>304000</v>
      </c>
      <c r="L85" s="139"/>
      <c r="M85" s="139"/>
      <c r="N85" s="139"/>
      <c r="O85" s="139">
        <v>304000</v>
      </c>
      <c r="P85" s="139">
        <f t="shared" ref="P85" si="33">E85+J85</f>
        <v>639000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6"/>
      <c r="JD85" s="36"/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6"/>
      <c r="KK85" s="36"/>
      <c r="KL85" s="36"/>
      <c r="KM85" s="36"/>
      <c r="KN85" s="36"/>
      <c r="KO85" s="36"/>
      <c r="KP85" s="36"/>
      <c r="KQ85" s="36"/>
      <c r="KR85" s="36"/>
      <c r="KS85" s="36"/>
      <c r="KT85" s="36"/>
      <c r="KU85" s="36"/>
      <c r="KV85" s="36"/>
      <c r="KW85" s="36"/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6"/>
      <c r="LK85" s="36"/>
      <c r="LL85" s="36"/>
      <c r="LM85" s="36"/>
      <c r="LN85" s="36"/>
      <c r="LO85" s="36"/>
      <c r="LP85" s="36"/>
      <c r="LQ85" s="36"/>
      <c r="LR85" s="36"/>
      <c r="LS85" s="36"/>
      <c r="LT85" s="36"/>
      <c r="LU85" s="36"/>
      <c r="LV85" s="36"/>
      <c r="LW85" s="36"/>
      <c r="LX85" s="36"/>
      <c r="LY85" s="36"/>
      <c r="LZ85" s="36"/>
      <c r="MA85" s="36"/>
      <c r="MB85" s="36"/>
      <c r="MC85" s="36"/>
      <c r="MD85" s="36"/>
      <c r="ME85" s="36"/>
      <c r="MF85" s="36"/>
      <c r="MG85" s="36"/>
      <c r="MH85" s="36"/>
      <c r="MI85" s="36"/>
      <c r="MJ85" s="36"/>
      <c r="MK85" s="36"/>
      <c r="ML85" s="36"/>
      <c r="MM85" s="36"/>
      <c r="MN85" s="36"/>
      <c r="MO85" s="36"/>
      <c r="MP85" s="36"/>
      <c r="MQ85" s="36"/>
      <c r="MR85" s="36"/>
      <c r="MS85" s="36"/>
      <c r="MT85" s="36"/>
      <c r="MU85" s="36"/>
      <c r="MV85" s="36"/>
      <c r="MW85" s="36"/>
      <c r="MX85" s="36"/>
      <c r="MY85" s="36"/>
      <c r="MZ85" s="36"/>
      <c r="NA85" s="36"/>
      <c r="NB85" s="36"/>
      <c r="NC85" s="36"/>
      <c r="ND85" s="36"/>
      <c r="NE85" s="36"/>
      <c r="NF85" s="36"/>
      <c r="NG85" s="36"/>
      <c r="NH85" s="36"/>
      <c r="NI85" s="36"/>
      <c r="NJ85" s="36"/>
      <c r="NK85" s="36"/>
      <c r="NL85" s="36"/>
      <c r="NM85" s="36"/>
      <c r="NN85" s="36"/>
      <c r="NO85" s="36"/>
      <c r="NP85" s="36"/>
      <c r="NQ85" s="36"/>
      <c r="NR85" s="36"/>
      <c r="NS85" s="36"/>
      <c r="NT85" s="36"/>
      <c r="NU85" s="36"/>
      <c r="NV85" s="36"/>
      <c r="NW85" s="36"/>
      <c r="NX85" s="36"/>
      <c r="NY85" s="36"/>
      <c r="NZ85" s="36"/>
      <c r="OA85" s="36"/>
      <c r="OB85" s="36"/>
      <c r="OC85" s="36"/>
      <c r="OD85" s="36"/>
      <c r="OE85" s="36"/>
      <c r="OF85" s="36"/>
      <c r="OG85" s="36"/>
      <c r="OH85" s="36"/>
      <c r="OI85" s="36"/>
      <c r="OJ85" s="36"/>
      <c r="OK85" s="36"/>
      <c r="OL85" s="36"/>
      <c r="OM85" s="36"/>
      <c r="ON85" s="36"/>
      <c r="OO85" s="36"/>
      <c r="OP85" s="36"/>
      <c r="OQ85" s="36"/>
      <c r="OR85" s="36"/>
      <c r="OS85" s="36"/>
      <c r="OT85" s="36"/>
      <c r="OU85" s="36"/>
      <c r="OV85" s="36"/>
      <c r="OW85" s="36"/>
      <c r="OX85" s="36"/>
      <c r="OY85" s="36"/>
      <c r="OZ85" s="36"/>
      <c r="PA85" s="36"/>
      <c r="PB85" s="36"/>
      <c r="PC85" s="36"/>
      <c r="PD85" s="36"/>
      <c r="PE85" s="36"/>
      <c r="PF85" s="36"/>
      <c r="PG85" s="36"/>
      <c r="PH85" s="36"/>
      <c r="PI85" s="36"/>
      <c r="PJ85" s="36"/>
      <c r="PK85" s="36"/>
      <c r="PL85" s="36"/>
      <c r="PM85" s="36"/>
      <c r="PN85" s="36"/>
      <c r="PO85" s="36"/>
      <c r="PP85" s="36"/>
      <c r="PQ85" s="36"/>
      <c r="PR85" s="36"/>
      <c r="PS85" s="36"/>
      <c r="PT85" s="36"/>
      <c r="PU85" s="36"/>
      <c r="PV85" s="36"/>
      <c r="PW85" s="36"/>
      <c r="PX85" s="36"/>
      <c r="PY85" s="36"/>
      <c r="PZ85" s="36"/>
      <c r="QA85" s="36"/>
      <c r="QB85" s="36"/>
      <c r="QC85" s="36"/>
      <c r="QD85" s="36"/>
      <c r="QE85" s="36"/>
      <c r="QF85" s="36"/>
      <c r="QG85" s="36"/>
      <c r="QH85" s="36"/>
      <c r="QI85" s="36"/>
      <c r="QJ85" s="36"/>
      <c r="QK85" s="36"/>
      <c r="QL85" s="36"/>
      <c r="QM85" s="36"/>
      <c r="QN85" s="36"/>
      <c r="QO85" s="36"/>
      <c r="QP85" s="36"/>
      <c r="QQ85" s="36"/>
      <c r="QR85" s="36"/>
      <c r="QS85" s="36"/>
      <c r="QT85" s="36"/>
      <c r="QU85" s="36"/>
      <c r="QV85" s="36"/>
      <c r="QW85" s="36"/>
      <c r="QX85" s="36"/>
      <c r="QY85" s="36"/>
      <c r="QZ85" s="36"/>
      <c r="RA85" s="36"/>
      <c r="RB85" s="36"/>
      <c r="RC85" s="36"/>
      <c r="RD85" s="36"/>
      <c r="RE85" s="36"/>
      <c r="RF85" s="36"/>
      <c r="RG85" s="36"/>
      <c r="RH85" s="36"/>
      <c r="RI85" s="36"/>
      <c r="RJ85" s="36"/>
      <c r="RK85" s="36"/>
      <c r="RL85" s="36"/>
      <c r="RM85" s="36"/>
      <c r="RN85" s="36"/>
      <c r="RO85" s="36"/>
      <c r="RP85" s="36"/>
      <c r="RQ85" s="36"/>
      <c r="RR85" s="36"/>
      <c r="RS85" s="36"/>
      <c r="RT85" s="36"/>
      <c r="RU85" s="36"/>
      <c r="RV85" s="36"/>
      <c r="RW85" s="36"/>
      <c r="RX85" s="36"/>
      <c r="RY85" s="36"/>
      <c r="RZ85" s="36"/>
      <c r="SA85" s="36"/>
      <c r="SB85" s="36"/>
      <c r="SC85" s="36"/>
      <c r="SD85" s="36"/>
      <c r="SE85" s="36"/>
      <c r="SF85" s="36"/>
      <c r="SG85" s="36"/>
      <c r="SH85" s="36"/>
      <c r="SI85" s="36"/>
      <c r="SJ85" s="36"/>
      <c r="SK85" s="36"/>
      <c r="SL85" s="36"/>
      <c r="SM85" s="36"/>
      <c r="SN85" s="36"/>
      <c r="SO85" s="36"/>
      <c r="SP85" s="36"/>
      <c r="SQ85" s="36"/>
      <c r="SR85" s="36"/>
      <c r="SS85" s="36"/>
      <c r="ST85" s="36"/>
      <c r="SU85" s="36"/>
      <c r="SV85" s="36"/>
      <c r="SW85" s="36"/>
      <c r="SX85" s="36"/>
      <c r="SY85" s="36"/>
      <c r="SZ85" s="36"/>
      <c r="TA85" s="36"/>
      <c r="TB85" s="36"/>
      <c r="TC85" s="36"/>
      <c r="TD85" s="36"/>
      <c r="TE85" s="36"/>
      <c r="TF85" s="36"/>
      <c r="TG85" s="36"/>
      <c r="TH85" s="36"/>
      <c r="TI85" s="36"/>
    </row>
    <row r="86" spans="1:529" s="23" customFormat="1" ht="21.75" customHeight="1" x14ac:dyDescent="0.25">
      <c r="A86" s="43" t="s">
        <v>181</v>
      </c>
      <c r="B86" s="44" t="str">
        <f>'дод 4'!A49</f>
        <v>1150</v>
      </c>
      <c r="C86" s="44" t="str">
        <f>'дод 4'!B49</f>
        <v>0990</v>
      </c>
      <c r="D86" s="24" t="str">
        <f>'дод 4'!C49</f>
        <v>Методичне забезпечення діяльності закладів освіти</v>
      </c>
      <c r="E86" s="66">
        <f t="shared" si="26"/>
        <v>2385999</v>
      </c>
      <c r="F86" s="66">
        <f>2893730+15000-30200-492531</f>
        <v>2385999</v>
      </c>
      <c r="G86" s="66">
        <f>2237500-339500</f>
        <v>1898000</v>
      </c>
      <c r="H86" s="66">
        <f>120380-30200-43291</f>
        <v>46889</v>
      </c>
      <c r="I86" s="66"/>
      <c r="J86" s="66">
        <f t="shared" si="28"/>
        <v>0</v>
      </c>
      <c r="K86" s="66"/>
      <c r="L86" s="66"/>
      <c r="M86" s="66"/>
      <c r="N86" s="66"/>
      <c r="O86" s="66"/>
      <c r="P86" s="66">
        <f t="shared" si="27"/>
        <v>2385999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16.5" customHeight="1" x14ac:dyDescent="0.25">
      <c r="A87" s="43" t="s">
        <v>335</v>
      </c>
      <c r="B87" s="44" t="str">
        <f>'дод 4'!A50</f>
        <v>1161</v>
      </c>
      <c r="C87" s="44" t="str">
        <f>'дод 4'!B50</f>
        <v>0990</v>
      </c>
      <c r="D87" s="24" t="str">
        <f>'дод 4'!C50</f>
        <v>Забезпечення діяльності інших закладів у сфері освіти</v>
      </c>
      <c r="E87" s="66">
        <f t="shared" si="26"/>
        <v>10059651</v>
      </c>
      <c r="F87" s="66">
        <f>9333170+12000+43350-76000+492531+204700+49900</f>
        <v>10059651</v>
      </c>
      <c r="G87" s="66">
        <f>6782550+339500+177400</f>
        <v>7299450</v>
      </c>
      <c r="H87" s="66">
        <f>613500-76000+43291</f>
        <v>580791</v>
      </c>
      <c r="I87" s="66"/>
      <c r="J87" s="66">
        <f t="shared" si="28"/>
        <v>132000</v>
      </c>
      <c r="K87" s="66">
        <f>100000+200000+132000-300000</f>
        <v>132000</v>
      </c>
      <c r="L87" s="66"/>
      <c r="M87" s="66"/>
      <c r="N87" s="66"/>
      <c r="O87" s="66">
        <f>100000+200000+132000-300000</f>
        <v>132000</v>
      </c>
      <c r="P87" s="66">
        <f t="shared" si="27"/>
        <v>10191651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20.25" customHeight="1" x14ac:dyDescent="0.25">
      <c r="A88" s="43" t="s">
        <v>336</v>
      </c>
      <c r="B88" s="44" t="str">
        <f>'дод 4'!A51</f>
        <v>1162</v>
      </c>
      <c r="C88" s="44" t="str">
        <f>'дод 4'!B51</f>
        <v>0990</v>
      </c>
      <c r="D88" s="24" t="str">
        <f>'дод 4'!C51</f>
        <v>Інші програми та заходи у сфері освіти</v>
      </c>
      <c r="E88" s="66">
        <f t="shared" si="26"/>
        <v>107400</v>
      </c>
      <c r="F88" s="66">
        <v>107400</v>
      </c>
      <c r="G88" s="66"/>
      <c r="H88" s="66"/>
      <c r="I88" s="66"/>
      <c r="J88" s="66">
        <f t="shared" si="28"/>
        <v>0</v>
      </c>
      <c r="K88" s="66"/>
      <c r="L88" s="66"/>
      <c r="M88" s="66"/>
      <c r="N88" s="66"/>
      <c r="O88" s="66"/>
      <c r="P88" s="66">
        <f t="shared" si="27"/>
        <v>107400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30.75" customHeight="1" x14ac:dyDescent="0.25">
      <c r="A89" s="43" t="s">
        <v>369</v>
      </c>
      <c r="B89" s="44">
        <v>1170</v>
      </c>
      <c r="C89" s="44" t="s">
        <v>64</v>
      </c>
      <c r="D89" s="131" t="s">
        <v>493</v>
      </c>
      <c r="E89" s="66">
        <f t="shared" si="26"/>
        <v>1383940</v>
      </c>
      <c r="F89" s="66">
        <f>1627940-244000</f>
        <v>1383940</v>
      </c>
      <c r="G89" s="66">
        <f>1224320-200000</f>
        <v>1024320</v>
      </c>
      <c r="H89" s="66">
        <v>81470</v>
      </c>
      <c r="I89" s="66"/>
      <c r="J89" s="66">
        <f t="shared" si="28"/>
        <v>0</v>
      </c>
      <c r="K89" s="66"/>
      <c r="L89" s="66"/>
      <c r="M89" s="66"/>
      <c r="N89" s="66"/>
      <c r="O89" s="66"/>
      <c r="P89" s="66">
        <f t="shared" si="27"/>
        <v>1383940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7" customFormat="1" ht="45" x14ac:dyDescent="0.25">
      <c r="A90" s="140"/>
      <c r="B90" s="141"/>
      <c r="C90" s="141"/>
      <c r="D90" s="138" t="s">
        <v>446</v>
      </c>
      <c r="E90" s="139">
        <f t="shared" si="26"/>
        <v>1236370</v>
      </c>
      <c r="F90" s="139">
        <v>1236370</v>
      </c>
      <c r="G90" s="139">
        <v>1013420</v>
      </c>
      <c r="H90" s="139"/>
      <c r="I90" s="139"/>
      <c r="J90" s="139">
        <f t="shared" si="28"/>
        <v>0</v>
      </c>
      <c r="K90" s="139"/>
      <c r="L90" s="139"/>
      <c r="M90" s="139"/>
      <c r="N90" s="139"/>
      <c r="O90" s="139"/>
      <c r="P90" s="139">
        <f t="shared" si="27"/>
        <v>1236370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/>
      <c r="MJ90" s="36"/>
      <c r="MK90" s="36"/>
      <c r="ML90" s="36"/>
      <c r="MM90" s="36"/>
      <c r="MN90" s="36"/>
      <c r="MO90" s="36"/>
      <c r="MP90" s="36"/>
      <c r="MQ90" s="36"/>
      <c r="MR90" s="36"/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36"/>
      <c r="PM90" s="36"/>
      <c r="PN90" s="36"/>
      <c r="PO90" s="36"/>
      <c r="PP90" s="36"/>
      <c r="PQ90" s="36"/>
      <c r="PR90" s="36"/>
      <c r="PS90" s="36"/>
      <c r="PT90" s="36"/>
      <c r="PU90" s="36"/>
      <c r="PV90" s="36"/>
      <c r="PW90" s="36"/>
      <c r="PX90" s="36"/>
      <c r="PY90" s="36"/>
      <c r="PZ90" s="36"/>
      <c r="QA90" s="36"/>
      <c r="QB90" s="36"/>
      <c r="QC90" s="36"/>
      <c r="QD90" s="36"/>
      <c r="QE90" s="36"/>
      <c r="QF90" s="36"/>
      <c r="QG90" s="36"/>
      <c r="QH90" s="36"/>
      <c r="QI90" s="36"/>
      <c r="QJ90" s="36"/>
      <c r="QK90" s="36"/>
      <c r="QL90" s="36"/>
      <c r="QM90" s="36"/>
      <c r="QN90" s="36"/>
      <c r="QO90" s="36"/>
      <c r="QP90" s="36"/>
      <c r="QQ90" s="36"/>
      <c r="QR90" s="36"/>
      <c r="QS90" s="36"/>
      <c r="QT90" s="36"/>
      <c r="QU90" s="36"/>
      <c r="QV90" s="36"/>
      <c r="QW90" s="36"/>
      <c r="QX90" s="36"/>
      <c r="QY90" s="36"/>
      <c r="QZ90" s="36"/>
      <c r="RA90" s="36"/>
      <c r="RB90" s="36"/>
      <c r="RC90" s="36"/>
      <c r="RD90" s="36"/>
      <c r="RE90" s="36"/>
      <c r="RF90" s="36"/>
      <c r="RG90" s="36"/>
      <c r="RH90" s="36"/>
      <c r="RI90" s="36"/>
      <c r="RJ90" s="36"/>
      <c r="RK90" s="36"/>
      <c r="RL90" s="36"/>
      <c r="RM90" s="36"/>
      <c r="RN90" s="36"/>
      <c r="RO90" s="36"/>
      <c r="RP90" s="36"/>
      <c r="RQ90" s="36"/>
      <c r="RR90" s="36"/>
      <c r="RS90" s="36"/>
      <c r="RT90" s="36"/>
      <c r="RU90" s="36"/>
      <c r="RV90" s="36"/>
      <c r="RW90" s="36"/>
      <c r="RX90" s="36"/>
      <c r="RY90" s="36"/>
      <c r="RZ90" s="36"/>
      <c r="SA90" s="36"/>
      <c r="SB90" s="36"/>
      <c r="SC90" s="36"/>
      <c r="SD90" s="36"/>
      <c r="SE90" s="36"/>
      <c r="SF90" s="36"/>
      <c r="SG90" s="36"/>
      <c r="SH90" s="36"/>
      <c r="SI90" s="36"/>
      <c r="SJ90" s="36"/>
      <c r="SK90" s="36"/>
      <c r="SL90" s="36"/>
      <c r="SM90" s="36"/>
      <c r="SN90" s="36"/>
      <c r="SO90" s="36"/>
      <c r="SP90" s="36"/>
      <c r="SQ90" s="36"/>
      <c r="SR90" s="36"/>
      <c r="SS90" s="36"/>
      <c r="ST90" s="36"/>
      <c r="SU90" s="36"/>
      <c r="SV90" s="36"/>
      <c r="SW90" s="36"/>
      <c r="SX90" s="36"/>
      <c r="SY90" s="36"/>
      <c r="SZ90" s="36"/>
      <c r="TA90" s="36"/>
      <c r="TB90" s="36"/>
      <c r="TC90" s="36"/>
      <c r="TD90" s="36"/>
      <c r="TE90" s="36"/>
      <c r="TF90" s="36"/>
      <c r="TG90" s="36"/>
      <c r="TH90" s="36"/>
      <c r="TI90" s="36"/>
    </row>
    <row r="91" spans="1:529" s="27" customFormat="1" ht="45" x14ac:dyDescent="0.25">
      <c r="A91" s="43" t="s">
        <v>514</v>
      </c>
      <c r="B91" s="44">
        <v>1180</v>
      </c>
      <c r="C91" s="43" t="s">
        <v>64</v>
      </c>
      <c r="D91" s="162" t="s">
        <v>513</v>
      </c>
      <c r="E91" s="66">
        <f t="shared" si="26"/>
        <v>0</v>
      </c>
      <c r="F91" s="139"/>
      <c r="G91" s="139"/>
      <c r="H91" s="139"/>
      <c r="I91" s="139"/>
      <c r="J91" s="66">
        <f t="shared" si="28"/>
        <v>2080303</v>
      </c>
      <c r="K91" s="66">
        <f>1180956+899347</f>
        <v>2080303</v>
      </c>
      <c r="L91" s="66"/>
      <c r="M91" s="66"/>
      <c r="N91" s="66"/>
      <c r="O91" s="66">
        <f>1180956+899347</f>
        <v>2080303</v>
      </c>
      <c r="P91" s="66">
        <f t="shared" si="27"/>
        <v>2080303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</row>
    <row r="92" spans="1:529" s="27" customFormat="1" ht="47.25" customHeight="1" x14ac:dyDescent="0.25">
      <c r="A92" s="140"/>
      <c r="B92" s="141"/>
      <c r="C92" s="43"/>
      <c r="D92" s="164" t="s">
        <v>522</v>
      </c>
      <c r="E92" s="139">
        <f t="shared" si="26"/>
        <v>0</v>
      </c>
      <c r="F92" s="139"/>
      <c r="G92" s="139"/>
      <c r="H92" s="139"/>
      <c r="I92" s="139"/>
      <c r="J92" s="139">
        <f t="shared" si="28"/>
        <v>1180956</v>
      </c>
      <c r="K92" s="139">
        <v>1180956</v>
      </c>
      <c r="L92" s="139"/>
      <c r="M92" s="139"/>
      <c r="N92" s="139"/>
      <c r="O92" s="139">
        <v>1180956</v>
      </c>
      <c r="P92" s="139">
        <f t="shared" si="27"/>
        <v>1180956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</row>
    <row r="93" spans="1:529" s="23" customFormat="1" ht="64.5" customHeight="1" x14ac:dyDescent="0.25">
      <c r="A93" s="43" t="s">
        <v>182</v>
      </c>
      <c r="B93" s="44" t="str">
        <f>'дод 4'!A95</f>
        <v>3140</v>
      </c>
      <c r="C93" s="44" t="str">
        <f>'дод 4'!B95</f>
        <v>1040</v>
      </c>
      <c r="D93" s="24" t="str">
        <f>'дод 4'!C95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3" s="66">
        <f t="shared" si="26"/>
        <v>349500</v>
      </c>
      <c r="F93" s="66">
        <f>7000000-4886500-899347-220962-239000-404691</f>
        <v>349500</v>
      </c>
      <c r="G93" s="66"/>
      <c r="H93" s="66"/>
      <c r="I93" s="66"/>
      <c r="J93" s="66">
        <f t="shared" si="28"/>
        <v>0</v>
      </c>
      <c r="K93" s="66"/>
      <c r="L93" s="66"/>
      <c r="M93" s="66"/>
      <c r="N93" s="66"/>
      <c r="O93" s="66"/>
      <c r="P93" s="66">
        <f t="shared" si="27"/>
        <v>349500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31.5" customHeight="1" x14ac:dyDescent="0.25">
      <c r="A94" s="43" t="s">
        <v>349</v>
      </c>
      <c r="B94" s="44" t="str">
        <f>'дод 4'!A111</f>
        <v>3242</v>
      </c>
      <c r="C94" s="44" t="str">
        <f>'дод 4'!B111</f>
        <v>1090</v>
      </c>
      <c r="D94" s="24" t="s">
        <v>495</v>
      </c>
      <c r="E94" s="66">
        <f t="shared" si="26"/>
        <v>52490</v>
      </c>
      <c r="F94" s="66">
        <v>52490</v>
      </c>
      <c r="G94" s="66"/>
      <c r="H94" s="66"/>
      <c r="I94" s="66"/>
      <c r="J94" s="66">
        <f t="shared" si="28"/>
        <v>0</v>
      </c>
      <c r="K94" s="66"/>
      <c r="L94" s="66"/>
      <c r="M94" s="66"/>
      <c r="N94" s="66"/>
      <c r="O94" s="66"/>
      <c r="P94" s="66">
        <f t="shared" si="27"/>
        <v>52490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33" customHeight="1" x14ac:dyDescent="0.25">
      <c r="A95" s="43" t="s">
        <v>183</v>
      </c>
      <c r="B95" s="44" t="str">
        <f>'дод 4'!A121</f>
        <v>5031</v>
      </c>
      <c r="C95" s="44" t="str">
        <f>'дод 4'!B121</f>
        <v>0810</v>
      </c>
      <c r="D95" s="24" t="str">
        <f>'дод 4'!C121</f>
        <v>Утримання та навчально-тренувальна робота комунальних дитячо-юнацьких спортивних шкіл</v>
      </c>
      <c r="E95" s="66">
        <f t="shared" si="26"/>
        <v>6749500</v>
      </c>
      <c r="F95" s="66">
        <f>6725500+60000+2000+10000-40000-25000+7000+10000</f>
        <v>6749500</v>
      </c>
      <c r="G95" s="66">
        <f>5086600-20000</f>
        <v>5066600</v>
      </c>
      <c r="H95" s="66">
        <f>240700-40000</f>
        <v>200700</v>
      </c>
      <c r="I95" s="66"/>
      <c r="J95" s="66">
        <f t="shared" si="28"/>
        <v>750000</v>
      </c>
      <c r="K95" s="66">
        <f>550000+200000</f>
        <v>750000</v>
      </c>
      <c r="L95" s="66"/>
      <c r="M95" s="66"/>
      <c r="N95" s="66"/>
      <c r="O95" s="66">
        <f>550000+200000</f>
        <v>750000</v>
      </c>
      <c r="P95" s="66">
        <f t="shared" si="27"/>
        <v>7499500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3" customFormat="1" ht="25.5" customHeight="1" x14ac:dyDescent="0.25">
      <c r="A96" s="43" t="s">
        <v>437</v>
      </c>
      <c r="B96" s="44">
        <v>7321</v>
      </c>
      <c r="C96" s="44" t="str">
        <f>'дод 4'!B144</f>
        <v>0443</v>
      </c>
      <c r="D96" s="24" t="str">
        <f>'дод 4'!C144</f>
        <v>Будівництво освітніх установ та закладів</v>
      </c>
      <c r="E96" s="66">
        <f t="shared" si="26"/>
        <v>0</v>
      </c>
      <c r="F96" s="66"/>
      <c r="G96" s="66"/>
      <c r="H96" s="66"/>
      <c r="I96" s="66"/>
      <c r="J96" s="66">
        <f t="shared" si="28"/>
        <v>23632891.5</v>
      </c>
      <c r="K96" s="66">
        <f>50000+23865697+79000+300000+49950-30000+220962+50000-915000-100000-200000+47000-700000+26930+766721-49950-78418.5+250000</f>
        <v>23632891.5</v>
      </c>
      <c r="L96" s="66"/>
      <c r="M96" s="66"/>
      <c r="N96" s="66"/>
      <c r="O96" s="66">
        <f>50000+23865697+79000+300000+49950-30000+220962+50000-915000-100000-200000+47000-700000+26930+766721-49950-78418.5+250000</f>
        <v>23632891.5</v>
      </c>
      <c r="P96" s="66">
        <f t="shared" si="27"/>
        <v>23632891.5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</row>
    <row r="97" spans="1:529" s="23" customFormat="1" ht="48" customHeight="1" x14ac:dyDescent="0.25">
      <c r="A97" s="43" t="s">
        <v>409</v>
      </c>
      <c r="B97" s="44">
        <v>7363</v>
      </c>
      <c r="C97" s="99" t="s">
        <v>89</v>
      </c>
      <c r="D97" s="24" t="s">
        <v>461</v>
      </c>
      <c r="E97" s="66">
        <f t="shared" si="26"/>
        <v>0</v>
      </c>
      <c r="F97" s="66"/>
      <c r="G97" s="66"/>
      <c r="H97" s="66"/>
      <c r="I97" s="66"/>
      <c r="J97" s="66">
        <f t="shared" si="28"/>
        <v>11766760.91</v>
      </c>
      <c r="K97" s="66">
        <f>7502.36+250078.55+10246418+23318+24444+1215000</f>
        <v>11766760.91</v>
      </c>
      <c r="L97" s="66"/>
      <c r="M97" s="66"/>
      <c r="N97" s="66"/>
      <c r="O97" s="66">
        <f>7502.36+250078.55+10246418+23318+24444+1215000</f>
        <v>11766760.91</v>
      </c>
      <c r="P97" s="66">
        <f t="shared" si="27"/>
        <v>11766760.91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</row>
    <row r="98" spans="1:529" s="27" customFormat="1" ht="45" x14ac:dyDescent="0.25">
      <c r="A98" s="140"/>
      <c r="B98" s="141"/>
      <c r="C98" s="141"/>
      <c r="D98" s="138" t="s">
        <v>450</v>
      </c>
      <c r="E98" s="139">
        <f t="shared" si="26"/>
        <v>0</v>
      </c>
      <c r="F98" s="139"/>
      <c r="G98" s="139"/>
      <c r="H98" s="139"/>
      <c r="I98" s="139"/>
      <c r="J98" s="139">
        <f t="shared" si="28"/>
        <v>10496496.550000001</v>
      </c>
      <c r="K98" s="139">
        <f>250078.55+10246418</f>
        <v>10496496.550000001</v>
      </c>
      <c r="L98" s="139"/>
      <c r="M98" s="139"/>
      <c r="N98" s="139"/>
      <c r="O98" s="139">
        <f>250078.55+10246418</f>
        <v>10496496.550000001</v>
      </c>
      <c r="P98" s="139">
        <f t="shared" si="27"/>
        <v>10496496.550000001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  <c r="JD98" s="36"/>
      <c r="JE98" s="36"/>
      <c r="JF98" s="36"/>
      <c r="JG98" s="36"/>
      <c r="JH98" s="36"/>
      <c r="JI98" s="36"/>
      <c r="JJ98" s="36"/>
      <c r="JK98" s="36"/>
      <c r="JL98" s="36"/>
      <c r="JM98" s="36"/>
      <c r="JN98" s="36"/>
      <c r="JO98" s="36"/>
      <c r="JP98" s="36"/>
      <c r="JQ98" s="36"/>
      <c r="JR98" s="36"/>
      <c r="JS98" s="36"/>
      <c r="JT98" s="36"/>
      <c r="JU98" s="36"/>
      <c r="JV98" s="36"/>
      <c r="JW98" s="36"/>
      <c r="JX98" s="36"/>
      <c r="JY98" s="36"/>
      <c r="JZ98" s="36"/>
      <c r="KA98" s="36"/>
      <c r="KB98" s="36"/>
      <c r="KC98" s="36"/>
      <c r="KD98" s="36"/>
      <c r="KE98" s="36"/>
      <c r="KF98" s="36"/>
      <c r="KG98" s="36"/>
      <c r="KH98" s="36"/>
      <c r="KI98" s="36"/>
      <c r="KJ98" s="36"/>
      <c r="KK98" s="36"/>
      <c r="KL98" s="36"/>
      <c r="KM98" s="36"/>
      <c r="KN98" s="36"/>
      <c r="KO98" s="36"/>
      <c r="KP98" s="36"/>
      <c r="KQ98" s="36"/>
      <c r="KR98" s="36"/>
      <c r="KS98" s="36"/>
      <c r="KT98" s="36"/>
      <c r="KU98" s="36"/>
      <c r="KV98" s="36"/>
      <c r="KW98" s="36"/>
      <c r="KX98" s="36"/>
      <c r="KY98" s="36"/>
      <c r="KZ98" s="36"/>
      <c r="LA98" s="36"/>
      <c r="LB98" s="36"/>
      <c r="LC98" s="36"/>
      <c r="LD98" s="36"/>
      <c r="LE98" s="36"/>
      <c r="LF98" s="36"/>
      <c r="LG98" s="36"/>
      <c r="LH98" s="36"/>
      <c r="LI98" s="36"/>
      <c r="LJ98" s="36"/>
      <c r="LK98" s="36"/>
      <c r="LL98" s="36"/>
      <c r="LM98" s="36"/>
      <c r="LN98" s="36"/>
      <c r="LO98" s="36"/>
      <c r="LP98" s="36"/>
      <c r="LQ98" s="36"/>
      <c r="LR98" s="36"/>
      <c r="LS98" s="36"/>
      <c r="LT98" s="36"/>
      <c r="LU98" s="36"/>
      <c r="LV98" s="36"/>
      <c r="LW98" s="36"/>
      <c r="LX98" s="36"/>
      <c r="LY98" s="36"/>
      <c r="LZ98" s="36"/>
      <c r="MA98" s="36"/>
      <c r="MB98" s="36"/>
      <c r="MC98" s="36"/>
      <c r="MD98" s="36"/>
      <c r="ME98" s="36"/>
      <c r="MF98" s="36"/>
      <c r="MG98" s="36"/>
      <c r="MH98" s="36"/>
      <c r="MI98" s="36"/>
      <c r="MJ98" s="36"/>
      <c r="MK98" s="36"/>
      <c r="ML98" s="36"/>
      <c r="MM98" s="36"/>
      <c r="MN98" s="36"/>
      <c r="MO98" s="36"/>
      <c r="MP98" s="36"/>
      <c r="MQ98" s="36"/>
      <c r="MR98" s="36"/>
      <c r="MS98" s="36"/>
      <c r="MT98" s="36"/>
      <c r="MU98" s="36"/>
      <c r="MV98" s="36"/>
      <c r="MW98" s="36"/>
      <c r="MX98" s="36"/>
      <c r="MY98" s="36"/>
      <c r="MZ98" s="36"/>
      <c r="NA98" s="36"/>
      <c r="NB98" s="36"/>
      <c r="NC98" s="36"/>
      <c r="ND98" s="36"/>
      <c r="NE98" s="36"/>
      <c r="NF98" s="36"/>
      <c r="NG98" s="36"/>
      <c r="NH98" s="36"/>
      <c r="NI98" s="36"/>
      <c r="NJ98" s="36"/>
      <c r="NK98" s="36"/>
      <c r="NL98" s="36"/>
      <c r="NM98" s="36"/>
      <c r="NN98" s="36"/>
      <c r="NO98" s="36"/>
      <c r="NP98" s="36"/>
      <c r="NQ98" s="36"/>
      <c r="NR98" s="36"/>
      <c r="NS98" s="36"/>
      <c r="NT98" s="36"/>
      <c r="NU98" s="36"/>
      <c r="NV98" s="36"/>
      <c r="NW98" s="36"/>
      <c r="NX98" s="36"/>
      <c r="NY98" s="36"/>
      <c r="NZ98" s="36"/>
      <c r="OA98" s="36"/>
      <c r="OB98" s="36"/>
      <c r="OC98" s="36"/>
      <c r="OD98" s="36"/>
      <c r="OE98" s="36"/>
      <c r="OF98" s="36"/>
      <c r="OG98" s="36"/>
      <c r="OH98" s="36"/>
      <c r="OI98" s="36"/>
      <c r="OJ98" s="36"/>
      <c r="OK98" s="36"/>
      <c r="OL98" s="36"/>
      <c r="OM98" s="36"/>
      <c r="ON98" s="36"/>
      <c r="OO98" s="36"/>
      <c r="OP98" s="36"/>
      <c r="OQ98" s="36"/>
      <c r="OR98" s="36"/>
      <c r="OS98" s="36"/>
      <c r="OT98" s="36"/>
      <c r="OU98" s="36"/>
      <c r="OV98" s="36"/>
      <c r="OW98" s="36"/>
      <c r="OX98" s="36"/>
      <c r="OY98" s="36"/>
      <c r="OZ98" s="36"/>
      <c r="PA98" s="36"/>
      <c r="PB98" s="36"/>
      <c r="PC98" s="36"/>
      <c r="PD98" s="36"/>
      <c r="PE98" s="36"/>
      <c r="PF98" s="36"/>
      <c r="PG98" s="36"/>
      <c r="PH98" s="36"/>
      <c r="PI98" s="36"/>
      <c r="PJ98" s="36"/>
      <c r="PK98" s="36"/>
      <c r="PL98" s="36"/>
      <c r="PM98" s="36"/>
      <c r="PN98" s="36"/>
      <c r="PO98" s="36"/>
      <c r="PP98" s="36"/>
      <c r="PQ98" s="36"/>
      <c r="PR98" s="36"/>
      <c r="PS98" s="36"/>
      <c r="PT98" s="36"/>
      <c r="PU98" s="36"/>
      <c r="PV98" s="36"/>
      <c r="PW98" s="36"/>
      <c r="PX98" s="36"/>
      <c r="PY98" s="36"/>
      <c r="PZ98" s="36"/>
      <c r="QA98" s="36"/>
      <c r="QB98" s="36"/>
      <c r="QC98" s="36"/>
      <c r="QD98" s="36"/>
      <c r="QE98" s="36"/>
      <c r="QF98" s="36"/>
      <c r="QG98" s="36"/>
      <c r="QH98" s="36"/>
      <c r="QI98" s="36"/>
      <c r="QJ98" s="36"/>
      <c r="QK98" s="36"/>
      <c r="QL98" s="36"/>
      <c r="QM98" s="36"/>
      <c r="QN98" s="36"/>
      <c r="QO98" s="36"/>
      <c r="QP98" s="36"/>
      <c r="QQ98" s="36"/>
      <c r="QR98" s="36"/>
      <c r="QS98" s="36"/>
      <c r="QT98" s="36"/>
      <c r="QU98" s="36"/>
      <c r="QV98" s="36"/>
      <c r="QW98" s="36"/>
      <c r="QX98" s="36"/>
      <c r="QY98" s="36"/>
      <c r="QZ98" s="36"/>
      <c r="RA98" s="36"/>
      <c r="RB98" s="36"/>
      <c r="RC98" s="36"/>
      <c r="RD98" s="36"/>
      <c r="RE98" s="36"/>
      <c r="RF98" s="36"/>
      <c r="RG98" s="36"/>
      <c r="RH98" s="36"/>
      <c r="RI98" s="36"/>
      <c r="RJ98" s="36"/>
      <c r="RK98" s="36"/>
      <c r="RL98" s="36"/>
      <c r="RM98" s="36"/>
      <c r="RN98" s="36"/>
      <c r="RO98" s="36"/>
      <c r="RP98" s="36"/>
      <c r="RQ98" s="36"/>
      <c r="RR98" s="36"/>
      <c r="RS98" s="36"/>
      <c r="RT98" s="36"/>
      <c r="RU98" s="36"/>
      <c r="RV98" s="36"/>
      <c r="RW98" s="36"/>
      <c r="RX98" s="36"/>
      <c r="RY98" s="36"/>
      <c r="RZ98" s="36"/>
      <c r="SA98" s="36"/>
      <c r="SB98" s="36"/>
      <c r="SC98" s="36"/>
      <c r="SD98" s="36"/>
      <c r="SE98" s="36"/>
      <c r="SF98" s="36"/>
      <c r="SG98" s="36"/>
      <c r="SH98" s="36"/>
      <c r="SI98" s="36"/>
      <c r="SJ98" s="36"/>
      <c r="SK98" s="36"/>
      <c r="SL98" s="36"/>
      <c r="SM98" s="36"/>
      <c r="SN98" s="36"/>
      <c r="SO98" s="36"/>
      <c r="SP98" s="36"/>
      <c r="SQ98" s="36"/>
      <c r="SR98" s="36"/>
      <c r="SS98" s="36"/>
      <c r="ST98" s="36"/>
      <c r="SU98" s="36"/>
      <c r="SV98" s="36"/>
      <c r="SW98" s="36"/>
      <c r="SX98" s="36"/>
      <c r="SY98" s="36"/>
      <c r="SZ98" s="36"/>
      <c r="TA98" s="36"/>
      <c r="TB98" s="36"/>
      <c r="TC98" s="36"/>
      <c r="TD98" s="36"/>
      <c r="TE98" s="36"/>
      <c r="TF98" s="36"/>
      <c r="TG98" s="36"/>
      <c r="TH98" s="36"/>
      <c r="TI98" s="36"/>
    </row>
    <row r="99" spans="1:529" s="23" customFormat="1" ht="25.5" customHeight="1" x14ac:dyDescent="0.25">
      <c r="A99" s="43" t="s">
        <v>184</v>
      </c>
      <c r="B99" s="44" t="str">
        <f>'дод 4'!A167</f>
        <v>7640</v>
      </c>
      <c r="C99" s="44" t="str">
        <f>'дод 4'!B167</f>
        <v>0470</v>
      </c>
      <c r="D99" s="24" t="s">
        <v>511</v>
      </c>
      <c r="E99" s="66">
        <f t="shared" si="26"/>
        <v>507300.8</v>
      </c>
      <c r="F99" s="66">
        <f>578800-71499.2</f>
        <v>507300.8</v>
      </c>
      <c r="G99" s="66"/>
      <c r="H99" s="66"/>
      <c r="I99" s="66"/>
      <c r="J99" s="66">
        <f t="shared" si="28"/>
        <v>3174749.2</v>
      </c>
      <c r="K99" s="66">
        <f>2993200+71499.2+160000-49950</f>
        <v>3174749.2</v>
      </c>
      <c r="L99" s="66"/>
      <c r="M99" s="66"/>
      <c r="N99" s="66"/>
      <c r="O99" s="66">
        <f>2993200+71499.2+160000-49950</f>
        <v>3174749.2</v>
      </c>
      <c r="P99" s="66">
        <f t="shared" si="27"/>
        <v>3682050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</row>
    <row r="100" spans="1:529" s="23" customFormat="1" ht="20.25" customHeight="1" x14ac:dyDescent="0.25">
      <c r="A100" s="43" t="s">
        <v>185</v>
      </c>
      <c r="B100" s="44" t="str">
        <f>'дод 4'!A188</f>
        <v>8340</v>
      </c>
      <c r="C100" s="44" t="str">
        <f>'дод 4'!B188</f>
        <v>0540</v>
      </c>
      <c r="D100" s="24" t="str">
        <f>'дод 4'!C188</f>
        <v>Природоохоронні заходи за рахунок цільових фондів</v>
      </c>
      <c r="E100" s="66">
        <f t="shared" si="26"/>
        <v>0</v>
      </c>
      <c r="F100" s="66"/>
      <c r="G100" s="66"/>
      <c r="H100" s="66"/>
      <c r="I100" s="66"/>
      <c r="J100" s="66">
        <f t="shared" si="28"/>
        <v>400000</v>
      </c>
      <c r="K100" s="66"/>
      <c r="L100" s="66">
        <f>306000+10000</f>
        <v>316000</v>
      </c>
      <c r="M100" s="66"/>
      <c r="N100" s="66"/>
      <c r="O100" s="66">
        <v>84000</v>
      </c>
      <c r="P100" s="66">
        <f t="shared" si="27"/>
        <v>400000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</row>
    <row r="101" spans="1:529" s="23" customFormat="1" ht="46.5" customHeight="1" x14ac:dyDescent="0.25">
      <c r="A101" s="43" t="s">
        <v>503</v>
      </c>
      <c r="B101" s="44">
        <v>9310</v>
      </c>
      <c r="C101" s="43" t="s">
        <v>49</v>
      </c>
      <c r="D101" s="24" t="s">
        <v>509</v>
      </c>
      <c r="E101" s="66">
        <f t="shared" ref="E101" si="34">F101+I101</f>
        <v>10138184</v>
      </c>
      <c r="F101" s="66">
        <f>9791954+346230</f>
        <v>10138184</v>
      </c>
      <c r="G101" s="66"/>
      <c r="H101" s="66"/>
      <c r="I101" s="66"/>
      <c r="J101" s="66">
        <f t="shared" ref="J101" si="35">L101+O101</f>
        <v>0</v>
      </c>
      <c r="K101" s="66"/>
      <c r="L101" s="66"/>
      <c r="M101" s="66"/>
      <c r="N101" s="66"/>
      <c r="O101" s="66"/>
      <c r="P101" s="66">
        <f t="shared" si="27"/>
        <v>10138184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</row>
    <row r="102" spans="1:529" s="27" customFormat="1" ht="30" customHeight="1" x14ac:dyDescent="0.25">
      <c r="A102" s="140"/>
      <c r="B102" s="141"/>
      <c r="C102" s="141"/>
      <c r="D102" s="138" t="s">
        <v>451</v>
      </c>
      <c r="E102" s="139">
        <f t="shared" ref="E102" si="36">F102+I102</f>
        <v>10138184</v>
      </c>
      <c r="F102" s="139">
        <f>9791954+346230</f>
        <v>10138184</v>
      </c>
      <c r="G102" s="139"/>
      <c r="H102" s="139"/>
      <c r="I102" s="139"/>
      <c r="J102" s="139">
        <f t="shared" ref="J102" si="37">L102+O102</f>
        <v>0</v>
      </c>
      <c r="K102" s="139"/>
      <c r="L102" s="139"/>
      <c r="M102" s="139"/>
      <c r="N102" s="139"/>
      <c r="O102" s="139"/>
      <c r="P102" s="139">
        <f t="shared" ref="P102" si="38">E102+J102</f>
        <v>10138184</v>
      </c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36"/>
      <c r="PM102" s="36"/>
      <c r="PN102" s="36"/>
      <c r="PO102" s="36"/>
      <c r="PP102" s="36"/>
      <c r="PQ102" s="36"/>
      <c r="PR102" s="36"/>
      <c r="PS102" s="36"/>
      <c r="PT102" s="36"/>
      <c r="PU102" s="36"/>
      <c r="PV102" s="36"/>
      <c r="PW102" s="36"/>
      <c r="PX102" s="36"/>
      <c r="PY102" s="36"/>
      <c r="PZ102" s="36"/>
      <c r="QA102" s="36"/>
      <c r="QB102" s="36"/>
      <c r="QC102" s="36"/>
      <c r="QD102" s="36"/>
      <c r="QE102" s="36"/>
      <c r="QF102" s="36"/>
      <c r="QG102" s="36"/>
      <c r="QH102" s="36"/>
      <c r="QI102" s="36"/>
      <c r="QJ102" s="36"/>
      <c r="QK102" s="36"/>
      <c r="QL102" s="36"/>
      <c r="QM102" s="36"/>
      <c r="QN102" s="36"/>
      <c r="QO102" s="36"/>
      <c r="QP102" s="36"/>
      <c r="QQ102" s="36"/>
      <c r="QR102" s="36"/>
      <c r="QS102" s="36"/>
      <c r="QT102" s="36"/>
      <c r="QU102" s="36"/>
      <c r="QV102" s="36"/>
      <c r="QW102" s="36"/>
      <c r="QX102" s="36"/>
      <c r="QY102" s="36"/>
      <c r="QZ102" s="36"/>
      <c r="RA102" s="36"/>
      <c r="RB102" s="36"/>
      <c r="RC102" s="36"/>
      <c r="RD102" s="36"/>
      <c r="RE102" s="36"/>
      <c r="RF102" s="36"/>
      <c r="RG102" s="36"/>
      <c r="RH102" s="36"/>
      <c r="RI102" s="36"/>
      <c r="RJ102" s="36"/>
      <c r="RK102" s="36"/>
      <c r="RL102" s="36"/>
      <c r="RM102" s="36"/>
      <c r="RN102" s="36"/>
      <c r="RO102" s="36"/>
      <c r="RP102" s="36"/>
      <c r="RQ102" s="36"/>
      <c r="RR102" s="36"/>
      <c r="RS102" s="36"/>
      <c r="RT102" s="36"/>
      <c r="RU102" s="36"/>
      <c r="RV102" s="36"/>
      <c r="RW102" s="36"/>
      <c r="RX102" s="36"/>
      <c r="RY102" s="36"/>
      <c r="RZ102" s="36"/>
      <c r="SA102" s="36"/>
      <c r="SB102" s="36"/>
      <c r="SC102" s="36"/>
      <c r="SD102" s="36"/>
      <c r="SE102" s="36"/>
      <c r="SF102" s="36"/>
      <c r="SG102" s="36"/>
      <c r="SH102" s="36"/>
      <c r="SI102" s="36"/>
      <c r="SJ102" s="36"/>
      <c r="SK102" s="36"/>
      <c r="SL102" s="36"/>
      <c r="SM102" s="36"/>
      <c r="SN102" s="36"/>
      <c r="SO102" s="36"/>
      <c r="SP102" s="36"/>
      <c r="SQ102" s="36"/>
      <c r="SR102" s="36"/>
      <c r="SS102" s="36"/>
      <c r="ST102" s="36"/>
      <c r="SU102" s="36"/>
      <c r="SV102" s="36"/>
      <c r="SW102" s="36"/>
      <c r="SX102" s="36"/>
      <c r="SY102" s="36"/>
      <c r="SZ102" s="36"/>
      <c r="TA102" s="36"/>
      <c r="TB102" s="36"/>
      <c r="TC102" s="36"/>
      <c r="TD102" s="36"/>
      <c r="TE102" s="36"/>
      <c r="TF102" s="36"/>
      <c r="TG102" s="36"/>
      <c r="TH102" s="36"/>
      <c r="TI102" s="36"/>
    </row>
    <row r="103" spans="1:529" s="23" customFormat="1" ht="27" customHeight="1" x14ac:dyDescent="0.25">
      <c r="A103" s="43" t="s">
        <v>502</v>
      </c>
      <c r="B103" s="44">
        <v>9770</v>
      </c>
      <c r="C103" s="43" t="s">
        <v>49</v>
      </c>
      <c r="D103" s="24" t="s">
        <v>391</v>
      </c>
      <c r="E103" s="66">
        <f t="shared" si="26"/>
        <v>16074000</v>
      </c>
      <c r="F103" s="66">
        <f>16024000+50000</f>
        <v>16074000</v>
      </c>
      <c r="G103" s="66"/>
      <c r="H103" s="66"/>
      <c r="I103" s="66"/>
      <c r="J103" s="66">
        <f t="shared" si="28"/>
        <v>332241</v>
      </c>
      <c r="K103" s="66">
        <v>332241</v>
      </c>
      <c r="L103" s="66"/>
      <c r="M103" s="66"/>
      <c r="N103" s="66"/>
      <c r="O103" s="66">
        <v>332241</v>
      </c>
      <c r="P103" s="66">
        <f t="shared" si="27"/>
        <v>16406241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</row>
    <row r="104" spans="1:529" s="23" customFormat="1" ht="46.5" customHeight="1" x14ac:dyDescent="0.25">
      <c r="A104" s="43" t="s">
        <v>410</v>
      </c>
      <c r="B104" s="44">
        <v>9800</v>
      </c>
      <c r="C104" s="45" t="s">
        <v>49</v>
      </c>
      <c r="D104" s="100" t="s">
        <v>411</v>
      </c>
      <c r="E104" s="66">
        <f t="shared" si="26"/>
        <v>84885</v>
      </c>
      <c r="F104" s="66">
        <v>84885</v>
      </c>
      <c r="G104" s="66"/>
      <c r="H104" s="66"/>
      <c r="I104" s="66"/>
      <c r="J104" s="66">
        <f t="shared" si="28"/>
        <v>0</v>
      </c>
      <c r="K104" s="66"/>
      <c r="L104" s="66"/>
      <c r="M104" s="66"/>
      <c r="N104" s="66"/>
      <c r="O104" s="66"/>
      <c r="P104" s="66">
        <f t="shared" si="27"/>
        <v>84885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</row>
    <row r="105" spans="1:529" s="31" customFormat="1" ht="21" customHeight="1" x14ac:dyDescent="0.2">
      <c r="A105" s="174" t="s">
        <v>186</v>
      </c>
      <c r="B105" s="71"/>
      <c r="C105" s="71"/>
      <c r="D105" s="30" t="s">
        <v>30</v>
      </c>
      <c r="E105" s="63">
        <f>E106</f>
        <v>184852795.61000001</v>
      </c>
      <c r="F105" s="63">
        <f t="shared" ref="F105:P105" si="39">F106</f>
        <v>184852795.61000001</v>
      </c>
      <c r="G105" s="63">
        <f t="shared" si="39"/>
        <v>1637700</v>
      </c>
      <c r="H105" s="63">
        <f t="shared" si="39"/>
        <v>35400</v>
      </c>
      <c r="I105" s="63">
        <f t="shared" si="39"/>
        <v>0</v>
      </c>
      <c r="J105" s="63">
        <f t="shared" si="39"/>
        <v>118757103</v>
      </c>
      <c r="K105" s="63">
        <f t="shared" si="39"/>
        <v>117872103</v>
      </c>
      <c r="L105" s="63">
        <f t="shared" si="39"/>
        <v>0</v>
      </c>
      <c r="M105" s="63">
        <f t="shared" si="39"/>
        <v>0</v>
      </c>
      <c r="N105" s="63">
        <f t="shared" si="39"/>
        <v>0</v>
      </c>
      <c r="O105" s="63">
        <f t="shared" si="39"/>
        <v>118757103</v>
      </c>
      <c r="P105" s="63">
        <f t="shared" si="39"/>
        <v>303609898.61000001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</row>
    <row r="106" spans="1:529" s="40" customFormat="1" ht="30.75" customHeight="1" x14ac:dyDescent="0.25">
      <c r="A106" s="73" t="s">
        <v>187</v>
      </c>
      <c r="B106" s="72"/>
      <c r="C106" s="72"/>
      <c r="D106" s="33" t="s">
        <v>460</v>
      </c>
      <c r="E106" s="65">
        <f>E113+E114+E118+E120+E122+E124+E127+E128+E129+E130+E131+E133+E135+E136</f>
        <v>184852795.61000001</v>
      </c>
      <c r="F106" s="65">
        <f t="shared" ref="F106:P106" si="40">F113+F114+F118+F120+F122+F124+F127+F128+F129+F130+F131+F133+F135+F136</f>
        <v>184852795.61000001</v>
      </c>
      <c r="G106" s="65">
        <f t="shared" si="40"/>
        <v>1637700</v>
      </c>
      <c r="H106" s="65">
        <f t="shared" si="40"/>
        <v>35400</v>
      </c>
      <c r="I106" s="65">
        <f t="shared" si="40"/>
        <v>0</v>
      </c>
      <c r="J106" s="65">
        <f t="shared" si="40"/>
        <v>118757103</v>
      </c>
      <c r="K106" s="65">
        <f>K113+K114+K118+K120+K122+K124+K127+K128+K129+K130+K131+K133+K135+K136</f>
        <v>117872103</v>
      </c>
      <c r="L106" s="65">
        <f t="shared" si="40"/>
        <v>0</v>
      </c>
      <c r="M106" s="65">
        <f t="shared" si="40"/>
        <v>0</v>
      </c>
      <c r="N106" s="65">
        <f t="shared" si="40"/>
        <v>0</v>
      </c>
      <c r="O106" s="65">
        <f t="shared" si="40"/>
        <v>118757103</v>
      </c>
      <c r="P106" s="65">
        <f t="shared" si="40"/>
        <v>303609898.61000001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</row>
    <row r="107" spans="1:529" s="40" customFormat="1" ht="30" x14ac:dyDescent="0.25">
      <c r="A107" s="73"/>
      <c r="B107" s="72"/>
      <c r="C107" s="72"/>
      <c r="D107" s="33" t="s">
        <v>452</v>
      </c>
      <c r="E107" s="65">
        <f>E115+E119+E121</f>
        <v>52689700</v>
      </c>
      <c r="F107" s="65">
        <f t="shared" ref="F107:P107" si="41">F115+F119+F121</f>
        <v>52689700</v>
      </c>
      <c r="G107" s="65">
        <f t="shared" si="41"/>
        <v>0</v>
      </c>
      <c r="H107" s="65">
        <f t="shared" si="41"/>
        <v>0</v>
      </c>
      <c r="I107" s="65">
        <f t="shared" si="41"/>
        <v>0</v>
      </c>
      <c r="J107" s="65">
        <f t="shared" si="41"/>
        <v>0</v>
      </c>
      <c r="K107" s="65">
        <f t="shared" si="41"/>
        <v>0</v>
      </c>
      <c r="L107" s="65">
        <f t="shared" si="41"/>
        <v>0</v>
      </c>
      <c r="M107" s="65">
        <f t="shared" si="41"/>
        <v>0</v>
      </c>
      <c r="N107" s="65">
        <f t="shared" si="41"/>
        <v>0</v>
      </c>
      <c r="O107" s="65">
        <f t="shared" si="41"/>
        <v>0</v>
      </c>
      <c r="P107" s="65">
        <f t="shared" si="41"/>
        <v>52689700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</row>
    <row r="108" spans="1:529" s="40" customFormat="1" ht="45" x14ac:dyDescent="0.25">
      <c r="A108" s="73"/>
      <c r="B108" s="72"/>
      <c r="C108" s="72"/>
      <c r="D108" s="33" t="s">
        <v>450</v>
      </c>
      <c r="E108" s="65">
        <f>E132</f>
        <v>0</v>
      </c>
      <c r="F108" s="65">
        <f>F132</f>
        <v>0</v>
      </c>
      <c r="G108" s="65">
        <f t="shared" ref="G108:I108" si="42">G132</f>
        <v>0</v>
      </c>
      <c r="H108" s="65">
        <f t="shared" si="42"/>
        <v>0</v>
      </c>
      <c r="I108" s="65">
        <f t="shared" si="42"/>
        <v>0</v>
      </c>
      <c r="J108" s="65">
        <f>J132</f>
        <v>2376052</v>
      </c>
      <c r="K108" s="65">
        <f t="shared" ref="K108:P108" si="43">K132</f>
        <v>2376052</v>
      </c>
      <c r="L108" s="65">
        <f t="shared" si="43"/>
        <v>0</v>
      </c>
      <c r="M108" s="65">
        <f t="shared" si="43"/>
        <v>0</v>
      </c>
      <c r="N108" s="65">
        <f t="shared" si="43"/>
        <v>0</v>
      </c>
      <c r="O108" s="65">
        <f t="shared" si="43"/>
        <v>2376052</v>
      </c>
      <c r="P108" s="65">
        <f t="shared" si="43"/>
        <v>2376052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</row>
    <row r="109" spans="1:529" s="40" customFormat="1" ht="45" x14ac:dyDescent="0.25">
      <c r="A109" s="73"/>
      <c r="B109" s="72"/>
      <c r="C109" s="72"/>
      <c r="D109" s="33" t="s">
        <v>453</v>
      </c>
      <c r="E109" s="65">
        <f>E116+E125</f>
        <v>4468078.6099999994</v>
      </c>
      <c r="F109" s="65">
        <f t="shared" ref="F109:P109" si="44">F116+F125</f>
        <v>4468078.6099999994</v>
      </c>
      <c r="G109" s="65">
        <f t="shared" si="44"/>
        <v>0</v>
      </c>
      <c r="H109" s="65">
        <f t="shared" si="44"/>
        <v>0</v>
      </c>
      <c r="I109" s="65">
        <f t="shared" si="44"/>
        <v>0</v>
      </c>
      <c r="J109" s="65">
        <f t="shared" si="44"/>
        <v>0</v>
      </c>
      <c r="K109" s="65">
        <f t="shared" si="44"/>
        <v>0</v>
      </c>
      <c r="L109" s="65">
        <f t="shared" si="44"/>
        <v>0</v>
      </c>
      <c r="M109" s="65">
        <f t="shared" si="44"/>
        <v>0</v>
      </c>
      <c r="N109" s="65">
        <f t="shared" si="44"/>
        <v>0</v>
      </c>
      <c r="O109" s="65">
        <f t="shared" si="44"/>
        <v>0</v>
      </c>
      <c r="P109" s="65">
        <f t="shared" si="44"/>
        <v>4468078.6099999994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</row>
    <row r="110" spans="1:529" s="40" customFormat="1" ht="20.25" customHeight="1" x14ac:dyDescent="0.25">
      <c r="A110" s="73"/>
      <c r="B110" s="72"/>
      <c r="C110" s="72"/>
      <c r="D110" s="33" t="s">
        <v>455</v>
      </c>
      <c r="E110" s="65">
        <f>E117</f>
        <v>60000</v>
      </c>
      <c r="F110" s="65">
        <f t="shared" ref="F110:P110" si="45">F117</f>
        <v>60000</v>
      </c>
      <c r="G110" s="65">
        <f t="shared" si="45"/>
        <v>0</v>
      </c>
      <c r="H110" s="65">
        <f t="shared" si="45"/>
        <v>0</v>
      </c>
      <c r="I110" s="65">
        <f t="shared" si="45"/>
        <v>0</v>
      </c>
      <c r="J110" s="65">
        <f t="shared" si="45"/>
        <v>0</v>
      </c>
      <c r="K110" s="65">
        <f t="shared" si="45"/>
        <v>0</v>
      </c>
      <c r="L110" s="65">
        <f t="shared" si="45"/>
        <v>0</v>
      </c>
      <c r="M110" s="65">
        <f t="shared" si="45"/>
        <v>0</v>
      </c>
      <c r="N110" s="65">
        <f t="shared" si="45"/>
        <v>0</v>
      </c>
      <c r="O110" s="65">
        <f t="shared" si="45"/>
        <v>0</v>
      </c>
      <c r="P110" s="65">
        <f t="shared" si="45"/>
        <v>60000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</row>
    <row r="111" spans="1:529" s="40" customFormat="1" ht="52.5" customHeight="1" x14ac:dyDescent="0.25">
      <c r="A111" s="73"/>
      <c r="B111" s="72"/>
      <c r="C111" s="72"/>
      <c r="D111" s="33" t="s">
        <v>454</v>
      </c>
      <c r="E111" s="65">
        <f>E123+E126</f>
        <v>4345037</v>
      </c>
      <c r="F111" s="65">
        <f t="shared" ref="F111:P111" si="46">F123+F126</f>
        <v>4345037</v>
      </c>
      <c r="G111" s="65">
        <f t="shared" si="46"/>
        <v>0</v>
      </c>
      <c r="H111" s="65">
        <f t="shared" si="46"/>
        <v>0</v>
      </c>
      <c r="I111" s="65">
        <f t="shared" si="46"/>
        <v>0</v>
      </c>
      <c r="J111" s="65">
        <f t="shared" si="46"/>
        <v>0</v>
      </c>
      <c r="K111" s="65">
        <f t="shared" si="46"/>
        <v>0</v>
      </c>
      <c r="L111" s="65">
        <f t="shared" si="46"/>
        <v>0</v>
      </c>
      <c r="M111" s="65">
        <f t="shared" si="46"/>
        <v>0</v>
      </c>
      <c r="N111" s="65">
        <f t="shared" si="46"/>
        <v>0</v>
      </c>
      <c r="O111" s="65">
        <f t="shared" si="46"/>
        <v>0</v>
      </c>
      <c r="P111" s="65">
        <f t="shared" si="46"/>
        <v>4345037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</row>
    <row r="112" spans="1:529" s="40" customFormat="1" x14ac:dyDescent="0.25">
      <c r="A112" s="73"/>
      <c r="B112" s="72"/>
      <c r="C112" s="72"/>
      <c r="D112" s="142" t="s">
        <v>505</v>
      </c>
      <c r="E112" s="65">
        <f>E134</f>
        <v>0</v>
      </c>
      <c r="F112" s="65">
        <f t="shared" ref="F112:P112" si="47">F134</f>
        <v>0</v>
      </c>
      <c r="G112" s="65">
        <f t="shared" si="47"/>
        <v>0</v>
      </c>
      <c r="H112" s="65">
        <f t="shared" si="47"/>
        <v>0</v>
      </c>
      <c r="I112" s="65">
        <f t="shared" si="47"/>
        <v>0</v>
      </c>
      <c r="J112" s="65">
        <f t="shared" si="47"/>
        <v>14714700</v>
      </c>
      <c r="K112" s="65">
        <f t="shared" si="47"/>
        <v>14714700</v>
      </c>
      <c r="L112" s="65">
        <f t="shared" si="47"/>
        <v>0</v>
      </c>
      <c r="M112" s="65">
        <f t="shared" si="47"/>
        <v>0</v>
      </c>
      <c r="N112" s="65">
        <f t="shared" si="47"/>
        <v>0</v>
      </c>
      <c r="O112" s="65">
        <f t="shared" si="47"/>
        <v>14714700</v>
      </c>
      <c r="P112" s="65">
        <f t="shared" si="47"/>
        <v>14714700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</row>
    <row r="113" spans="1:529" s="23" customFormat="1" ht="50.25" customHeight="1" x14ac:dyDescent="0.25">
      <c r="A113" s="43" t="s">
        <v>188</v>
      </c>
      <c r="B113" s="44" t="str">
        <f>'дод 4'!A20</f>
        <v>0160</v>
      </c>
      <c r="C113" s="44" t="str">
        <f>'дод 4'!B20</f>
        <v>0111</v>
      </c>
      <c r="D113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13" s="66">
        <f t="shared" ref="E113:E136" si="48">F113+I113</f>
        <v>2347300</v>
      </c>
      <c r="F113" s="66">
        <f>2218500+30000+3500-97800+196800-4500+800</f>
        <v>2347300</v>
      </c>
      <c r="G113" s="66">
        <f>1721600-80200-3700</f>
        <v>1637700</v>
      </c>
      <c r="H113" s="66">
        <v>35400</v>
      </c>
      <c r="I113" s="66"/>
      <c r="J113" s="66">
        <f>L113+O113</f>
        <v>0</v>
      </c>
      <c r="K113" s="66"/>
      <c r="L113" s="66"/>
      <c r="M113" s="66"/>
      <c r="N113" s="66"/>
      <c r="O113" s="66"/>
      <c r="P113" s="66">
        <f t="shared" ref="P113:P136" si="49">E113+J113</f>
        <v>2347300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3" customFormat="1" ht="33" customHeight="1" x14ac:dyDescent="0.25">
      <c r="A114" s="43" t="s">
        <v>189</v>
      </c>
      <c r="B114" s="44" t="str">
        <f>'дод 4'!A61</f>
        <v>2010</v>
      </c>
      <c r="C114" s="44" t="str">
        <f>'дод 4'!B61</f>
        <v>0731</v>
      </c>
      <c r="D114" s="6" t="s">
        <v>474</v>
      </c>
      <c r="E114" s="66">
        <f t="shared" si="48"/>
        <v>118006905.61</v>
      </c>
      <c r="F114" s="66">
        <f>118538525.61+199000-506000+55080-50000-180000-800000-202000+952300</f>
        <v>118006905.61</v>
      </c>
      <c r="G114" s="66"/>
      <c r="H114" s="66"/>
      <c r="I114" s="68"/>
      <c r="J114" s="66">
        <f t="shared" ref="J114:J136" si="50">L114+O114</f>
        <v>38632220</v>
      </c>
      <c r="K114" s="66">
        <f>34664300+20000+3000000+506000-55080+50000+180000+202000+65000</f>
        <v>38632220</v>
      </c>
      <c r="L114" s="66"/>
      <c r="M114" s="66"/>
      <c r="N114" s="66"/>
      <c r="O114" s="66">
        <f>34664300+20000+3000000+506000-55080+50000+180000+202000+65000</f>
        <v>38632220</v>
      </c>
      <c r="P114" s="66">
        <f t="shared" si="49"/>
        <v>156639125.61000001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</row>
    <row r="115" spans="1:529" s="27" customFormat="1" ht="30" x14ac:dyDescent="0.25">
      <c r="A115" s="140"/>
      <c r="B115" s="141"/>
      <c r="C115" s="141"/>
      <c r="D115" s="138" t="s">
        <v>452</v>
      </c>
      <c r="E115" s="139">
        <f t="shared" si="48"/>
        <v>45209900</v>
      </c>
      <c r="F115" s="139">
        <v>45209900</v>
      </c>
      <c r="G115" s="139"/>
      <c r="H115" s="139"/>
      <c r="I115" s="143"/>
      <c r="J115" s="139">
        <f t="shared" si="50"/>
        <v>0</v>
      </c>
      <c r="K115" s="139"/>
      <c r="L115" s="139"/>
      <c r="M115" s="139"/>
      <c r="N115" s="139"/>
      <c r="O115" s="139"/>
      <c r="P115" s="139">
        <f t="shared" si="49"/>
        <v>45209900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6"/>
      <c r="JO115" s="36"/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6"/>
      <c r="KK115" s="36"/>
      <c r="KL115" s="36"/>
      <c r="KM115" s="36"/>
      <c r="KN115" s="36"/>
      <c r="KO115" s="36"/>
      <c r="KP115" s="36"/>
      <c r="KQ115" s="36"/>
      <c r="KR115" s="36"/>
      <c r="KS115" s="36"/>
      <c r="KT115" s="36"/>
      <c r="KU115" s="36"/>
      <c r="KV115" s="36"/>
      <c r="KW115" s="36"/>
      <c r="KX115" s="36"/>
      <c r="KY115" s="36"/>
      <c r="KZ115" s="36"/>
      <c r="LA115" s="36"/>
      <c r="LB115" s="36"/>
      <c r="LC115" s="36"/>
      <c r="LD115" s="36"/>
      <c r="LE115" s="36"/>
      <c r="LF115" s="36"/>
      <c r="LG115" s="36"/>
      <c r="LH115" s="36"/>
      <c r="LI115" s="36"/>
      <c r="LJ115" s="36"/>
      <c r="LK115" s="36"/>
      <c r="LL115" s="36"/>
      <c r="LM115" s="36"/>
      <c r="LN115" s="36"/>
      <c r="LO115" s="36"/>
      <c r="LP115" s="36"/>
      <c r="LQ115" s="36"/>
      <c r="LR115" s="36"/>
      <c r="LS115" s="36"/>
      <c r="LT115" s="36"/>
      <c r="LU115" s="36"/>
      <c r="LV115" s="36"/>
      <c r="LW115" s="36"/>
      <c r="LX115" s="36"/>
      <c r="LY115" s="36"/>
      <c r="LZ115" s="36"/>
      <c r="MA115" s="36"/>
      <c r="MB115" s="36"/>
      <c r="MC115" s="36"/>
      <c r="MD115" s="36"/>
      <c r="ME115" s="36"/>
      <c r="MF115" s="36"/>
      <c r="MG115" s="36"/>
      <c r="MH115" s="36"/>
      <c r="MI115" s="36"/>
      <c r="MJ115" s="36"/>
      <c r="MK115" s="36"/>
      <c r="ML115" s="36"/>
      <c r="MM115" s="36"/>
      <c r="MN115" s="36"/>
      <c r="MO115" s="36"/>
      <c r="MP115" s="36"/>
      <c r="MQ115" s="36"/>
      <c r="MR115" s="36"/>
      <c r="MS115" s="36"/>
      <c r="MT115" s="36"/>
      <c r="MU115" s="36"/>
      <c r="MV115" s="36"/>
      <c r="MW115" s="36"/>
      <c r="MX115" s="36"/>
      <c r="MY115" s="36"/>
      <c r="MZ115" s="36"/>
      <c r="NA115" s="36"/>
      <c r="NB115" s="36"/>
      <c r="NC115" s="36"/>
      <c r="ND115" s="36"/>
      <c r="NE115" s="36"/>
      <c r="NF115" s="36"/>
      <c r="NG115" s="36"/>
      <c r="NH115" s="36"/>
      <c r="NI115" s="36"/>
      <c r="NJ115" s="36"/>
      <c r="NK115" s="36"/>
      <c r="NL115" s="36"/>
      <c r="NM115" s="36"/>
      <c r="NN115" s="36"/>
      <c r="NO115" s="36"/>
      <c r="NP115" s="36"/>
      <c r="NQ115" s="36"/>
      <c r="NR115" s="36"/>
      <c r="NS115" s="36"/>
      <c r="NT115" s="36"/>
      <c r="NU115" s="36"/>
      <c r="NV115" s="36"/>
      <c r="NW115" s="36"/>
      <c r="NX115" s="36"/>
      <c r="NY115" s="36"/>
      <c r="NZ115" s="36"/>
      <c r="OA115" s="36"/>
      <c r="OB115" s="36"/>
      <c r="OC115" s="36"/>
      <c r="OD115" s="36"/>
      <c r="OE115" s="36"/>
      <c r="OF115" s="36"/>
      <c r="OG115" s="36"/>
      <c r="OH115" s="36"/>
      <c r="OI115" s="36"/>
      <c r="OJ115" s="36"/>
      <c r="OK115" s="36"/>
      <c r="OL115" s="36"/>
      <c r="OM115" s="36"/>
      <c r="ON115" s="36"/>
      <c r="OO115" s="36"/>
      <c r="OP115" s="36"/>
      <c r="OQ115" s="36"/>
      <c r="OR115" s="36"/>
      <c r="OS115" s="36"/>
      <c r="OT115" s="36"/>
      <c r="OU115" s="36"/>
      <c r="OV115" s="36"/>
      <c r="OW115" s="36"/>
      <c r="OX115" s="36"/>
      <c r="OY115" s="36"/>
      <c r="OZ115" s="36"/>
      <c r="PA115" s="36"/>
      <c r="PB115" s="36"/>
      <c r="PC115" s="36"/>
      <c r="PD115" s="36"/>
      <c r="PE115" s="36"/>
      <c r="PF115" s="36"/>
      <c r="PG115" s="36"/>
      <c r="PH115" s="36"/>
      <c r="PI115" s="36"/>
      <c r="PJ115" s="36"/>
      <c r="PK115" s="36"/>
      <c r="PL115" s="36"/>
      <c r="PM115" s="36"/>
      <c r="PN115" s="36"/>
      <c r="PO115" s="36"/>
      <c r="PP115" s="36"/>
      <c r="PQ115" s="36"/>
      <c r="PR115" s="36"/>
      <c r="PS115" s="36"/>
      <c r="PT115" s="36"/>
      <c r="PU115" s="36"/>
      <c r="PV115" s="36"/>
      <c r="PW115" s="36"/>
      <c r="PX115" s="36"/>
      <c r="PY115" s="36"/>
      <c r="PZ115" s="36"/>
      <c r="QA115" s="36"/>
      <c r="QB115" s="36"/>
      <c r="QC115" s="36"/>
      <c r="QD115" s="36"/>
      <c r="QE115" s="36"/>
      <c r="QF115" s="36"/>
      <c r="QG115" s="36"/>
      <c r="QH115" s="36"/>
      <c r="QI115" s="36"/>
      <c r="QJ115" s="36"/>
      <c r="QK115" s="36"/>
      <c r="QL115" s="36"/>
      <c r="QM115" s="36"/>
      <c r="QN115" s="36"/>
      <c r="QO115" s="36"/>
      <c r="QP115" s="36"/>
      <c r="QQ115" s="36"/>
      <c r="QR115" s="36"/>
      <c r="QS115" s="36"/>
      <c r="QT115" s="36"/>
      <c r="QU115" s="36"/>
      <c r="QV115" s="36"/>
      <c r="QW115" s="36"/>
      <c r="QX115" s="36"/>
      <c r="QY115" s="36"/>
      <c r="QZ115" s="36"/>
      <c r="RA115" s="36"/>
      <c r="RB115" s="36"/>
      <c r="RC115" s="36"/>
      <c r="RD115" s="36"/>
      <c r="RE115" s="36"/>
      <c r="RF115" s="36"/>
      <c r="RG115" s="36"/>
      <c r="RH115" s="36"/>
      <c r="RI115" s="36"/>
      <c r="RJ115" s="36"/>
      <c r="RK115" s="36"/>
      <c r="RL115" s="36"/>
      <c r="RM115" s="36"/>
      <c r="RN115" s="36"/>
      <c r="RO115" s="36"/>
      <c r="RP115" s="36"/>
      <c r="RQ115" s="36"/>
      <c r="RR115" s="36"/>
      <c r="RS115" s="36"/>
      <c r="RT115" s="36"/>
      <c r="RU115" s="36"/>
      <c r="RV115" s="36"/>
      <c r="RW115" s="36"/>
      <c r="RX115" s="36"/>
      <c r="RY115" s="36"/>
      <c r="RZ115" s="36"/>
      <c r="SA115" s="36"/>
      <c r="SB115" s="36"/>
      <c r="SC115" s="36"/>
      <c r="SD115" s="36"/>
      <c r="SE115" s="36"/>
      <c r="SF115" s="36"/>
      <c r="SG115" s="36"/>
      <c r="SH115" s="36"/>
      <c r="SI115" s="36"/>
      <c r="SJ115" s="36"/>
      <c r="SK115" s="36"/>
      <c r="SL115" s="36"/>
      <c r="SM115" s="36"/>
      <c r="SN115" s="36"/>
      <c r="SO115" s="36"/>
      <c r="SP115" s="36"/>
      <c r="SQ115" s="36"/>
      <c r="SR115" s="36"/>
      <c r="SS115" s="36"/>
      <c r="ST115" s="36"/>
      <c r="SU115" s="36"/>
      <c r="SV115" s="36"/>
      <c r="SW115" s="36"/>
      <c r="SX115" s="36"/>
      <c r="SY115" s="36"/>
      <c r="SZ115" s="36"/>
      <c r="TA115" s="36"/>
      <c r="TB115" s="36"/>
      <c r="TC115" s="36"/>
      <c r="TD115" s="36"/>
      <c r="TE115" s="36"/>
      <c r="TF115" s="36"/>
      <c r="TG115" s="36"/>
      <c r="TH115" s="36"/>
      <c r="TI115" s="36"/>
    </row>
    <row r="116" spans="1:529" s="27" customFormat="1" ht="45" x14ac:dyDescent="0.25">
      <c r="A116" s="140"/>
      <c r="B116" s="141"/>
      <c r="C116" s="141"/>
      <c r="D116" s="138" t="s">
        <v>453</v>
      </c>
      <c r="E116" s="139">
        <f t="shared" si="48"/>
        <v>2977938.61</v>
      </c>
      <c r="F116" s="139">
        <f>2977971-32.39</f>
        <v>2977938.61</v>
      </c>
      <c r="G116" s="139"/>
      <c r="H116" s="139"/>
      <c r="I116" s="139"/>
      <c r="J116" s="139">
        <f t="shared" si="50"/>
        <v>0</v>
      </c>
      <c r="K116" s="139"/>
      <c r="L116" s="139"/>
      <c r="M116" s="139"/>
      <c r="N116" s="139"/>
      <c r="O116" s="139"/>
      <c r="P116" s="139">
        <f t="shared" si="49"/>
        <v>2977938.61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6"/>
      <c r="JO116" s="36"/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6"/>
      <c r="KK116" s="36"/>
      <c r="KL116" s="36"/>
      <c r="KM116" s="36"/>
      <c r="KN116" s="36"/>
      <c r="KO116" s="36"/>
      <c r="KP116" s="36"/>
      <c r="KQ116" s="36"/>
      <c r="KR116" s="36"/>
      <c r="KS116" s="36"/>
      <c r="KT116" s="36"/>
      <c r="KU116" s="36"/>
      <c r="KV116" s="36"/>
      <c r="KW116" s="36"/>
      <c r="KX116" s="36"/>
      <c r="KY116" s="36"/>
      <c r="KZ116" s="36"/>
      <c r="LA116" s="36"/>
      <c r="LB116" s="36"/>
      <c r="LC116" s="36"/>
      <c r="LD116" s="36"/>
      <c r="LE116" s="36"/>
      <c r="LF116" s="36"/>
      <c r="LG116" s="36"/>
      <c r="LH116" s="36"/>
      <c r="LI116" s="36"/>
      <c r="LJ116" s="36"/>
      <c r="LK116" s="36"/>
      <c r="LL116" s="36"/>
      <c r="LM116" s="36"/>
      <c r="LN116" s="36"/>
      <c r="LO116" s="36"/>
      <c r="LP116" s="36"/>
      <c r="LQ116" s="36"/>
      <c r="LR116" s="36"/>
      <c r="LS116" s="36"/>
      <c r="LT116" s="36"/>
      <c r="LU116" s="36"/>
      <c r="LV116" s="36"/>
      <c r="LW116" s="36"/>
      <c r="LX116" s="36"/>
      <c r="LY116" s="36"/>
      <c r="LZ116" s="36"/>
      <c r="MA116" s="36"/>
      <c r="MB116" s="36"/>
      <c r="MC116" s="36"/>
      <c r="MD116" s="36"/>
      <c r="ME116" s="36"/>
      <c r="MF116" s="36"/>
      <c r="MG116" s="36"/>
      <c r="MH116" s="36"/>
      <c r="MI116" s="36"/>
      <c r="MJ116" s="36"/>
      <c r="MK116" s="36"/>
      <c r="ML116" s="36"/>
      <c r="MM116" s="36"/>
      <c r="MN116" s="36"/>
      <c r="MO116" s="36"/>
      <c r="MP116" s="36"/>
      <c r="MQ116" s="36"/>
      <c r="MR116" s="36"/>
      <c r="MS116" s="36"/>
      <c r="MT116" s="36"/>
      <c r="MU116" s="36"/>
      <c r="MV116" s="36"/>
      <c r="MW116" s="36"/>
      <c r="MX116" s="36"/>
      <c r="MY116" s="36"/>
      <c r="MZ116" s="36"/>
      <c r="NA116" s="36"/>
      <c r="NB116" s="36"/>
      <c r="NC116" s="36"/>
      <c r="ND116" s="36"/>
      <c r="NE116" s="36"/>
      <c r="NF116" s="36"/>
      <c r="NG116" s="36"/>
      <c r="NH116" s="36"/>
      <c r="NI116" s="36"/>
      <c r="NJ116" s="36"/>
      <c r="NK116" s="36"/>
      <c r="NL116" s="36"/>
      <c r="NM116" s="36"/>
      <c r="NN116" s="36"/>
      <c r="NO116" s="36"/>
      <c r="NP116" s="36"/>
      <c r="NQ116" s="36"/>
      <c r="NR116" s="36"/>
      <c r="NS116" s="36"/>
      <c r="NT116" s="36"/>
      <c r="NU116" s="36"/>
      <c r="NV116" s="36"/>
      <c r="NW116" s="36"/>
      <c r="NX116" s="36"/>
      <c r="NY116" s="36"/>
      <c r="NZ116" s="36"/>
      <c r="OA116" s="36"/>
      <c r="OB116" s="36"/>
      <c r="OC116" s="36"/>
      <c r="OD116" s="36"/>
      <c r="OE116" s="36"/>
      <c r="OF116" s="36"/>
      <c r="OG116" s="36"/>
      <c r="OH116" s="36"/>
      <c r="OI116" s="36"/>
      <c r="OJ116" s="36"/>
      <c r="OK116" s="36"/>
      <c r="OL116" s="36"/>
      <c r="OM116" s="36"/>
      <c r="ON116" s="36"/>
      <c r="OO116" s="36"/>
      <c r="OP116" s="36"/>
      <c r="OQ116" s="36"/>
      <c r="OR116" s="36"/>
      <c r="OS116" s="36"/>
      <c r="OT116" s="36"/>
      <c r="OU116" s="36"/>
      <c r="OV116" s="36"/>
      <c r="OW116" s="36"/>
      <c r="OX116" s="36"/>
      <c r="OY116" s="36"/>
      <c r="OZ116" s="36"/>
      <c r="PA116" s="36"/>
      <c r="PB116" s="36"/>
      <c r="PC116" s="36"/>
      <c r="PD116" s="36"/>
      <c r="PE116" s="36"/>
      <c r="PF116" s="36"/>
      <c r="PG116" s="36"/>
      <c r="PH116" s="36"/>
      <c r="PI116" s="36"/>
      <c r="PJ116" s="36"/>
      <c r="PK116" s="36"/>
      <c r="PL116" s="36"/>
      <c r="PM116" s="36"/>
      <c r="PN116" s="36"/>
      <c r="PO116" s="36"/>
      <c r="PP116" s="36"/>
      <c r="PQ116" s="36"/>
      <c r="PR116" s="36"/>
      <c r="PS116" s="36"/>
      <c r="PT116" s="36"/>
      <c r="PU116" s="36"/>
      <c r="PV116" s="36"/>
      <c r="PW116" s="36"/>
      <c r="PX116" s="36"/>
      <c r="PY116" s="36"/>
      <c r="PZ116" s="36"/>
      <c r="QA116" s="36"/>
      <c r="QB116" s="36"/>
      <c r="QC116" s="36"/>
      <c r="QD116" s="36"/>
      <c r="QE116" s="36"/>
      <c r="QF116" s="36"/>
      <c r="QG116" s="36"/>
      <c r="QH116" s="36"/>
      <c r="QI116" s="36"/>
      <c r="QJ116" s="36"/>
      <c r="QK116" s="36"/>
      <c r="QL116" s="36"/>
      <c r="QM116" s="36"/>
      <c r="QN116" s="36"/>
      <c r="QO116" s="36"/>
      <c r="QP116" s="36"/>
      <c r="QQ116" s="36"/>
      <c r="QR116" s="36"/>
      <c r="QS116" s="36"/>
      <c r="QT116" s="36"/>
      <c r="QU116" s="36"/>
      <c r="QV116" s="36"/>
      <c r="QW116" s="36"/>
      <c r="QX116" s="36"/>
      <c r="QY116" s="36"/>
      <c r="QZ116" s="36"/>
      <c r="RA116" s="36"/>
      <c r="RB116" s="36"/>
      <c r="RC116" s="36"/>
      <c r="RD116" s="36"/>
      <c r="RE116" s="36"/>
      <c r="RF116" s="36"/>
      <c r="RG116" s="36"/>
      <c r="RH116" s="36"/>
      <c r="RI116" s="36"/>
      <c r="RJ116" s="36"/>
      <c r="RK116" s="36"/>
      <c r="RL116" s="36"/>
      <c r="RM116" s="36"/>
      <c r="RN116" s="36"/>
      <c r="RO116" s="36"/>
      <c r="RP116" s="36"/>
      <c r="RQ116" s="36"/>
      <c r="RR116" s="36"/>
      <c r="RS116" s="36"/>
      <c r="RT116" s="36"/>
      <c r="RU116" s="36"/>
      <c r="RV116" s="36"/>
      <c r="RW116" s="36"/>
      <c r="RX116" s="36"/>
      <c r="RY116" s="36"/>
      <c r="RZ116" s="36"/>
      <c r="SA116" s="36"/>
      <c r="SB116" s="36"/>
      <c r="SC116" s="36"/>
      <c r="SD116" s="36"/>
      <c r="SE116" s="36"/>
      <c r="SF116" s="36"/>
      <c r="SG116" s="36"/>
      <c r="SH116" s="36"/>
      <c r="SI116" s="36"/>
      <c r="SJ116" s="36"/>
      <c r="SK116" s="36"/>
      <c r="SL116" s="36"/>
      <c r="SM116" s="36"/>
      <c r="SN116" s="36"/>
      <c r="SO116" s="36"/>
      <c r="SP116" s="36"/>
      <c r="SQ116" s="36"/>
      <c r="SR116" s="36"/>
      <c r="SS116" s="36"/>
      <c r="ST116" s="36"/>
      <c r="SU116" s="36"/>
      <c r="SV116" s="36"/>
      <c r="SW116" s="36"/>
      <c r="SX116" s="36"/>
      <c r="SY116" s="36"/>
      <c r="SZ116" s="36"/>
      <c r="TA116" s="36"/>
      <c r="TB116" s="36"/>
      <c r="TC116" s="36"/>
      <c r="TD116" s="36"/>
      <c r="TE116" s="36"/>
      <c r="TF116" s="36"/>
      <c r="TG116" s="36"/>
      <c r="TH116" s="36"/>
      <c r="TI116" s="36"/>
    </row>
    <row r="117" spans="1:529" s="27" customFormat="1" x14ac:dyDescent="0.25">
      <c r="A117" s="140"/>
      <c r="B117" s="141"/>
      <c r="C117" s="141"/>
      <c r="D117" s="138" t="s">
        <v>455</v>
      </c>
      <c r="E117" s="139">
        <f t="shared" si="48"/>
        <v>60000</v>
      </c>
      <c r="F117" s="139">
        <v>60000</v>
      </c>
      <c r="G117" s="139"/>
      <c r="H117" s="139"/>
      <c r="I117" s="143"/>
      <c r="J117" s="139">
        <f t="shared" si="50"/>
        <v>0</v>
      </c>
      <c r="K117" s="139"/>
      <c r="L117" s="139"/>
      <c r="M117" s="139"/>
      <c r="N117" s="139"/>
      <c r="O117" s="139"/>
      <c r="P117" s="139">
        <f t="shared" si="49"/>
        <v>60000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</row>
    <row r="118" spans="1:529" s="23" customFormat="1" ht="36.75" customHeight="1" x14ac:dyDescent="0.25">
      <c r="A118" s="43" t="s">
        <v>194</v>
      </c>
      <c r="B118" s="44" t="str">
        <f>'дод 4'!A65</f>
        <v>2030</v>
      </c>
      <c r="C118" s="44" t="str">
        <f>'дод 4'!B65</f>
        <v>0733</v>
      </c>
      <c r="D118" s="24" t="s">
        <v>475</v>
      </c>
      <c r="E118" s="66">
        <f t="shared" si="48"/>
        <v>14740473</v>
      </c>
      <c r="F118" s="66">
        <f>15275473+50000+95000-680000</f>
        <v>14740473</v>
      </c>
      <c r="G118" s="68"/>
      <c r="H118" s="68"/>
      <c r="I118" s="68"/>
      <c r="J118" s="66">
        <f t="shared" si="50"/>
        <v>6830000</v>
      </c>
      <c r="K118" s="66">
        <f>15040600-8240600+30000</f>
        <v>6830000</v>
      </c>
      <c r="L118" s="66"/>
      <c r="M118" s="66"/>
      <c r="N118" s="66"/>
      <c r="O118" s="66">
        <f>15040600-8240600+30000</f>
        <v>6830000</v>
      </c>
      <c r="P118" s="66">
        <f t="shared" si="49"/>
        <v>21570473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</row>
    <row r="119" spans="1:529" s="27" customFormat="1" ht="30" x14ac:dyDescent="0.25">
      <c r="A119" s="140"/>
      <c r="B119" s="141"/>
      <c r="C119" s="141"/>
      <c r="D119" s="138" t="s">
        <v>452</v>
      </c>
      <c r="E119" s="139">
        <f t="shared" si="48"/>
        <v>6347600</v>
      </c>
      <c r="F119" s="139">
        <v>6347600</v>
      </c>
      <c r="G119" s="143"/>
      <c r="H119" s="143"/>
      <c r="I119" s="143"/>
      <c r="J119" s="139"/>
      <c r="K119" s="139"/>
      <c r="L119" s="139"/>
      <c r="M119" s="139"/>
      <c r="N119" s="139"/>
      <c r="O119" s="139"/>
      <c r="P119" s="139">
        <f t="shared" si="49"/>
        <v>6347600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</row>
    <row r="120" spans="1:529" s="23" customFormat="1" ht="24" customHeight="1" x14ac:dyDescent="0.25">
      <c r="A120" s="43" t="s">
        <v>193</v>
      </c>
      <c r="B120" s="44" t="str">
        <f>'дод 4'!A67</f>
        <v>2100</v>
      </c>
      <c r="C120" s="44" t="str">
        <f>'дод 4'!B67</f>
        <v>0722</v>
      </c>
      <c r="D120" s="24" t="str">
        <f>'дод 4'!C67</f>
        <v>Стоматологічна допомога населенню, у т.ч. за рахунок:</v>
      </c>
      <c r="E120" s="66">
        <f t="shared" si="48"/>
        <v>6772226</v>
      </c>
      <c r="F120" s="66">
        <f>6663426+108800</f>
        <v>6772226</v>
      </c>
      <c r="G120" s="68"/>
      <c r="H120" s="68"/>
      <c r="I120" s="68"/>
      <c r="J120" s="66">
        <f t="shared" si="50"/>
        <v>690000</v>
      </c>
      <c r="K120" s="66">
        <f>1210600-80600-560000+20000+100000</f>
        <v>690000</v>
      </c>
      <c r="L120" s="66"/>
      <c r="M120" s="66"/>
      <c r="N120" s="66"/>
      <c r="O120" s="66">
        <f>1210600-80600-560000+20000+100000</f>
        <v>690000</v>
      </c>
      <c r="P120" s="66">
        <f t="shared" si="49"/>
        <v>7462226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</row>
    <row r="121" spans="1:529" s="27" customFormat="1" ht="30" x14ac:dyDescent="0.25">
      <c r="A121" s="140"/>
      <c r="B121" s="141"/>
      <c r="C121" s="141"/>
      <c r="D121" s="138" t="s">
        <v>452</v>
      </c>
      <c r="E121" s="139">
        <f t="shared" si="48"/>
        <v>1132200</v>
      </c>
      <c r="F121" s="139">
        <v>1132200</v>
      </c>
      <c r="G121" s="143"/>
      <c r="H121" s="143"/>
      <c r="I121" s="143"/>
      <c r="J121" s="139">
        <f t="shared" si="50"/>
        <v>0</v>
      </c>
      <c r="K121" s="139"/>
      <c r="L121" s="139"/>
      <c r="M121" s="139"/>
      <c r="N121" s="139"/>
      <c r="O121" s="139"/>
      <c r="P121" s="139">
        <f t="shared" si="49"/>
        <v>1132200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6"/>
      <c r="JO121" s="36"/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6"/>
      <c r="KK121" s="36"/>
      <c r="KL121" s="36"/>
      <c r="KM121" s="36"/>
      <c r="KN121" s="36"/>
      <c r="KO121" s="36"/>
      <c r="KP121" s="36"/>
      <c r="KQ121" s="36"/>
      <c r="KR121" s="36"/>
      <c r="KS121" s="36"/>
      <c r="KT121" s="36"/>
      <c r="KU121" s="36"/>
      <c r="KV121" s="36"/>
      <c r="KW121" s="36"/>
      <c r="KX121" s="36"/>
      <c r="KY121" s="36"/>
      <c r="KZ121" s="36"/>
      <c r="LA121" s="36"/>
      <c r="LB121" s="36"/>
      <c r="LC121" s="36"/>
      <c r="LD121" s="36"/>
      <c r="LE121" s="36"/>
      <c r="LF121" s="36"/>
      <c r="LG121" s="36"/>
      <c r="LH121" s="36"/>
      <c r="LI121" s="36"/>
      <c r="LJ121" s="36"/>
      <c r="LK121" s="36"/>
      <c r="LL121" s="36"/>
      <c r="LM121" s="36"/>
      <c r="LN121" s="36"/>
      <c r="LO121" s="36"/>
      <c r="LP121" s="36"/>
      <c r="LQ121" s="36"/>
      <c r="LR121" s="36"/>
      <c r="LS121" s="36"/>
      <c r="LT121" s="36"/>
      <c r="LU121" s="36"/>
      <c r="LV121" s="36"/>
      <c r="LW121" s="36"/>
      <c r="LX121" s="36"/>
      <c r="LY121" s="36"/>
      <c r="LZ121" s="36"/>
      <c r="MA121" s="36"/>
      <c r="MB121" s="36"/>
      <c r="MC121" s="36"/>
      <c r="MD121" s="36"/>
      <c r="ME121" s="36"/>
      <c r="MF121" s="36"/>
      <c r="MG121" s="36"/>
      <c r="MH121" s="36"/>
      <c r="MI121" s="36"/>
      <c r="MJ121" s="36"/>
      <c r="MK121" s="36"/>
      <c r="ML121" s="36"/>
      <c r="MM121" s="36"/>
      <c r="MN121" s="36"/>
      <c r="MO121" s="36"/>
      <c r="MP121" s="36"/>
      <c r="MQ121" s="36"/>
      <c r="MR121" s="36"/>
      <c r="MS121" s="36"/>
      <c r="MT121" s="36"/>
      <c r="MU121" s="36"/>
      <c r="MV121" s="36"/>
      <c r="MW121" s="36"/>
      <c r="MX121" s="36"/>
      <c r="MY121" s="36"/>
      <c r="MZ121" s="36"/>
      <c r="NA121" s="36"/>
      <c r="NB121" s="36"/>
      <c r="NC121" s="36"/>
      <c r="ND121" s="36"/>
      <c r="NE121" s="36"/>
      <c r="NF121" s="36"/>
      <c r="NG121" s="36"/>
      <c r="NH121" s="36"/>
      <c r="NI121" s="36"/>
      <c r="NJ121" s="36"/>
      <c r="NK121" s="36"/>
      <c r="NL121" s="36"/>
      <c r="NM121" s="36"/>
      <c r="NN121" s="36"/>
      <c r="NO121" s="36"/>
      <c r="NP121" s="36"/>
      <c r="NQ121" s="36"/>
      <c r="NR121" s="36"/>
      <c r="NS121" s="36"/>
      <c r="NT121" s="36"/>
      <c r="NU121" s="36"/>
      <c r="NV121" s="36"/>
      <c r="NW121" s="36"/>
      <c r="NX121" s="36"/>
      <c r="NY121" s="36"/>
      <c r="NZ121" s="36"/>
      <c r="OA121" s="36"/>
      <c r="OB121" s="36"/>
      <c r="OC121" s="36"/>
      <c r="OD121" s="36"/>
      <c r="OE121" s="36"/>
      <c r="OF121" s="36"/>
      <c r="OG121" s="36"/>
      <c r="OH121" s="36"/>
      <c r="OI121" s="36"/>
      <c r="OJ121" s="36"/>
      <c r="OK121" s="36"/>
      <c r="OL121" s="36"/>
      <c r="OM121" s="36"/>
      <c r="ON121" s="36"/>
      <c r="OO121" s="36"/>
      <c r="OP121" s="36"/>
      <c r="OQ121" s="36"/>
      <c r="OR121" s="36"/>
      <c r="OS121" s="36"/>
      <c r="OT121" s="36"/>
      <c r="OU121" s="36"/>
      <c r="OV121" s="36"/>
      <c r="OW121" s="36"/>
      <c r="OX121" s="36"/>
      <c r="OY121" s="36"/>
      <c r="OZ121" s="36"/>
      <c r="PA121" s="36"/>
      <c r="PB121" s="36"/>
      <c r="PC121" s="36"/>
      <c r="PD121" s="36"/>
      <c r="PE121" s="36"/>
      <c r="PF121" s="36"/>
      <c r="PG121" s="36"/>
      <c r="PH121" s="36"/>
      <c r="PI121" s="36"/>
      <c r="PJ121" s="36"/>
      <c r="PK121" s="36"/>
      <c r="PL121" s="36"/>
      <c r="PM121" s="36"/>
      <c r="PN121" s="36"/>
      <c r="PO121" s="36"/>
      <c r="PP121" s="36"/>
      <c r="PQ121" s="36"/>
      <c r="PR121" s="36"/>
      <c r="PS121" s="36"/>
      <c r="PT121" s="36"/>
      <c r="PU121" s="36"/>
      <c r="PV121" s="36"/>
      <c r="PW121" s="36"/>
      <c r="PX121" s="36"/>
      <c r="PY121" s="36"/>
      <c r="PZ121" s="36"/>
      <c r="QA121" s="36"/>
      <c r="QB121" s="36"/>
      <c r="QC121" s="36"/>
      <c r="QD121" s="36"/>
      <c r="QE121" s="36"/>
      <c r="QF121" s="36"/>
      <c r="QG121" s="36"/>
      <c r="QH121" s="36"/>
      <c r="QI121" s="36"/>
      <c r="QJ121" s="36"/>
      <c r="QK121" s="36"/>
      <c r="QL121" s="36"/>
      <c r="QM121" s="36"/>
      <c r="QN121" s="36"/>
      <c r="QO121" s="36"/>
      <c r="QP121" s="36"/>
      <c r="QQ121" s="36"/>
      <c r="QR121" s="36"/>
      <c r="QS121" s="36"/>
      <c r="QT121" s="36"/>
      <c r="QU121" s="36"/>
      <c r="QV121" s="36"/>
      <c r="QW121" s="36"/>
      <c r="QX121" s="36"/>
      <c r="QY121" s="36"/>
      <c r="QZ121" s="36"/>
      <c r="RA121" s="36"/>
      <c r="RB121" s="36"/>
      <c r="RC121" s="36"/>
      <c r="RD121" s="36"/>
      <c r="RE121" s="36"/>
      <c r="RF121" s="36"/>
      <c r="RG121" s="36"/>
      <c r="RH121" s="36"/>
      <c r="RI121" s="36"/>
      <c r="RJ121" s="36"/>
      <c r="RK121" s="36"/>
      <c r="RL121" s="36"/>
      <c r="RM121" s="36"/>
      <c r="RN121" s="36"/>
      <c r="RO121" s="36"/>
      <c r="RP121" s="36"/>
      <c r="RQ121" s="36"/>
      <c r="RR121" s="36"/>
      <c r="RS121" s="36"/>
      <c r="RT121" s="36"/>
      <c r="RU121" s="36"/>
      <c r="RV121" s="36"/>
      <c r="RW121" s="36"/>
      <c r="RX121" s="36"/>
      <c r="RY121" s="36"/>
      <c r="RZ121" s="36"/>
      <c r="SA121" s="36"/>
      <c r="SB121" s="36"/>
      <c r="SC121" s="36"/>
      <c r="SD121" s="36"/>
      <c r="SE121" s="36"/>
      <c r="SF121" s="36"/>
      <c r="SG121" s="36"/>
      <c r="SH121" s="36"/>
      <c r="SI121" s="36"/>
      <c r="SJ121" s="36"/>
      <c r="SK121" s="36"/>
      <c r="SL121" s="36"/>
      <c r="SM121" s="36"/>
      <c r="SN121" s="36"/>
      <c r="SO121" s="36"/>
      <c r="SP121" s="36"/>
      <c r="SQ121" s="36"/>
      <c r="SR121" s="36"/>
      <c r="SS121" s="36"/>
      <c r="ST121" s="36"/>
      <c r="SU121" s="36"/>
      <c r="SV121" s="36"/>
      <c r="SW121" s="36"/>
      <c r="SX121" s="36"/>
      <c r="SY121" s="36"/>
      <c r="SZ121" s="36"/>
      <c r="TA121" s="36"/>
      <c r="TB121" s="36"/>
      <c r="TC121" s="36"/>
      <c r="TD121" s="36"/>
      <c r="TE121" s="36"/>
      <c r="TF121" s="36"/>
      <c r="TG121" s="36"/>
      <c r="TH121" s="36"/>
      <c r="TI121" s="36"/>
    </row>
    <row r="122" spans="1:529" s="23" customFormat="1" ht="44.25" customHeight="1" x14ac:dyDescent="0.25">
      <c r="A122" s="43" t="s">
        <v>192</v>
      </c>
      <c r="B122" s="44" t="str">
        <f>'дод 4'!A69</f>
        <v>2111</v>
      </c>
      <c r="C122" s="44" t="str">
        <f>'дод 4'!B69</f>
        <v>0726</v>
      </c>
      <c r="D122" s="24" t="str">
        <f>'дод 4'!C69</f>
        <v>Первинна медична допомога населенню, що надається центрами первинної медичної (медико-санітарної) допомоги, у т.ч. за рахунок:</v>
      </c>
      <c r="E122" s="66">
        <f t="shared" si="48"/>
        <v>1984936</v>
      </c>
      <c r="F122" s="66">
        <f>1672468+173000+25000+12000+2468+100000</f>
        <v>1984936</v>
      </c>
      <c r="G122" s="68"/>
      <c r="H122" s="68"/>
      <c r="I122" s="68"/>
      <c r="J122" s="66">
        <f t="shared" si="50"/>
        <v>0</v>
      </c>
      <c r="K122" s="66"/>
      <c r="L122" s="66"/>
      <c r="M122" s="66"/>
      <c r="N122" s="66"/>
      <c r="O122" s="66"/>
      <c r="P122" s="66">
        <f t="shared" si="49"/>
        <v>1984936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27" customFormat="1" ht="52.5" customHeight="1" x14ac:dyDescent="0.25">
      <c r="A123" s="140"/>
      <c r="B123" s="141"/>
      <c r="C123" s="141"/>
      <c r="D123" s="144" t="s">
        <v>454</v>
      </c>
      <c r="E123" s="139">
        <f t="shared" si="48"/>
        <v>2468</v>
      </c>
      <c r="F123" s="139">
        <v>2468</v>
      </c>
      <c r="G123" s="143"/>
      <c r="H123" s="143"/>
      <c r="I123" s="143"/>
      <c r="J123" s="139">
        <f t="shared" si="50"/>
        <v>0</v>
      </c>
      <c r="K123" s="139"/>
      <c r="L123" s="139"/>
      <c r="M123" s="139"/>
      <c r="N123" s="139"/>
      <c r="O123" s="139"/>
      <c r="P123" s="139">
        <f t="shared" si="49"/>
        <v>2468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  <c r="NC123" s="36"/>
      <c r="ND123" s="36"/>
      <c r="NE123" s="36"/>
      <c r="NF123" s="36"/>
      <c r="NG123" s="36"/>
      <c r="NH123" s="36"/>
      <c r="NI123" s="36"/>
      <c r="NJ123" s="36"/>
      <c r="NK123" s="36"/>
      <c r="NL123" s="36"/>
      <c r="NM123" s="36"/>
      <c r="NN123" s="36"/>
      <c r="NO123" s="36"/>
      <c r="NP123" s="36"/>
      <c r="NQ123" s="36"/>
      <c r="NR123" s="36"/>
      <c r="NS123" s="36"/>
      <c r="NT123" s="36"/>
      <c r="NU123" s="36"/>
      <c r="NV123" s="36"/>
      <c r="NW123" s="36"/>
      <c r="NX123" s="36"/>
      <c r="NY123" s="36"/>
      <c r="NZ123" s="36"/>
      <c r="OA123" s="36"/>
      <c r="OB123" s="36"/>
      <c r="OC123" s="36"/>
      <c r="OD123" s="36"/>
      <c r="OE123" s="36"/>
      <c r="OF123" s="36"/>
      <c r="OG123" s="36"/>
      <c r="OH123" s="36"/>
      <c r="OI123" s="36"/>
      <c r="OJ123" s="36"/>
      <c r="OK123" s="36"/>
      <c r="OL123" s="36"/>
      <c r="OM123" s="36"/>
      <c r="ON123" s="36"/>
      <c r="OO123" s="36"/>
      <c r="OP123" s="36"/>
      <c r="OQ123" s="36"/>
      <c r="OR123" s="36"/>
      <c r="OS123" s="36"/>
      <c r="OT123" s="36"/>
      <c r="OU123" s="36"/>
      <c r="OV123" s="36"/>
      <c r="OW123" s="36"/>
      <c r="OX123" s="36"/>
      <c r="OY123" s="36"/>
      <c r="OZ123" s="36"/>
      <c r="PA123" s="36"/>
      <c r="PB123" s="36"/>
      <c r="PC123" s="36"/>
      <c r="PD123" s="36"/>
      <c r="PE123" s="36"/>
      <c r="PF123" s="36"/>
      <c r="PG123" s="36"/>
      <c r="PH123" s="36"/>
      <c r="PI123" s="36"/>
      <c r="PJ123" s="36"/>
      <c r="PK123" s="36"/>
      <c r="PL123" s="36"/>
      <c r="PM123" s="36"/>
      <c r="PN123" s="36"/>
      <c r="PO123" s="36"/>
      <c r="PP123" s="36"/>
      <c r="PQ123" s="36"/>
      <c r="PR123" s="36"/>
      <c r="PS123" s="36"/>
      <c r="PT123" s="36"/>
      <c r="PU123" s="36"/>
      <c r="PV123" s="36"/>
      <c r="PW123" s="36"/>
      <c r="PX123" s="36"/>
      <c r="PY123" s="36"/>
      <c r="PZ123" s="36"/>
      <c r="QA123" s="36"/>
      <c r="QB123" s="36"/>
      <c r="QC123" s="36"/>
      <c r="QD123" s="36"/>
      <c r="QE123" s="36"/>
      <c r="QF123" s="36"/>
      <c r="QG123" s="36"/>
      <c r="QH123" s="36"/>
      <c r="QI123" s="36"/>
      <c r="QJ123" s="36"/>
      <c r="QK123" s="36"/>
      <c r="QL123" s="36"/>
      <c r="QM123" s="36"/>
      <c r="QN123" s="36"/>
      <c r="QO123" s="36"/>
      <c r="QP123" s="36"/>
      <c r="QQ123" s="36"/>
      <c r="QR123" s="36"/>
      <c r="QS123" s="36"/>
      <c r="QT123" s="36"/>
      <c r="QU123" s="36"/>
      <c r="QV123" s="36"/>
      <c r="QW123" s="36"/>
      <c r="QX123" s="36"/>
      <c r="QY123" s="36"/>
      <c r="QZ123" s="36"/>
      <c r="RA123" s="36"/>
      <c r="RB123" s="36"/>
      <c r="RC123" s="36"/>
      <c r="RD123" s="36"/>
      <c r="RE123" s="36"/>
      <c r="RF123" s="36"/>
      <c r="RG123" s="36"/>
      <c r="RH123" s="36"/>
      <c r="RI123" s="36"/>
      <c r="RJ123" s="36"/>
      <c r="RK123" s="36"/>
      <c r="RL123" s="36"/>
      <c r="RM123" s="36"/>
      <c r="RN123" s="36"/>
      <c r="RO123" s="36"/>
      <c r="RP123" s="36"/>
      <c r="RQ123" s="36"/>
      <c r="RR123" s="36"/>
      <c r="RS123" s="36"/>
      <c r="RT123" s="36"/>
      <c r="RU123" s="36"/>
      <c r="RV123" s="36"/>
      <c r="RW123" s="36"/>
      <c r="RX123" s="36"/>
      <c r="RY123" s="36"/>
      <c r="RZ123" s="36"/>
      <c r="SA123" s="36"/>
      <c r="SB123" s="36"/>
      <c r="SC123" s="36"/>
      <c r="SD123" s="36"/>
      <c r="SE123" s="36"/>
      <c r="SF123" s="36"/>
      <c r="SG123" s="36"/>
      <c r="SH123" s="36"/>
      <c r="SI123" s="36"/>
      <c r="SJ123" s="36"/>
      <c r="SK123" s="36"/>
      <c r="SL123" s="36"/>
      <c r="SM123" s="36"/>
      <c r="SN123" s="36"/>
      <c r="SO123" s="36"/>
      <c r="SP123" s="36"/>
      <c r="SQ123" s="36"/>
      <c r="SR123" s="36"/>
      <c r="SS123" s="36"/>
      <c r="ST123" s="36"/>
      <c r="SU123" s="36"/>
      <c r="SV123" s="36"/>
      <c r="SW123" s="36"/>
      <c r="SX123" s="36"/>
      <c r="SY123" s="36"/>
      <c r="SZ123" s="36"/>
      <c r="TA123" s="36"/>
      <c r="TB123" s="36"/>
      <c r="TC123" s="36"/>
      <c r="TD123" s="36"/>
      <c r="TE123" s="36"/>
      <c r="TF123" s="36"/>
      <c r="TG123" s="36"/>
      <c r="TH123" s="36"/>
      <c r="TI123" s="36"/>
    </row>
    <row r="124" spans="1:529" s="23" customFormat="1" ht="32.25" customHeight="1" x14ac:dyDescent="0.25">
      <c r="A124" s="43" t="s">
        <v>191</v>
      </c>
      <c r="B124" s="44">
        <f>'дод 4'!A71</f>
        <v>2144</v>
      </c>
      <c r="C124" s="44" t="str">
        <f>'дод 4'!B71</f>
        <v>0763</v>
      </c>
      <c r="D124" s="25" t="str">
        <f>'дод 4'!C71</f>
        <v>Централізовані заходи з лікування хворих на цукровий та нецукровий діабет, у т.ч. за рахунок:</v>
      </c>
      <c r="E124" s="66">
        <f t="shared" si="48"/>
        <v>8232709</v>
      </c>
      <c r="F124" s="66">
        <f>2090140+1000000+4342569+800000</f>
        <v>8232709</v>
      </c>
      <c r="G124" s="68"/>
      <c r="H124" s="68"/>
      <c r="I124" s="68"/>
      <c r="J124" s="66">
        <f t="shared" si="50"/>
        <v>0</v>
      </c>
      <c r="K124" s="66"/>
      <c r="L124" s="66"/>
      <c r="M124" s="66"/>
      <c r="N124" s="66"/>
      <c r="O124" s="66"/>
      <c r="P124" s="66">
        <f t="shared" si="49"/>
        <v>8232709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</row>
    <row r="125" spans="1:529" s="27" customFormat="1" ht="45" x14ac:dyDescent="0.25">
      <c r="A125" s="140"/>
      <c r="B125" s="141"/>
      <c r="C125" s="141"/>
      <c r="D125" s="145" t="s">
        <v>453</v>
      </c>
      <c r="E125" s="139">
        <f t="shared" si="48"/>
        <v>1490140</v>
      </c>
      <c r="F125" s="139">
        <v>1490140</v>
      </c>
      <c r="G125" s="139"/>
      <c r="H125" s="139"/>
      <c r="I125" s="139"/>
      <c r="J125" s="139">
        <f t="shared" si="50"/>
        <v>0</v>
      </c>
      <c r="K125" s="139"/>
      <c r="L125" s="139"/>
      <c r="M125" s="139"/>
      <c r="N125" s="139"/>
      <c r="O125" s="139"/>
      <c r="P125" s="139">
        <f t="shared" si="49"/>
        <v>1490140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36"/>
      <c r="PM125" s="36"/>
      <c r="PN125" s="36"/>
      <c r="PO125" s="36"/>
      <c r="PP125" s="36"/>
      <c r="PQ125" s="36"/>
      <c r="PR125" s="36"/>
      <c r="PS125" s="36"/>
      <c r="PT125" s="36"/>
      <c r="PU125" s="36"/>
      <c r="PV125" s="36"/>
      <c r="PW125" s="36"/>
      <c r="PX125" s="36"/>
      <c r="PY125" s="36"/>
      <c r="PZ125" s="36"/>
      <c r="QA125" s="36"/>
      <c r="QB125" s="36"/>
      <c r="QC125" s="36"/>
      <c r="QD125" s="36"/>
      <c r="QE125" s="36"/>
      <c r="QF125" s="36"/>
      <c r="QG125" s="36"/>
      <c r="QH125" s="36"/>
      <c r="QI125" s="36"/>
      <c r="QJ125" s="36"/>
      <c r="QK125" s="36"/>
      <c r="QL125" s="36"/>
      <c r="QM125" s="36"/>
      <c r="QN125" s="36"/>
      <c r="QO125" s="36"/>
      <c r="QP125" s="36"/>
      <c r="QQ125" s="36"/>
      <c r="QR125" s="36"/>
      <c r="QS125" s="36"/>
      <c r="QT125" s="36"/>
      <c r="QU125" s="36"/>
      <c r="QV125" s="36"/>
      <c r="QW125" s="36"/>
      <c r="QX125" s="36"/>
      <c r="QY125" s="36"/>
      <c r="QZ125" s="36"/>
      <c r="RA125" s="36"/>
      <c r="RB125" s="36"/>
      <c r="RC125" s="36"/>
      <c r="RD125" s="36"/>
      <c r="RE125" s="36"/>
      <c r="RF125" s="36"/>
      <c r="RG125" s="36"/>
      <c r="RH125" s="36"/>
      <c r="RI125" s="36"/>
      <c r="RJ125" s="36"/>
      <c r="RK125" s="36"/>
      <c r="RL125" s="36"/>
      <c r="RM125" s="36"/>
      <c r="RN125" s="36"/>
      <c r="RO125" s="36"/>
      <c r="RP125" s="36"/>
      <c r="RQ125" s="36"/>
      <c r="RR125" s="36"/>
      <c r="RS125" s="36"/>
      <c r="RT125" s="36"/>
      <c r="RU125" s="36"/>
      <c r="RV125" s="36"/>
      <c r="RW125" s="36"/>
      <c r="RX125" s="36"/>
      <c r="RY125" s="36"/>
      <c r="RZ125" s="36"/>
      <c r="SA125" s="36"/>
      <c r="SB125" s="36"/>
      <c r="SC125" s="36"/>
      <c r="SD125" s="36"/>
      <c r="SE125" s="36"/>
      <c r="SF125" s="36"/>
      <c r="SG125" s="36"/>
      <c r="SH125" s="36"/>
      <c r="SI125" s="36"/>
      <c r="SJ125" s="36"/>
      <c r="SK125" s="36"/>
      <c r="SL125" s="36"/>
      <c r="SM125" s="36"/>
      <c r="SN125" s="36"/>
      <c r="SO125" s="36"/>
      <c r="SP125" s="36"/>
      <c r="SQ125" s="36"/>
      <c r="SR125" s="36"/>
      <c r="SS125" s="36"/>
      <c r="ST125" s="36"/>
      <c r="SU125" s="36"/>
      <c r="SV125" s="36"/>
      <c r="SW125" s="36"/>
      <c r="SX125" s="36"/>
      <c r="SY125" s="36"/>
      <c r="SZ125" s="36"/>
      <c r="TA125" s="36"/>
      <c r="TB125" s="36"/>
      <c r="TC125" s="36"/>
      <c r="TD125" s="36"/>
      <c r="TE125" s="36"/>
      <c r="TF125" s="36"/>
      <c r="TG125" s="36"/>
      <c r="TH125" s="36"/>
      <c r="TI125" s="36"/>
    </row>
    <row r="126" spans="1:529" s="27" customFormat="1" ht="48" customHeight="1" x14ac:dyDescent="0.25">
      <c r="A126" s="140"/>
      <c r="B126" s="141"/>
      <c r="C126" s="141"/>
      <c r="D126" s="145" t="s">
        <v>454</v>
      </c>
      <c r="E126" s="139">
        <f t="shared" si="48"/>
        <v>4342569</v>
      </c>
      <c r="F126" s="139">
        <v>4342569</v>
      </c>
      <c r="G126" s="143"/>
      <c r="H126" s="143"/>
      <c r="I126" s="143"/>
      <c r="J126" s="139">
        <f t="shared" si="50"/>
        <v>0</v>
      </c>
      <c r="K126" s="139"/>
      <c r="L126" s="139"/>
      <c r="M126" s="139"/>
      <c r="N126" s="139"/>
      <c r="O126" s="139"/>
      <c r="P126" s="139">
        <f t="shared" si="49"/>
        <v>4342569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36"/>
      <c r="PM126" s="36"/>
      <c r="PN126" s="36"/>
      <c r="PO126" s="36"/>
      <c r="PP126" s="36"/>
      <c r="PQ126" s="36"/>
      <c r="PR126" s="36"/>
      <c r="PS126" s="36"/>
      <c r="PT126" s="36"/>
      <c r="PU126" s="36"/>
      <c r="PV126" s="36"/>
      <c r="PW126" s="36"/>
      <c r="PX126" s="36"/>
      <c r="PY126" s="36"/>
      <c r="PZ126" s="36"/>
      <c r="QA126" s="36"/>
      <c r="QB126" s="36"/>
      <c r="QC126" s="36"/>
      <c r="QD126" s="36"/>
      <c r="QE126" s="36"/>
      <c r="QF126" s="36"/>
      <c r="QG126" s="36"/>
      <c r="QH126" s="36"/>
      <c r="QI126" s="36"/>
      <c r="QJ126" s="36"/>
      <c r="QK126" s="36"/>
      <c r="QL126" s="36"/>
      <c r="QM126" s="36"/>
      <c r="QN126" s="36"/>
      <c r="QO126" s="36"/>
      <c r="QP126" s="36"/>
      <c r="QQ126" s="36"/>
      <c r="QR126" s="36"/>
      <c r="QS126" s="36"/>
      <c r="QT126" s="36"/>
      <c r="QU126" s="36"/>
      <c r="QV126" s="36"/>
      <c r="QW126" s="36"/>
      <c r="QX126" s="36"/>
      <c r="QY126" s="36"/>
      <c r="QZ126" s="36"/>
      <c r="RA126" s="36"/>
      <c r="RB126" s="36"/>
      <c r="RC126" s="36"/>
      <c r="RD126" s="36"/>
      <c r="RE126" s="36"/>
      <c r="RF126" s="36"/>
      <c r="RG126" s="36"/>
      <c r="RH126" s="36"/>
      <c r="RI126" s="36"/>
      <c r="RJ126" s="36"/>
      <c r="RK126" s="36"/>
      <c r="RL126" s="36"/>
      <c r="RM126" s="36"/>
      <c r="RN126" s="36"/>
      <c r="RO126" s="36"/>
      <c r="RP126" s="36"/>
      <c r="RQ126" s="36"/>
      <c r="RR126" s="36"/>
      <c r="RS126" s="36"/>
      <c r="RT126" s="36"/>
      <c r="RU126" s="36"/>
      <c r="RV126" s="36"/>
      <c r="RW126" s="36"/>
      <c r="RX126" s="36"/>
      <c r="RY126" s="36"/>
      <c r="RZ126" s="36"/>
      <c r="SA126" s="36"/>
      <c r="SB126" s="36"/>
      <c r="SC126" s="36"/>
      <c r="SD126" s="36"/>
      <c r="SE126" s="36"/>
      <c r="SF126" s="36"/>
      <c r="SG126" s="36"/>
      <c r="SH126" s="36"/>
      <c r="SI126" s="36"/>
      <c r="SJ126" s="36"/>
      <c r="SK126" s="36"/>
      <c r="SL126" s="36"/>
      <c r="SM126" s="36"/>
      <c r="SN126" s="36"/>
      <c r="SO126" s="36"/>
      <c r="SP126" s="36"/>
      <c r="SQ126" s="36"/>
      <c r="SR126" s="36"/>
      <c r="SS126" s="36"/>
      <c r="ST126" s="36"/>
      <c r="SU126" s="36"/>
      <c r="SV126" s="36"/>
      <c r="SW126" s="36"/>
      <c r="SX126" s="36"/>
      <c r="SY126" s="36"/>
      <c r="SZ126" s="36"/>
      <c r="TA126" s="36"/>
      <c r="TB126" s="36"/>
      <c r="TC126" s="36"/>
      <c r="TD126" s="36"/>
      <c r="TE126" s="36"/>
      <c r="TF126" s="36"/>
      <c r="TG126" s="36"/>
      <c r="TH126" s="36"/>
      <c r="TI126" s="36"/>
    </row>
    <row r="127" spans="1:529" s="23" customFormat="1" ht="30" customHeight="1" x14ac:dyDescent="0.25">
      <c r="A127" s="43" t="s">
        <v>357</v>
      </c>
      <c r="B127" s="45" t="str">
        <f>'дод 4'!A74</f>
        <v>2151</v>
      </c>
      <c r="C127" s="45" t="str">
        <f>'дод 4'!B74</f>
        <v>0763</v>
      </c>
      <c r="D127" s="24" t="str">
        <f>'дод 4'!C74</f>
        <v>Забезпечення діяльності інших закладів у сфері охорони здоров’я</v>
      </c>
      <c r="E127" s="66">
        <f t="shared" si="48"/>
        <v>2785413</v>
      </c>
      <c r="F127" s="66">
        <f>2894213-108800</f>
        <v>2785413</v>
      </c>
      <c r="G127" s="68"/>
      <c r="H127" s="68"/>
      <c r="I127" s="68"/>
      <c r="J127" s="66">
        <f t="shared" si="50"/>
        <v>0</v>
      </c>
      <c r="K127" s="66"/>
      <c r="L127" s="66"/>
      <c r="M127" s="66"/>
      <c r="N127" s="66"/>
      <c r="O127" s="66"/>
      <c r="P127" s="66">
        <f t="shared" si="49"/>
        <v>2785413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</row>
    <row r="128" spans="1:529" s="23" customFormat="1" ht="24.75" customHeight="1" x14ac:dyDescent="0.25">
      <c r="A128" s="43" t="s">
        <v>358</v>
      </c>
      <c r="B128" s="45" t="str">
        <f>'дод 4'!A75</f>
        <v>2152</v>
      </c>
      <c r="C128" s="45" t="str">
        <f>'дод 4'!B75</f>
        <v>0763</v>
      </c>
      <c r="D128" s="22" t="str">
        <f>'дод 4'!C75</f>
        <v>Інші програми та заходи у сфері охорони здоров’я</v>
      </c>
      <c r="E128" s="66">
        <f>F128+I128</f>
        <v>29753833</v>
      </c>
      <c r="F128" s="66">
        <f>18815000+3000000+7000000+625000+63490000-8000000-1500000-5930000-1883000-1950000-203567-100000-38809600-3000000-1800000</f>
        <v>29753833</v>
      </c>
      <c r="G128" s="66"/>
      <c r="H128" s="66"/>
      <c r="I128" s="66"/>
      <c r="J128" s="66">
        <f t="shared" si="50"/>
        <v>16723300</v>
      </c>
      <c r="K128" s="66">
        <f>16000000+2500000-3576700+1800000</f>
        <v>16723300</v>
      </c>
      <c r="L128" s="66"/>
      <c r="M128" s="66"/>
      <c r="N128" s="66"/>
      <c r="O128" s="66">
        <f>16000000+2500000-3576700+1800000</f>
        <v>16723300</v>
      </c>
      <c r="P128" s="66">
        <f t="shared" si="49"/>
        <v>46477133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3" customFormat="1" ht="24.75" customHeight="1" x14ac:dyDescent="0.25">
      <c r="A129" s="43" t="s">
        <v>499</v>
      </c>
      <c r="B129" s="45">
        <v>7322</v>
      </c>
      <c r="C129" s="52" t="s">
        <v>119</v>
      </c>
      <c r="D129" s="22" t="s">
        <v>305</v>
      </c>
      <c r="E129" s="66">
        <f>F129+I129</f>
        <v>0</v>
      </c>
      <c r="F129" s="66"/>
      <c r="G129" s="66"/>
      <c r="H129" s="66"/>
      <c r="I129" s="66"/>
      <c r="J129" s="66">
        <f t="shared" si="50"/>
        <v>27229570</v>
      </c>
      <c r="K129" s="66">
        <f>24880600+2348970</f>
        <v>27229570</v>
      </c>
      <c r="L129" s="66"/>
      <c r="M129" s="66"/>
      <c r="N129" s="66"/>
      <c r="O129" s="66">
        <f>24880600+2348970</f>
        <v>27229570</v>
      </c>
      <c r="P129" s="66">
        <f t="shared" si="49"/>
        <v>27229570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</row>
    <row r="130" spans="1:529" s="23" customFormat="1" ht="44.25" customHeight="1" x14ac:dyDescent="0.25">
      <c r="A130" s="43" t="s">
        <v>419</v>
      </c>
      <c r="B130" s="45">
        <f>'дод 4'!A150</f>
        <v>7361</v>
      </c>
      <c r="C130" s="45" t="str">
        <f>'дод 4'!B150</f>
        <v>0490</v>
      </c>
      <c r="D130" s="22" t="str">
        <f>'дод 4'!C150</f>
        <v>Співфінансування інвестиційних проектів, що реалізуються за рахунок коштів державного фонду регіонального розвитку</v>
      </c>
      <c r="E130" s="66">
        <f t="shared" si="48"/>
        <v>0</v>
      </c>
      <c r="F130" s="66"/>
      <c r="G130" s="66"/>
      <c r="H130" s="66"/>
      <c r="I130" s="66"/>
      <c r="J130" s="66">
        <f t="shared" si="50"/>
        <v>3307700</v>
      </c>
      <c r="K130" s="66">
        <f>3000000+307700</f>
        <v>3307700</v>
      </c>
      <c r="L130" s="66"/>
      <c r="M130" s="66"/>
      <c r="N130" s="66"/>
      <c r="O130" s="66">
        <f>3000000+307700</f>
        <v>3307700</v>
      </c>
      <c r="P130" s="66">
        <f t="shared" si="49"/>
        <v>3307700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</row>
    <row r="131" spans="1:529" s="23" customFormat="1" ht="48" customHeight="1" x14ac:dyDescent="0.25">
      <c r="A131" s="43" t="s">
        <v>512</v>
      </c>
      <c r="B131" s="45">
        <v>7363</v>
      </c>
      <c r="C131" s="52" t="s">
        <v>89</v>
      </c>
      <c r="D131" s="91" t="s">
        <v>461</v>
      </c>
      <c r="E131" s="66">
        <f t="shared" si="48"/>
        <v>0</v>
      </c>
      <c r="F131" s="66"/>
      <c r="G131" s="66"/>
      <c r="H131" s="66"/>
      <c r="I131" s="66"/>
      <c r="J131" s="66">
        <f t="shared" si="50"/>
        <v>2376052</v>
      </c>
      <c r="K131" s="66">
        <v>2376052</v>
      </c>
      <c r="L131" s="66"/>
      <c r="M131" s="66"/>
      <c r="N131" s="66"/>
      <c r="O131" s="66">
        <v>2376052</v>
      </c>
      <c r="P131" s="66">
        <f t="shared" si="49"/>
        <v>2376052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</row>
    <row r="132" spans="1:529" s="23" customFormat="1" ht="44.25" customHeight="1" x14ac:dyDescent="0.25">
      <c r="A132" s="43"/>
      <c r="B132" s="45"/>
      <c r="C132" s="45"/>
      <c r="D132" s="138" t="s">
        <v>450</v>
      </c>
      <c r="E132" s="139">
        <f t="shared" si="48"/>
        <v>0</v>
      </c>
      <c r="F132" s="139"/>
      <c r="G132" s="139"/>
      <c r="H132" s="139"/>
      <c r="I132" s="139"/>
      <c r="J132" s="139">
        <f t="shared" si="50"/>
        <v>2376052</v>
      </c>
      <c r="K132" s="139">
        <v>2376052</v>
      </c>
      <c r="L132" s="139"/>
      <c r="M132" s="139"/>
      <c r="N132" s="139"/>
      <c r="O132" s="139">
        <v>2376052</v>
      </c>
      <c r="P132" s="139">
        <f t="shared" si="49"/>
        <v>2376052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</row>
    <row r="133" spans="1:529" s="23" customFormat="1" ht="18.75" customHeight="1" x14ac:dyDescent="0.25">
      <c r="A133" s="43" t="s">
        <v>190</v>
      </c>
      <c r="B133" s="44" t="str">
        <f>'дод 4'!A167</f>
        <v>7640</v>
      </c>
      <c r="C133" s="44" t="str">
        <f>'дод 4'!B167</f>
        <v>0470</v>
      </c>
      <c r="D133" s="24" t="s">
        <v>504</v>
      </c>
      <c r="E133" s="66">
        <f t="shared" si="48"/>
        <v>229000</v>
      </c>
      <c r="F133" s="66">
        <f>30000+199000</f>
        <v>229000</v>
      </c>
      <c r="G133" s="66"/>
      <c r="H133" s="66"/>
      <c r="I133" s="66">
        <f>199000-199000</f>
        <v>0</v>
      </c>
      <c r="J133" s="66">
        <f t="shared" si="50"/>
        <v>21283561</v>
      </c>
      <c r="K133" s="66">
        <f>17559604+14714700-6500000+1200000-1100000+9670-1500000-2400000-750000+49587</f>
        <v>21283561</v>
      </c>
      <c r="L133" s="66"/>
      <c r="M133" s="66"/>
      <c r="N133" s="66"/>
      <c r="O133" s="66">
        <f>17559604+14714700-6500000+1200000-1100000+9670-1500000-2400000-750000+49587</f>
        <v>21283561</v>
      </c>
      <c r="P133" s="66">
        <f t="shared" si="49"/>
        <v>21512561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</row>
    <row r="134" spans="1:529" s="27" customFormat="1" x14ac:dyDescent="0.25">
      <c r="A134" s="140"/>
      <c r="B134" s="141"/>
      <c r="C134" s="141"/>
      <c r="D134" s="144" t="s">
        <v>505</v>
      </c>
      <c r="E134" s="139">
        <f t="shared" si="48"/>
        <v>0</v>
      </c>
      <c r="F134" s="139"/>
      <c r="G134" s="139"/>
      <c r="H134" s="139"/>
      <c r="I134" s="139"/>
      <c r="J134" s="139">
        <f t="shared" si="50"/>
        <v>14714700</v>
      </c>
      <c r="K134" s="139">
        <v>14714700</v>
      </c>
      <c r="L134" s="139"/>
      <c r="M134" s="139"/>
      <c r="N134" s="139"/>
      <c r="O134" s="139">
        <v>14714700</v>
      </c>
      <c r="P134" s="139">
        <f t="shared" si="49"/>
        <v>14714700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36"/>
      <c r="IR134" s="36"/>
      <c r="IS134" s="36"/>
      <c r="IT134" s="36"/>
      <c r="IU134" s="36"/>
      <c r="IV134" s="36"/>
      <c r="IW134" s="36"/>
      <c r="IX134" s="36"/>
      <c r="IY134" s="36"/>
      <c r="IZ134" s="36"/>
      <c r="JA134" s="36"/>
      <c r="JB134" s="36"/>
      <c r="JC134" s="36"/>
      <c r="JD134" s="36"/>
      <c r="JE134" s="36"/>
      <c r="JF134" s="36"/>
      <c r="JG134" s="36"/>
      <c r="JH134" s="36"/>
      <c r="JI134" s="36"/>
      <c r="JJ134" s="36"/>
      <c r="JK134" s="36"/>
      <c r="JL134" s="36"/>
      <c r="JM134" s="36"/>
      <c r="JN134" s="36"/>
      <c r="JO134" s="36"/>
      <c r="JP134" s="36"/>
      <c r="JQ134" s="36"/>
      <c r="JR134" s="36"/>
      <c r="JS134" s="36"/>
      <c r="JT134" s="36"/>
      <c r="JU134" s="36"/>
      <c r="JV134" s="36"/>
      <c r="JW134" s="36"/>
      <c r="JX134" s="36"/>
      <c r="JY134" s="36"/>
      <c r="JZ134" s="36"/>
      <c r="KA134" s="36"/>
      <c r="KB134" s="36"/>
      <c r="KC134" s="36"/>
      <c r="KD134" s="36"/>
      <c r="KE134" s="36"/>
      <c r="KF134" s="36"/>
      <c r="KG134" s="36"/>
      <c r="KH134" s="36"/>
      <c r="KI134" s="36"/>
      <c r="KJ134" s="36"/>
      <c r="KK134" s="36"/>
      <c r="KL134" s="36"/>
      <c r="KM134" s="36"/>
      <c r="KN134" s="36"/>
      <c r="KO134" s="36"/>
      <c r="KP134" s="36"/>
      <c r="KQ134" s="36"/>
      <c r="KR134" s="36"/>
      <c r="KS134" s="36"/>
      <c r="KT134" s="36"/>
      <c r="KU134" s="36"/>
      <c r="KV134" s="36"/>
      <c r="KW134" s="36"/>
      <c r="KX134" s="36"/>
      <c r="KY134" s="36"/>
      <c r="KZ134" s="36"/>
      <c r="LA134" s="36"/>
      <c r="LB134" s="36"/>
      <c r="LC134" s="36"/>
      <c r="LD134" s="36"/>
      <c r="LE134" s="36"/>
      <c r="LF134" s="36"/>
      <c r="LG134" s="36"/>
      <c r="LH134" s="36"/>
      <c r="LI134" s="36"/>
      <c r="LJ134" s="36"/>
      <c r="LK134" s="36"/>
      <c r="LL134" s="36"/>
      <c r="LM134" s="36"/>
      <c r="LN134" s="36"/>
      <c r="LO134" s="36"/>
      <c r="LP134" s="36"/>
      <c r="LQ134" s="36"/>
      <c r="LR134" s="36"/>
      <c r="LS134" s="36"/>
      <c r="LT134" s="36"/>
      <c r="LU134" s="36"/>
      <c r="LV134" s="36"/>
      <c r="LW134" s="36"/>
      <c r="LX134" s="36"/>
      <c r="LY134" s="36"/>
      <c r="LZ134" s="36"/>
      <c r="MA134" s="36"/>
      <c r="MB134" s="36"/>
      <c r="MC134" s="36"/>
      <c r="MD134" s="36"/>
      <c r="ME134" s="36"/>
      <c r="MF134" s="36"/>
      <c r="MG134" s="36"/>
      <c r="MH134" s="36"/>
      <c r="MI134" s="36"/>
      <c r="MJ134" s="36"/>
      <c r="MK134" s="36"/>
      <c r="ML134" s="36"/>
      <c r="MM134" s="36"/>
      <c r="MN134" s="36"/>
      <c r="MO134" s="36"/>
      <c r="MP134" s="36"/>
      <c r="MQ134" s="36"/>
      <c r="MR134" s="36"/>
      <c r="MS134" s="36"/>
      <c r="MT134" s="36"/>
      <c r="MU134" s="36"/>
      <c r="MV134" s="36"/>
      <c r="MW134" s="36"/>
      <c r="MX134" s="36"/>
      <c r="MY134" s="36"/>
      <c r="MZ134" s="36"/>
      <c r="NA134" s="36"/>
      <c r="NB134" s="36"/>
      <c r="NC134" s="36"/>
      <c r="ND134" s="36"/>
      <c r="NE134" s="36"/>
      <c r="NF134" s="36"/>
      <c r="NG134" s="36"/>
      <c r="NH134" s="36"/>
      <c r="NI134" s="36"/>
      <c r="NJ134" s="36"/>
      <c r="NK134" s="36"/>
      <c r="NL134" s="36"/>
      <c r="NM134" s="36"/>
      <c r="NN134" s="36"/>
      <c r="NO134" s="36"/>
      <c r="NP134" s="36"/>
      <c r="NQ134" s="36"/>
      <c r="NR134" s="36"/>
      <c r="NS134" s="36"/>
      <c r="NT134" s="36"/>
      <c r="NU134" s="36"/>
      <c r="NV134" s="36"/>
      <c r="NW134" s="36"/>
      <c r="NX134" s="36"/>
      <c r="NY134" s="36"/>
      <c r="NZ134" s="36"/>
      <c r="OA134" s="36"/>
      <c r="OB134" s="36"/>
      <c r="OC134" s="36"/>
      <c r="OD134" s="36"/>
      <c r="OE134" s="36"/>
      <c r="OF134" s="36"/>
      <c r="OG134" s="36"/>
      <c r="OH134" s="36"/>
      <c r="OI134" s="36"/>
      <c r="OJ134" s="36"/>
      <c r="OK134" s="36"/>
      <c r="OL134" s="36"/>
      <c r="OM134" s="36"/>
      <c r="ON134" s="36"/>
      <c r="OO134" s="36"/>
      <c r="OP134" s="36"/>
      <c r="OQ134" s="36"/>
      <c r="OR134" s="36"/>
      <c r="OS134" s="36"/>
      <c r="OT134" s="36"/>
      <c r="OU134" s="36"/>
      <c r="OV134" s="36"/>
      <c r="OW134" s="36"/>
      <c r="OX134" s="36"/>
      <c r="OY134" s="36"/>
      <c r="OZ134" s="36"/>
      <c r="PA134" s="36"/>
      <c r="PB134" s="36"/>
      <c r="PC134" s="36"/>
      <c r="PD134" s="36"/>
      <c r="PE134" s="36"/>
      <c r="PF134" s="36"/>
      <c r="PG134" s="36"/>
      <c r="PH134" s="36"/>
      <c r="PI134" s="36"/>
      <c r="PJ134" s="36"/>
      <c r="PK134" s="36"/>
      <c r="PL134" s="36"/>
      <c r="PM134" s="36"/>
      <c r="PN134" s="36"/>
      <c r="PO134" s="36"/>
      <c r="PP134" s="36"/>
      <c r="PQ134" s="36"/>
      <c r="PR134" s="36"/>
      <c r="PS134" s="36"/>
      <c r="PT134" s="36"/>
      <c r="PU134" s="36"/>
      <c r="PV134" s="36"/>
      <c r="PW134" s="36"/>
      <c r="PX134" s="36"/>
      <c r="PY134" s="36"/>
      <c r="PZ134" s="36"/>
      <c r="QA134" s="36"/>
      <c r="QB134" s="36"/>
      <c r="QC134" s="36"/>
      <c r="QD134" s="36"/>
      <c r="QE134" s="36"/>
      <c r="QF134" s="36"/>
      <c r="QG134" s="36"/>
      <c r="QH134" s="36"/>
      <c r="QI134" s="36"/>
      <c r="QJ134" s="36"/>
      <c r="QK134" s="36"/>
      <c r="QL134" s="36"/>
      <c r="QM134" s="36"/>
      <c r="QN134" s="36"/>
      <c r="QO134" s="36"/>
      <c r="QP134" s="36"/>
      <c r="QQ134" s="36"/>
      <c r="QR134" s="36"/>
      <c r="QS134" s="36"/>
      <c r="QT134" s="36"/>
      <c r="QU134" s="36"/>
      <c r="QV134" s="36"/>
      <c r="QW134" s="36"/>
      <c r="QX134" s="36"/>
      <c r="QY134" s="36"/>
      <c r="QZ134" s="36"/>
      <c r="RA134" s="36"/>
      <c r="RB134" s="36"/>
      <c r="RC134" s="36"/>
      <c r="RD134" s="36"/>
      <c r="RE134" s="36"/>
      <c r="RF134" s="36"/>
      <c r="RG134" s="36"/>
      <c r="RH134" s="36"/>
      <c r="RI134" s="36"/>
      <c r="RJ134" s="36"/>
      <c r="RK134" s="36"/>
      <c r="RL134" s="36"/>
      <c r="RM134" s="36"/>
      <c r="RN134" s="36"/>
      <c r="RO134" s="36"/>
      <c r="RP134" s="36"/>
      <c r="RQ134" s="36"/>
      <c r="RR134" s="36"/>
      <c r="RS134" s="36"/>
      <c r="RT134" s="36"/>
      <c r="RU134" s="36"/>
      <c r="RV134" s="36"/>
      <c r="RW134" s="36"/>
      <c r="RX134" s="36"/>
      <c r="RY134" s="36"/>
      <c r="RZ134" s="36"/>
      <c r="SA134" s="36"/>
      <c r="SB134" s="36"/>
      <c r="SC134" s="36"/>
      <c r="SD134" s="36"/>
      <c r="SE134" s="36"/>
      <c r="SF134" s="36"/>
      <c r="SG134" s="36"/>
      <c r="SH134" s="36"/>
      <c r="SI134" s="36"/>
      <c r="SJ134" s="36"/>
      <c r="SK134" s="36"/>
      <c r="SL134" s="36"/>
      <c r="SM134" s="36"/>
      <c r="SN134" s="36"/>
      <c r="SO134" s="36"/>
      <c r="SP134" s="36"/>
      <c r="SQ134" s="36"/>
      <c r="SR134" s="36"/>
      <c r="SS134" s="36"/>
      <c r="ST134" s="36"/>
      <c r="SU134" s="36"/>
      <c r="SV134" s="36"/>
      <c r="SW134" s="36"/>
      <c r="SX134" s="36"/>
      <c r="SY134" s="36"/>
      <c r="SZ134" s="36"/>
      <c r="TA134" s="36"/>
      <c r="TB134" s="36"/>
      <c r="TC134" s="36"/>
      <c r="TD134" s="36"/>
      <c r="TE134" s="36"/>
      <c r="TF134" s="36"/>
      <c r="TG134" s="36"/>
      <c r="TH134" s="36"/>
      <c r="TI134" s="36"/>
    </row>
    <row r="135" spans="1:529" s="23" customFormat="1" ht="45" customHeight="1" x14ac:dyDescent="0.25">
      <c r="A135" s="43" t="s">
        <v>399</v>
      </c>
      <c r="B135" s="44">
        <v>7700</v>
      </c>
      <c r="C135" s="43" t="s">
        <v>100</v>
      </c>
      <c r="D135" s="24" t="s">
        <v>400</v>
      </c>
      <c r="E135" s="66">
        <f t="shared" si="48"/>
        <v>0</v>
      </c>
      <c r="F135" s="66"/>
      <c r="G135" s="66"/>
      <c r="H135" s="66"/>
      <c r="I135" s="66"/>
      <c r="J135" s="66">
        <f t="shared" si="50"/>
        <v>885000</v>
      </c>
      <c r="K135" s="66"/>
      <c r="L135" s="66"/>
      <c r="M135" s="66"/>
      <c r="N135" s="66"/>
      <c r="O135" s="66">
        <v>885000</v>
      </c>
      <c r="P135" s="66">
        <f t="shared" si="49"/>
        <v>885000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</row>
    <row r="136" spans="1:529" s="23" customFormat="1" x14ac:dyDescent="0.25">
      <c r="A136" s="43" t="s">
        <v>526</v>
      </c>
      <c r="B136" s="44">
        <v>9770</v>
      </c>
      <c r="C136" s="43" t="s">
        <v>49</v>
      </c>
      <c r="D136" s="24" t="s">
        <v>527</v>
      </c>
      <c r="E136" s="66">
        <f t="shared" si="48"/>
        <v>0</v>
      </c>
      <c r="F136" s="66"/>
      <c r="G136" s="66"/>
      <c r="H136" s="66"/>
      <c r="I136" s="66"/>
      <c r="J136" s="66">
        <f t="shared" si="50"/>
        <v>799700</v>
      </c>
      <c r="K136" s="66">
        <v>799700</v>
      </c>
      <c r="L136" s="66"/>
      <c r="M136" s="66"/>
      <c r="N136" s="66"/>
      <c r="O136" s="66">
        <v>799700</v>
      </c>
      <c r="P136" s="66">
        <f t="shared" si="49"/>
        <v>799700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</row>
    <row r="137" spans="1:529" s="31" customFormat="1" ht="36" customHeight="1" x14ac:dyDescent="0.2">
      <c r="A137" s="174" t="s">
        <v>195</v>
      </c>
      <c r="B137" s="71"/>
      <c r="C137" s="71"/>
      <c r="D137" s="30" t="s">
        <v>42</v>
      </c>
      <c r="E137" s="63">
        <f>E138</f>
        <v>160949170.40000001</v>
      </c>
      <c r="F137" s="63">
        <f t="shared" ref="F137:J137" si="51">F138</f>
        <v>160949170.40000001</v>
      </c>
      <c r="G137" s="63">
        <f t="shared" si="51"/>
        <v>55411625</v>
      </c>
      <c r="H137" s="63">
        <f t="shared" si="51"/>
        <v>1564490</v>
      </c>
      <c r="I137" s="63">
        <f t="shared" si="51"/>
        <v>0</v>
      </c>
      <c r="J137" s="63">
        <f t="shared" si="51"/>
        <v>1429877</v>
      </c>
      <c r="K137" s="63">
        <f t="shared" ref="K137" si="52">K138</f>
        <v>1321777</v>
      </c>
      <c r="L137" s="63">
        <f t="shared" ref="L137" si="53">L138</f>
        <v>108100</v>
      </c>
      <c r="M137" s="63">
        <f t="shared" ref="M137" si="54">M138</f>
        <v>85100</v>
      </c>
      <c r="N137" s="63">
        <f t="shared" ref="N137" si="55">N138</f>
        <v>0</v>
      </c>
      <c r="O137" s="63">
        <f t="shared" ref="O137:P137" si="56">O138</f>
        <v>1321777</v>
      </c>
      <c r="P137" s="63">
        <f t="shared" si="56"/>
        <v>162379047.40000001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  <c r="IW137" s="38"/>
      <c r="IX137" s="38"/>
      <c r="IY137" s="38"/>
      <c r="IZ137" s="38"/>
      <c r="JA137" s="38"/>
      <c r="JB137" s="38"/>
      <c r="JC137" s="38"/>
      <c r="JD137" s="38"/>
      <c r="JE137" s="38"/>
      <c r="JF137" s="38"/>
      <c r="JG137" s="38"/>
      <c r="JH137" s="38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T137" s="38"/>
      <c r="JU137" s="38"/>
      <c r="JV137" s="38"/>
      <c r="JW137" s="38"/>
      <c r="JX137" s="38"/>
      <c r="JY137" s="38"/>
      <c r="JZ137" s="38"/>
      <c r="KA137" s="38"/>
      <c r="KB137" s="38"/>
      <c r="KC137" s="38"/>
      <c r="KD137" s="38"/>
      <c r="KE137" s="38"/>
      <c r="KF137" s="38"/>
      <c r="KG137" s="38"/>
      <c r="KH137" s="38"/>
      <c r="KI137" s="38"/>
      <c r="KJ137" s="38"/>
      <c r="KK137" s="38"/>
      <c r="KL137" s="38"/>
      <c r="KM137" s="38"/>
      <c r="KN137" s="38"/>
      <c r="KO137" s="38"/>
      <c r="KP137" s="38"/>
      <c r="KQ137" s="38"/>
      <c r="KR137" s="38"/>
      <c r="KS137" s="38"/>
      <c r="KT137" s="38"/>
      <c r="KU137" s="38"/>
      <c r="KV137" s="38"/>
      <c r="KW137" s="38"/>
      <c r="KX137" s="38"/>
      <c r="KY137" s="38"/>
      <c r="KZ137" s="38"/>
      <c r="LA137" s="38"/>
      <c r="LB137" s="38"/>
      <c r="LC137" s="38"/>
      <c r="LD137" s="38"/>
      <c r="LE137" s="38"/>
      <c r="LF137" s="38"/>
      <c r="LG137" s="38"/>
      <c r="LH137" s="38"/>
      <c r="LI137" s="38"/>
      <c r="LJ137" s="38"/>
      <c r="LK137" s="38"/>
      <c r="LL137" s="38"/>
      <c r="LM137" s="38"/>
      <c r="LN137" s="38"/>
      <c r="LO137" s="38"/>
      <c r="LP137" s="38"/>
      <c r="LQ137" s="38"/>
      <c r="LR137" s="38"/>
      <c r="LS137" s="38"/>
      <c r="LT137" s="38"/>
      <c r="LU137" s="38"/>
      <c r="LV137" s="38"/>
      <c r="LW137" s="38"/>
      <c r="LX137" s="38"/>
      <c r="LY137" s="38"/>
      <c r="LZ137" s="38"/>
      <c r="MA137" s="38"/>
      <c r="MB137" s="38"/>
      <c r="MC137" s="38"/>
      <c r="MD137" s="38"/>
      <c r="ME137" s="38"/>
      <c r="MF137" s="38"/>
      <c r="MG137" s="38"/>
      <c r="MH137" s="38"/>
      <c r="MI137" s="38"/>
      <c r="MJ137" s="38"/>
      <c r="MK137" s="38"/>
      <c r="ML137" s="38"/>
      <c r="MM137" s="38"/>
      <c r="MN137" s="38"/>
      <c r="MO137" s="38"/>
      <c r="MP137" s="38"/>
      <c r="MQ137" s="38"/>
      <c r="MR137" s="38"/>
      <c r="MS137" s="38"/>
      <c r="MT137" s="38"/>
      <c r="MU137" s="38"/>
      <c r="MV137" s="38"/>
      <c r="MW137" s="38"/>
      <c r="MX137" s="38"/>
      <c r="MY137" s="38"/>
      <c r="MZ137" s="38"/>
      <c r="NA137" s="38"/>
      <c r="NB137" s="38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38"/>
      <c r="OI137" s="38"/>
      <c r="OJ137" s="38"/>
      <c r="OK137" s="38"/>
      <c r="OL137" s="38"/>
      <c r="OM137" s="38"/>
      <c r="ON137" s="38"/>
      <c r="OO137" s="38"/>
      <c r="OP137" s="38"/>
      <c r="OQ137" s="38"/>
      <c r="OR137" s="38"/>
      <c r="OS137" s="38"/>
      <c r="OT137" s="38"/>
      <c r="OU137" s="38"/>
      <c r="OV137" s="38"/>
      <c r="OW137" s="38"/>
      <c r="OX137" s="38"/>
      <c r="OY137" s="38"/>
      <c r="OZ137" s="38"/>
      <c r="PA137" s="38"/>
      <c r="PB137" s="38"/>
      <c r="PC137" s="38"/>
      <c r="PD137" s="38"/>
      <c r="PE137" s="38"/>
      <c r="PF137" s="38"/>
      <c r="PG137" s="38"/>
      <c r="PH137" s="38"/>
      <c r="PI137" s="38"/>
      <c r="PJ137" s="38"/>
      <c r="PK137" s="38"/>
      <c r="PL137" s="38"/>
      <c r="PM137" s="38"/>
      <c r="PN137" s="38"/>
      <c r="PO137" s="38"/>
      <c r="PP137" s="38"/>
      <c r="PQ137" s="38"/>
      <c r="PR137" s="38"/>
      <c r="PS137" s="38"/>
      <c r="PT137" s="38"/>
      <c r="PU137" s="38"/>
      <c r="PV137" s="38"/>
      <c r="PW137" s="38"/>
      <c r="PX137" s="38"/>
      <c r="PY137" s="38"/>
      <c r="PZ137" s="38"/>
      <c r="QA137" s="38"/>
      <c r="QB137" s="38"/>
      <c r="QC137" s="38"/>
      <c r="QD137" s="38"/>
      <c r="QE137" s="38"/>
      <c r="QF137" s="38"/>
      <c r="QG137" s="38"/>
      <c r="QH137" s="38"/>
      <c r="QI137" s="38"/>
      <c r="QJ137" s="38"/>
      <c r="QK137" s="38"/>
      <c r="QL137" s="38"/>
      <c r="QM137" s="38"/>
      <c r="QN137" s="38"/>
      <c r="QO137" s="38"/>
      <c r="QP137" s="38"/>
      <c r="QQ137" s="38"/>
      <c r="QR137" s="38"/>
      <c r="QS137" s="38"/>
      <c r="QT137" s="38"/>
      <c r="QU137" s="38"/>
      <c r="QV137" s="38"/>
      <c r="QW137" s="38"/>
      <c r="QX137" s="38"/>
      <c r="QY137" s="38"/>
      <c r="QZ137" s="38"/>
      <c r="RA137" s="38"/>
      <c r="RB137" s="38"/>
      <c r="RC137" s="38"/>
      <c r="RD137" s="38"/>
      <c r="RE137" s="38"/>
      <c r="RF137" s="38"/>
      <c r="RG137" s="38"/>
      <c r="RH137" s="38"/>
      <c r="RI137" s="38"/>
      <c r="RJ137" s="38"/>
      <c r="RK137" s="38"/>
      <c r="RL137" s="38"/>
      <c r="RM137" s="38"/>
      <c r="RN137" s="38"/>
      <c r="RO137" s="38"/>
      <c r="RP137" s="38"/>
      <c r="RQ137" s="38"/>
      <c r="RR137" s="38"/>
      <c r="RS137" s="38"/>
      <c r="RT137" s="38"/>
      <c r="RU137" s="38"/>
      <c r="RV137" s="38"/>
      <c r="RW137" s="38"/>
      <c r="RX137" s="38"/>
      <c r="RY137" s="38"/>
      <c r="RZ137" s="38"/>
      <c r="SA137" s="38"/>
      <c r="SB137" s="38"/>
      <c r="SC137" s="38"/>
      <c r="SD137" s="38"/>
      <c r="SE137" s="38"/>
      <c r="SF137" s="38"/>
      <c r="SG137" s="38"/>
      <c r="SH137" s="38"/>
      <c r="SI137" s="38"/>
      <c r="SJ137" s="38"/>
      <c r="SK137" s="38"/>
      <c r="SL137" s="38"/>
      <c r="SM137" s="38"/>
      <c r="SN137" s="38"/>
      <c r="SO137" s="38"/>
      <c r="SP137" s="38"/>
      <c r="SQ137" s="38"/>
      <c r="SR137" s="38"/>
      <c r="SS137" s="38"/>
      <c r="ST137" s="38"/>
      <c r="SU137" s="38"/>
      <c r="SV137" s="38"/>
      <c r="SW137" s="38"/>
      <c r="SX137" s="38"/>
      <c r="SY137" s="38"/>
      <c r="SZ137" s="38"/>
      <c r="TA137" s="38"/>
      <c r="TB137" s="38"/>
      <c r="TC137" s="38"/>
      <c r="TD137" s="38"/>
      <c r="TE137" s="38"/>
      <c r="TF137" s="38"/>
      <c r="TG137" s="38"/>
      <c r="TH137" s="38"/>
      <c r="TI137" s="38"/>
    </row>
    <row r="138" spans="1:529" s="40" customFormat="1" ht="32.25" customHeight="1" x14ac:dyDescent="0.25">
      <c r="A138" s="73" t="s">
        <v>196</v>
      </c>
      <c r="B138" s="72"/>
      <c r="C138" s="72"/>
      <c r="D138" s="33" t="s">
        <v>456</v>
      </c>
      <c r="E138" s="65">
        <f>E142+E143+E144+E145+E147+E148+E149+E151+E153+E154+E155+E157+E159+E160+E161+E162+E163+E164+E166+E168+E169+E171+E172</f>
        <v>160949170.40000001</v>
      </c>
      <c r="F138" s="65">
        <f t="shared" ref="F138:P138" si="57">F142+F143+F144+F145+F147+F148+F149+F151+F153+F154+F155+F157+F159+F160+F161+F162+F163+F164+F166+F168+F169+F171+F172</f>
        <v>160949170.40000001</v>
      </c>
      <c r="G138" s="65">
        <f t="shared" si="57"/>
        <v>55411625</v>
      </c>
      <c r="H138" s="65">
        <f t="shared" si="57"/>
        <v>1564490</v>
      </c>
      <c r="I138" s="65">
        <f t="shared" si="57"/>
        <v>0</v>
      </c>
      <c r="J138" s="65">
        <f t="shared" si="57"/>
        <v>1429877</v>
      </c>
      <c r="K138" s="65">
        <f t="shared" si="57"/>
        <v>1321777</v>
      </c>
      <c r="L138" s="65">
        <f t="shared" si="57"/>
        <v>108100</v>
      </c>
      <c r="M138" s="65">
        <f t="shared" si="57"/>
        <v>85100</v>
      </c>
      <c r="N138" s="65">
        <f t="shared" si="57"/>
        <v>0</v>
      </c>
      <c r="O138" s="65">
        <f t="shared" si="57"/>
        <v>1321777</v>
      </c>
      <c r="P138" s="65">
        <f t="shared" si="57"/>
        <v>162379047.40000001</v>
      </c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  <c r="OE138" s="39"/>
      <c r="OF138" s="39"/>
      <c r="OG138" s="39"/>
      <c r="OH138" s="39"/>
      <c r="OI138" s="39"/>
      <c r="OJ138" s="39"/>
      <c r="OK138" s="39"/>
      <c r="OL138" s="39"/>
      <c r="OM138" s="39"/>
      <c r="ON138" s="39"/>
      <c r="OO138" s="39"/>
      <c r="OP138" s="39"/>
      <c r="OQ138" s="39"/>
      <c r="OR138" s="39"/>
      <c r="OS138" s="39"/>
      <c r="OT138" s="39"/>
      <c r="OU138" s="39"/>
      <c r="OV138" s="39"/>
      <c r="OW138" s="39"/>
      <c r="OX138" s="39"/>
      <c r="OY138" s="39"/>
      <c r="OZ138" s="39"/>
      <c r="PA138" s="39"/>
      <c r="PB138" s="39"/>
      <c r="PC138" s="39"/>
      <c r="PD138" s="39"/>
      <c r="PE138" s="39"/>
      <c r="PF138" s="39"/>
      <c r="PG138" s="39"/>
      <c r="PH138" s="39"/>
      <c r="PI138" s="39"/>
      <c r="PJ138" s="39"/>
      <c r="PK138" s="39"/>
      <c r="PL138" s="39"/>
      <c r="PM138" s="39"/>
      <c r="PN138" s="39"/>
      <c r="PO138" s="39"/>
      <c r="PP138" s="39"/>
      <c r="PQ138" s="39"/>
      <c r="PR138" s="39"/>
      <c r="PS138" s="39"/>
      <c r="PT138" s="39"/>
      <c r="PU138" s="39"/>
      <c r="PV138" s="39"/>
      <c r="PW138" s="39"/>
      <c r="PX138" s="39"/>
      <c r="PY138" s="39"/>
      <c r="PZ138" s="39"/>
      <c r="QA138" s="39"/>
      <c r="QB138" s="39"/>
      <c r="QC138" s="39"/>
      <c r="QD138" s="39"/>
      <c r="QE138" s="39"/>
      <c r="QF138" s="39"/>
      <c r="QG138" s="39"/>
      <c r="QH138" s="39"/>
      <c r="QI138" s="39"/>
      <c r="QJ138" s="39"/>
      <c r="QK138" s="39"/>
      <c r="QL138" s="39"/>
      <c r="QM138" s="39"/>
      <c r="QN138" s="39"/>
      <c r="QO138" s="39"/>
      <c r="QP138" s="39"/>
      <c r="QQ138" s="39"/>
      <c r="QR138" s="39"/>
      <c r="QS138" s="39"/>
      <c r="QT138" s="39"/>
      <c r="QU138" s="39"/>
      <c r="QV138" s="39"/>
      <c r="QW138" s="39"/>
      <c r="QX138" s="39"/>
      <c r="QY138" s="39"/>
      <c r="QZ138" s="39"/>
      <c r="RA138" s="39"/>
      <c r="RB138" s="39"/>
      <c r="RC138" s="39"/>
      <c r="RD138" s="39"/>
      <c r="RE138" s="39"/>
      <c r="RF138" s="39"/>
      <c r="RG138" s="39"/>
      <c r="RH138" s="39"/>
      <c r="RI138" s="39"/>
      <c r="RJ138" s="39"/>
      <c r="RK138" s="39"/>
      <c r="RL138" s="39"/>
      <c r="RM138" s="39"/>
      <c r="RN138" s="39"/>
      <c r="RO138" s="39"/>
      <c r="RP138" s="39"/>
      <c r="RQ138" s="39"/>
      <c r="RR138" s="39"/>
      <c r="RS138" s="39"/>
      <c r="RT138" s="39"/>
      <c r="RU138" s="39"/>
      <c r="RV138" s="39"/>
      <c r="RW138" s="39"/>
      <c r="RX138" s="39"/>
      <c r="RY138" s="39"/>
      <c r="RZ138" s="39"/>
      <c r="SA138" s="39"/>
      <c r="SB138" s="39"/>
      <c r="SC138" s="39"/>
      <c r="SD138" s="39"/>
      <c r="SE138" s="39"/>
      <c r="SF138" s="39"/>
      <c r="SG138" s="39"/>
      <c r="SH138" s="39"/>
      <c r="SI138" s="39"/>
      <c r="SJ138" s="39"/>
      <c r="SK138" s="39"/>
      <c r="SL138" s="39"/>
      <c r="SM138" s="39"/>
      <c r="SN138" s="39"/>
      <c r="SO138" s="39"/>
      <c r="SP138" s="39"/>
      <c r="SQ138" s="39"/>
      <c r="SR138" s="39"/>
      <c r="SS138" s="39"/>
      <c r="ST138" s="39"/>
      <c r="SU138" s="39"/>
      <c r="SV138" s="39"/>
      <c r="SW138" s="39"/>
      <c r="SX138" s="39"/>
      <c r="SY138" s="39"/>
      <c r="SZ138" s="39"/>
      <c r="TA138" s="39"/>
      <c r="TB138" s="39"/>
      <c r="TC138" s="39"/>
      <c r="TD138" s="39"/>
      <c r="TE138" s="39"/>
      <c r="TF138" s="39"/>
      <c r="TG138" s="39"/>
      <c r="TH138" s="39"/>
      <c r="TI138" s="39"/>
    </row>
    <row r="139" spans="1:529" s="40" customFormat="1" x14ac:dyDescent="0.25">
      <c r="A139" s="73"/>
      <c r="B139" s="72"/>
      <c r="C139" s="72"/>
      <c r="D139" s="33" t="s">
        <v>457</v>
      </c>
      <c r="E139" s="65">
        <f>E146+E150+E152+E156+E158+E170</f>
        <v>4018766.9</v>
      </c>
      <c r="F139" s="65">
        <f t="shared" ref="F139:P139" si="58">F146+F150+F152+F156+F158+F170</f>
        <v>4018766.9</v>
      </c>
      <c r="G139" s="65">
        <f t="shared" si="58"/>
        <v>0</v>
      </c>
      <c r="H139" s="65">
        <f t="shared" si="58"/>
        <v>0</v>
      </c>
      <c r="I139" s="65">
        <f t="shared" si="58"/>
        <v>0</v>
      </c>
      <c r="J139" s="65">
        <f t="shared" si="58"/>
        <v>0</v>
      </c>
      <c r="K139" s="65">
        <f t="shared" si="58"/>
        <v>0</v>
      </c>
      <c r="L139" s="65">
        <f t="shared" si="58"/>
        <v>0</v>
      </c>
      <c r="M139" s="65">
        <f t="shared" si="58"/>
        <v>0</v>
      </c>
      <c r="N139" s="65">
        <f t="shared" si="58"/>
        <v>0</v>
      </c>
      <c r="O139" s="65">
        <f t="shared" si="58"/>
        <v>0</v>
      </c>
      <c r="P139" s="65">
        <f t="shared" si="58"/>
        <v>4018766.9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39"/>
      <c r="OJ139" s="39"/>
      <c r="OK139" s="39"/>
      <c r="OL139" s="39"/>
      <c r="OM139" s="39"/>
      <c r="ON139" s="39"/>
      <c r="OO139" s="39"/>
      <c r="OP139" s="39"/>
      <c r="OQ139" s="39"/>
      <c r="OR139" s="39"/>
      <c r="OS139" s="39"/>
      <c r="OT139" s="39"/>
      <c r="OU139" s="39"/>
      <c r="OV139" s="39"/>
      <c r="OW139" s="39"/>
      <c r="OX139" s="39"/>
      <c r="OY139" s="39"/>
      <c r="OZ139" s="39"/>
      <c r="PA139" s="39"/>
      <c r="PB139" s="39"/>
      <c r="PC139" s="39"/>
      <c r="PD139" s="39"/>
      <c r="PE139" s="39"/>
      <c r="PF139" s="39"/>
      <c r="PG139" s="39"/>
      <c r="PH139" s="39"/>
      <c r="PI139" s="39"/>
      <c r="PJ139" s="39"/>
      <c r="PK139" s="39"/>
      <c r="PL139" s="39"/>
      <c r="PM139" s="39"/>
      <c r="PN139" s="39"/>
      <c r="PO139" s="39"/>
      <c r="PP139" s="39"/>
      <c r="PQ139" s="39"/>
      <c r="PR139" s="39"/>
      <c r="PS139" s="39"/>
      <c r="PT139" s="39"/>
      <c r="PU139" s="39"/>
      <c r="PV139" s="39"/>
      <c r="PW139" s="39"/>
      <c r="PX139" s="39"/>
      <c r="PY139" s="39"/>
      <c r="PZ139" s="39"/>
      <c r="QA139" s="39"/>
      <c r="QB139" s="39"/>
      <c r="QC139" s="39"/>
      <c r="QD139" s="39"/>
      <c r="QE139" s="39"/>
      <c r="QF139" s="39"/>
      <c r="QG139" s="39"/>
      <c r="QH139" s="39"/>
      <c r="QI139" s="39"/>
      <c r="QJ139" s="39"/>
      <c r="QK139" s="39"/>
      <c r="QL139" s="39"/>
      <c r="QM139" s="39"/>
      <c r="QN139" s="39"/>
      <c r="QO139" s="39"/>
      <c r="QP139" s="39"/>
      <c r="QQ139" s="39"/>
      <c r="QR139" s="39"/>
      <c r="QS139" s="39"/>
      <c r="QT139" s="39"/>
      <c r="QU139" s="39"/>
      <c r="QV139" s="39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39"/>
      <c r="RH139" s="39"/>
      <c r="RI139" s="39"/>
      <c r="RJ139" s="39"/>
      <c r="RK139" s="39"/>
      <c r="RL139" s="39"/>
      <c r="RM139" s="39"/>
      <c r="RN139" s="39"/>
      <c r="RO139" s="39"/>
      <c r="RP139" s="39"/>
      <c r="RQ139" s="39"/>
      <c r="RR139" s="39"/>
      <c r="RS139" s="39"/>
      <c r="RT139" s="39"/>
      <c r="RU139" s="39"/>
      <c r="RV139" s="39"/>
      <c r="RW139" s="39"/>
      <c r="RX139" s="39"/>
      <c r="RY139" s="39"/>
      <c r="RZ139" s="39"/>
      <c r="SA139" s="39"/>
      <c r="SB139" s="39"/>
      <c r="SC139" s="39"/>
      <c r="SD139" s="39"/>
      <c r="SE139" s="39"/>
      <c r="SF139" s="39"/>
      <c r="SG139" s="39"/>
      <c r="SH139" s="39"/>
      <c r="SI139" s="39"/>
      <c r="SJ139" s="39"/>
      <c r="SK139" s="39"/>
      <c r="SL139" s="39"/>
      <c r="SM139" s="39"/>
      <c r="SN139" s="39"/>
      <c r="SO139" s="39"/>
      <c r="SP139" s="39"/>
      <c r="SQ139" s="39"/>
      <c r="SR139" s="39"/>
      <c r="SS139" s="39"/>
      <c r="ST139" s="39"/>
      <c r="SU139" s="39"/>
      <c r="SV139" s="39"/>
      <c r="SW139" s="39"/>
      <c r="SX139" s="39"/>
      <c r="SY139" s="39"/>
      <c r="SZ139" s="39"/>
      <c r="TA139" s="39"/>
      <c r="TB139" s="39"/>
      <c r="TC139" s="39"/>
      <c r="TD139" s="39"/>
      <c r="TE139" s="39"/>
      <c r="TF139" s="39"/>
      <c r="TG139" s="39"/>
      <c r="TH139" s="39"/>
      <c r="TI139" s="39"/>
    </row>
    <row r="140" spans="1:529" s="27" customFormat="1" ht="267" hidden="1" customHeight="1" x14ac:dyDescent="0.25">
      <c r="A140" s="140"/>
      <c r="B140" s="141"/>
      <c r="C140" s="141"/>
      <c r="D140" s="33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36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36"/>
      <c r="RI140" s="36"/>
      <c r="RJ140" s="36"/>
      <c r="RK140" s="36"/>
      <c r="RL140" s="36"/>
      <c r="RM140" s="36"/>
      <c r="RN140" s="36"/>
      <c r="RO140" s="36"/>
      <c r="RP140" s="36"/>
      <c r="RQ140" s="36"/>
      <c r="RR140" s="36"/>
      <c r="RS140" s="36"/>
      <c r="RT140" s="36"/>
      <c r="RU140" s="36"/>
      <c r="RV140" s="36"/>
      <c r="RW140" s="36"/>
      <c r="RX140" s="36"/>
      <c r="RY140" s="36"/>
      <c r="RZ140" s="36"/>
      <c r="SA140" s="36"/>
      <c r="SB140" s="36"/>
      <c r="SC140" s="36"/>
      <c r="SD140" s="36"/>
      <c r="SE140" s="36"/>
      <c r="SF140" s="36"/>
      <c r="SG140" s="36"/>
      <c r="SH140" s="36"/>
      <c r="SI140" s="36"/>
      <c r="SJ140" s="36"/>
      <c r="SK140" s="36"/>
      <c r="SL140" s="36"/>
      <c r="SM140" s="36"/>
      <c r="SN140" s="36"/>
      <c r="SO140" s="36"/>
      <c r="SP140" s="36"/>
      <c r="SQ140" s="36"/>
      <c r="SR140" s="36"/>
      <c r="SS140" s="36"/>
      <c r="ST140" s="36"/>
      <c r="SU140" s="36"/>
      <c r="SV140" s="36"/>
      <c r="SW140" s="36"/>
      <c r="SX140" s="36"/>
      <c r="SY140" s="36"/>
      <c r="SZ140" s="36"/>
      <c r="TA140" s="36"/>
      <c r="TB140" s="36"/>
      <c r="TC140" s="36"/>
      <c r="TD140" s="36"/>
      <c r="TE140" s="36"/>
      <c r="TF140" s="36"/>
      <c r="TG140" s="36"/>
      <c r="TH140" s="36"/>
      <c r="TI140" s="36"/>
    </row>
    <row r="141" spans="1:529" s="27" customFormat="1" ht="222.75" hidden="1" customHeight="1" x14ac:dyDescent="0.25">
      <c r="A141" s="140"/>
      <c r="B141" s="141"/>
      <c r="C141" s="141"/>
      <c r="D141" s="33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6"/>
      <c r="MA141" s="36"/>
      <c r="MB141" s="36"/>
      <c r="MC141" s="36"/>
      <c r="MD141" s="36"/>
      <c r="ME141" s="36"/>
      <c r="MF141" s="36"/>
      <c r="MG141" s="36"/>
      <c r="MH141" s="36"/>
      <c r="MI141" s="36"/>
      <c r="MJ141" s="36"/>
      <c r="MK141" s="36"/>
      <c r="ML141" s="36"/>
      <c r="MM141" s="36"/>
      <c r="MN141" s="36"/>
      <c r="MO141" s="36"/>
      <c r="MP141" s="36"/>
      <c r="MQ141" s="36"/>
      <c r="MR141" s="36"/>
      <c r="MS141" s="36"/>
      <c r="MT141" s="36"/>
      <c r="MU141" s="36"/>
      <c r="MV141" s="36"/>
      <c r="MW141" s="36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36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36"/>
      <c r="RH141" s="36"/>
      <c r="RI141" s="36"/>
      <c r="RJ141" s="36"/>
      <c r="RK141" s="36"/>
      <c r="RL141" s="36"/>
      <c r="RM141" s="36"/>
      <c r="RN141" s="36"/>
      <c r="RO141" s="36"/>
      <c r="RP141" s="36"/>
      <c r="RQ141" s="36"/>
      <c r="RR141" s="36"/>
      <c r="RS141" s="36"/>
      <c r="RT141" s="36"/>
      <c r="RU141" s="36"/>
      <c r="RV141" s="36"/>
      <c r="RW141" s="36"/>
      <c r="RX141" s="36"/>
      <c r="RY141" s="36"/>
      <c r="RZ141" s="36"/>
      <c r="SA141" s="36"/>
      <c r="SB141" s="36"/>
      <c r="SC141" s="36"/>
      <c r="SD141" s="36"/>
      <c r="SE141" s="36"/>
      <c r="SF141" s="36"/>
      <c r="SG141" s="36"/>
      <c r="SH141" s="36"/>
      <c r="SI141" s="36"/>
      <c r="SJ141" s="36"/>
      <c r="SK141" s="36"/>
      <c r="SL141" s="36"/>
      <c r="SM141" s="36"/>
      <c r="SN141" s="36"/>
      <c r="SO141" s="36"/>
      <c r="SP141" s="36"/>
      <c r="SQ141" s="36"/>
      <c r="SR141" s="36"/>
      <c r="SS141" s="36"/>
      <c r="ST141" s="36"/>
      <c r="SU141" s="36"/>
      <c r="SV141" s="36"/>
      <c r="SW141" s="36"/>
      <c r="SX141" s="36"/>
      <c r="SY141" s="36"/>
      <c r="SZ141" s="36"/>
      <c r="TA141" s="36"/>
      <c r="TB141" s="36"/>
      <c r="TC141" s="36"/>
      <c r="TD141" s="36"/>
      <c r="TE141" s="36"/>
      <c r="TF141" s="36"/>
      <c r="TG141" s="36"/>
      <c r="TH141" s="36"/>
      <c r="TI141" s="36"/>
    </row>
    <row r="142" spans="1:529" s="23" customFormat="1" ht="45.75" customHeight="1" x14ac:dyDescent="0.25">
      <c r="A142" s="43" t="s">
        <v>197</v>
      </c>
      <c r="B142" s="44" t="str">
        <f>'дод 4'!A20</f>
        <v>0160</v>
      </c>
      <c r="C142" s="44" t="str">
        <f>'дод 4'!B20</f>
        <v>0111</v>
      </c>
      <c r="D14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42" s="66">
        <f t="shared" ref="E142:E172" si="59">F142+I142</f>
        <v>53417040</v>
      </c>
      <c r="F142" s="66">
        <f>55432800+254000-2496600+234900-104000+69540+26400</f>
        <v>53417040</v>
      </c>
      <c r="G142" s="66">
        <f>43728800-2046400-85200</f>
        <v>41597200</v>
      </c>
      <c r="H142" s="66">
        <v>841800</v>
      </c>
      <c r="I142" s="66"/>
      <c r="J142" s="66">
        <f>L142+O142</f>
        <v>0</v>
      </c>
      <c r="K142" s="66"/>
      <c r="L142" s="66"/>
      <c r="M142" s="66"/>
      <c r="N142" s="66"/>
      <c r="O142" s="66"/>
      <c r="P142" s="66">
        <f t="shared" ref="P142:P172" si="60">E142+J142</f>
        <v>53417040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</row>
    <row r="143" spans="1:529" s="26" customFormat="1" ht="36" customHeight="1" x14ac:dyDescent="0.25">
      <c r="A143" s="43" t="s">
        <v>198</v>
      </c>
      <c r="B143" s="44" t="str">
        <f>'дод 4'!A80</f>
        <v>3031</v>
      </c>
      <c r="C143" s="44" t="str">
        <f>'дод 4'!B80</f>
        <v>1030</v>
      </c>
      <c r="D143" s="24" t="str">
        <f>'дод 4'!C80</f>
        <v>Надання інших пільг окремим категоріям громадян відповідно до законодавства</v>
      </c>
      <c r="E143" s="66">
        <f t="shared" si="59"/>
        <v>582400</v>
      </c>
      <c r="F143" s="66">
        <v>582400</v>
      </c>
      <c r="G143" s="66"/>
      <c r="H143" s="66"/>
      <c r="I143" s="66"/>
      <c r="J143" s="66">
        <f t="shared" ref="J143:J163" si="61">L143+O143</f>
        <v>0</v>
      </c>
      <c r="K143" s="66">
        <f>232600-190600-42000</f>
        <v>0</v>
      </c>
      <c r="L143" s="66"/>
      <c r="M143" s="66"/>
      <c r="N143" s="66"/>
      <c r="O143" s="66">
        <f>232600-190600-42000</f>
        <v>0</v>
      </c>
      <c r="P143" s="66">
        <f t="shared" si="60"/>
        <v>582400</v>
      </c>
    </row>
    <row r="144" spans="1:529" s="26" customFormat="1" ht="33" customHeight="1" x14ac:dyDescent="0.25">
      <c r="A144" s="43" t="s">
        <v>199</v>
      </c>
      <c r="B144" s="44" t="str">
        <f>'дод 4'!A81</f>
        <v>3032</v>
      </c>
      <c r="C144" s="44" t="str">
        <f>'дод 4'!B81</f>
        <v>1070</v>
      </c>
      <c r="D144" s="24" t="str">
        <f>'дод 4'!C81</f>
        <v>Надання пільг окремим категоріям громадян з оплати послуг зв'язку</v>
      </c>
      <c r="E144" s="66">
        <f t="shared" si="59"/>
        <v>1225635</v>
      </c>
      <c r="F144" s="66">
        <f>1300000-4876-35230-34259</f>
        <v>1225635</v>
      </c>
      <c r="G144" s="66"/>
      <c r="H144" s="66"/>
      <c r="I144" s="66"/>
      <c r="J144" s="66">
        <f t="shared" si="61"/>
        <v>0</v>
      </c>
      <c r="K144" s="66"/>
      <c r="L144" s="66"/>
      <c r="M144" s="66"/>
      <c r="N144" s="66"/>
      <c r="O144" s="66"/>
      <c r="P144" s="66">
        <f t="shared" si="60"/>
        <v>1225635</v>
      </c>
    </row>
    <row r="145" spans="1:529" s="26" customFormat="1" ht="48.75" customHeight="1" x14ac:dyDescent="0.25">
      <c r="A145" s="43" t="s">
        <v>387</v>
      </c>
      <c r="B145" s="44" t="str">
        <f>'дод 4'!A82</f>
        <v>3033</v>
      </c>
      <c r="C145" s="44" t="str">
        <f>'дод 4'!B82</f>
        <v>1070</v>
      </c>
      <c r="D145" s="24" t="str">
        <f>'дод 4'!C82</f>
        <v>Компенсаційні виплати на пільговий проїзд автомобільним транспортом окремим категоріям громадян, у т.ч. за рахунок:</v>
      </c>
      <c r="E145" s="66">
        <f t="shared" si="59"/>
        <v>16042081.899999999</v>
      </c>
      <c r="F145" s="66">
        <f>24500000+97100+2184757.11+39906.02-2800000+38618.77-7902000-116300</f>
        <v>16042081.899999999</v>
      </c>
      <c r="G145" s="66"/>
      <c r="H145" s="66"/>
      <c r="I145" s="66"/>
      <c r="J145" s="66">
        <f t="shared" si="61"/>
        <v>0</v>
      </c>
      <c r="K145" s="66"/>
      <c r="L145" s="66"/>
      <c r="M145" s="66"/>
      <c r="N145" s="66"/>
      <c r="O145" s="66"/>
      <c r="P145" s="66">
        <f t="shared" si="60"/>
        <v>16042081.899999999</v>
      </c>
    </row>
    <row r="146" spans="1:529" s="36" customFormat="1" x14ac:dyDescent="0.25">
      <c r="A146" s="140"/>
      <c r="B146" s="141"/>
      <c r="C146" s="141"/>
      <c r="D146" s="144" t="s">
        <v>455</v>
      </c>
      <c r="E146" s="139">
        <f t="shared" si="59"/>
        <v>2360381.9</v>
      </c>
      <c r="F146" s="139">
        <f>1956075.13+365688+38618.77</f>
        <v>2360381.9</v>
      </c>
      <c r="G146" s="139"/>
      <c r="H146" s="139"/>
      <c r="I146" s="139"/>
      <c r="J146" s="139">
        <f t="shared" si="61"/>
        <v>0</v>
      </c>
      <c r="K146" s="139"/>
      <c r="L146" s="139"/>
      <c r="M146" s="139"/>
      <c r="N146" s="139"/>
      <c r="O146" s="139"/>
      <c r="P146" s="139">
        <f t="shared" si="60"/>
        <v>2360381.9</v>
      </c>
    </row>
    <row r="147" spans="1:529" s="26" customFormat="1" ht="30" x14ac:dyDescent="0.25">
      <c r="A147" s="43" t="s">
        <v>356</v>
      </c>
      <c r="B147" s="44" t="str">
        <f>'дод 4'!A84</f>
        <v>3035</v>
      </c>
      <c r="C147" s="44" t="str">
        <f>'дод 4'!B84</f>
        <v>1070</v>
      </c>
      <c r="D147" s="24" t="str">
        <f>'дод 4'!C84</f>
        <v>Компенсаційні виплати за пільговий проїзд окремих категорій громадян на залізничному транспорті</v>
      </c>
      <c r="E147" s="66">
        <f t="shared" si="59"/>
        <v>1000000</v>
      </c>
      <c r="F147" s="66">
        <v>1000000</v>
      </c>
      <c r="G147" s="66"/>
      <c r="H147" s="66"/>
      <c r="I147" s="66"/>
      <c r="J147" s="66">
        <f t="shared" si="61"/>
        <v>0</v>
      </c>
      <c r="K147" s="66"/>
      <c r="L147" s="66"/>
      <c r="M147" s="66"/>
      <c r="N147" s="66"/>
      <c r="O147" s="66"/>
      <c r="P147" s="66">
        <f t="shared" si="60"/>
        <v>1000000</v>
      </c>
    </row>
    <row r="148" spans="1:529" s="26" customFormat="1" ht="36" customHeight="1" x14ac:dyDescent="0.25">
      <c r="A148" s="43" t="s">
        <v>200</v>
      </c>
      <c r="B148" s="44" t="str">
        <f>'дод 4'!A85</f>
        <v>3036</v>
      </c>
      <c r="C148" s="44" t="str">
        <f>'дод 4'!B85</f>
        <v>1070</v>
      </c>
      <c r="D148" s="24" t="str">
        <f>'дод 4'!C85</f>
        <v>Компенсаційні виплати на пільговий проїзд електротранспортом окремим категоріям громадян</v>
      </c>
      <c r="E148" s="66">
        <f t="shared" si="59"/>
        <v>23725655.5</v>
      </c>
      <c r="F148" s="66">
        <f>39098112+1372388+807455.5-15200000-2061800-290500</f>
        <v>23725655.5</v>
      </c>
      <c r="G148" s="66"/>
      <c r="H148" s="66"/>
      <c r="I148" s="66"/>
      <c r="J148" s="66">
        <f t="shared" si="61"/>
        <v>0</v>
      </c>
      <c r="K148" s="66"/>
      <c r="L148" s="66"/>
      <c r="M148" s="66"/>
      <c r="N148" s="66"/>
      <c r="O148" s="66"/>
      <c r="P148" s="66">
        <f t="shared" si="60"/>
        <v>23725655.5</v>
      </c>
    </row>
    <row r="149" spans="1:529" s="23" customFormat="1" ht="39" customHeight="1" x14ac:dyDescent="0.25">
      <c r="A149" s="43" t="s">
        <v>385</v>
      </c>
      <c r="B149" s="44" t="str">
        <f>'дод 4'!A86</f>
        <v>3050</v>
      </c>
      <c r="C149" s="44" t="str">
        <f>'дод 4'!B86</f>
        <v>1070</v>
      </c>
      <c r="D149" s="24" t="str">
        <f>'дод 4'!C86</f>
        <v>Пільгове медичне обслуговування осіб, які постраждали внаслідок Чорнобильської катастрофи, у т.ч. за рахунок:</v>
      </c>
      <c r="E149" s="66">
        <f t="shared" si="59"/>
        <v>853000</v>
      </c>
      <c r="F149" s="66">
        <v>853000</v>
      </c>
      <c r="G149" s="66"/>
      <c r="H149" s="66"/>
      <c r="I149" s="66"/>
      <c r="J149" s="66">
        <f t="shared" si="61"/>
        <v>0</v>
      </c>
      <c r="K149" s="66"/>
      <c r="L149" s="66"/>
      <c r="M149" s="66"/>
      <c r="N149" s="66"/>
      <c r="O149" s="66"/>
      <c r="P149" s="66">
        <f t="shared" si="60"/>
        <v>853000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</row>
    <row r="150" spans="1:529" s="27" customFormat="1" x14ac:dyDescent="0.25">
      <c r="A150" s="140"/>
      <c r="B150" s="141"/>
      <c r="C150" s="141"/>
      <c r="D150" s="144" t="s">
        <v>455</v>
      </c>
      <c r="E150" s="139">
        <f t="shared" si="59"/>
        <v>853000</v>
      </c>
      <c r="F150" s="139">
        <v>853000</v>
      </c>
      <c r="G150" s="139"/>
      <c r="H150" s="139"/>
      <c r="I150" s="139"/>
      <c r="J150" s="139">
        <f t="shared" si="61"/>
        <v>0</v>
      </c>
      <c r="K150" s="139"/>
      <c r="L150" s="139"/>
      <c r="M150" s="139"/>
      <c r="N150" s="139"/>
      <c r="O150" s="139"/>
      <c r="P150" s="139">
        <f t="shared" si="60"/>
        <v>853000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  <c r="IV150" s="36"/>
      <c r="IW150" s="36"/>
      <c r="IX150" s="36"/>
      <c r="IY150" s="36"/>
      <c r="IZ150" s="36"/>
      <c r="JA150" s="36"/>
      <c r="JB150" s="36"/>
      <c r="JC150" s="36"/>
      <c r="JD150" s="36"/>
      <c r="JE150" s="36"/>
      <c r="JF150" s="36"/>
      <c r="JG150" s="36"/>
      <c r="JH150" s="36"/>
      <c r="JI150" s="36"/>
      <c r="JJ150" s="36"/>
      <c r="JK150" s="36"/>
      <c r="JL150" s="36"/>
      <c r="JM150" s="36"/>
      <c r="JN150" s="36"/>
      <c r="JO150" s="36"/>
      <c r="JP150" s="36"/>
      <c r="JQ150" s="36"/>
      <c r="JR150" s="36"/>
      <c r="JS150" s="36"/>
      <c r="JT150" s="36"/>
      <c r="JU150" s="36"/>
      <c r="JV150" s="36"/>
      <c r="JW150" s="36"/>
      <c r="JX150" s="36"/>
      <c r="JY150" s="36"/>
      <c r="JZ150" s="36"/>
      <c r="KA150" s="36"/>
      <c r="KB150" s="36"/>
      <c r="KC150" s="36"/>
      <c r="KD150" s="36"/>
      <c r="KE150" s="36"/>
      <c r="KF150" s="36"/>
      <c r="KG150" s="36"/>
      <c r="KH150" s="36"/>
      <c r="KI150" s="36"/>
      <c r="KJ150" s="36"/>
      <c r="KK150" s="36"/>
      <c r="KL150" s="36"/>
      <c r="KM150" s="36"/>
      <c r="KN150" s="36"/>
      <c r="KO150" s="36"/>
      <c r="KP150" s="36"/>
      <c r="KQ150" s="36"/>
      <c r="KR150" s="36"/>
      <c r="KS150" s="36"/>
      <c r="KT150" s="36"/>
      <c r="KU150" s="36"/>
      <c r="KV150" s="36"/>
      <c r="KW150" s="36"/>
      <c r="KX150" s="36"/>
      <c r="KY150" s="36"/>
      <c r="KZ150" s="36"/>
      <c r="LA150" s="36"/>
      <c r="LB150" s="36"/>
      <c r="LC150" s="36"/>
      <c r="LD150" s="36"/>
      <c r="LE150" s="36"/>
      <c r="LF150" s="36"/>
      <c r="LG150" s="36"/>
      <c r="LH150" s="36"/>
      <c r="LI150" s="36"/>
      <c r="LJ150" s="36"/>
      <c r="LK150" s="36"/>
      <c r="LL150" s="36"/>
      <c r="LM150" s="36"/>
      <c r="LN150" s="36"/>
      <c r="LO150" s="36"/>
      <c r="LP150" s="36"/>
      <c r="LQ150" s="36"/>
      <c r="LR150" s="36"/>
      <c r="LS150" s="36"/>
      <c r="LT150" s="36"/>
      <c r="LU150" s="36"/>
      <c r="LV150" s="36"/>
      <c r="LW150" s="36"/>
      <c r="LX150" s="36"/>
      <c r="LY150" s="36"/>
      <c r="LZ150" s="36"/>
      <c r="MA150" s="36"/>
      <c r="MB150" s="36"/>
      <c r="MC150" s="36"/>
      <c r="MD150" s="36"/>
      <c r="ME150" s="36"/>
      <c r="MF150" s="36"/>
      <c r="MG150" s="36"/>
      <c r="MH150" s="36"/>
      <c r="MI150" s="36"/>
      <c r="MJ150" s="36"/>
      <c r="MK150" s="36"/>
      <c r="ML150" s="36"/>
      <c r="MM150" s="36"/>
      <c r="MN150" s="36"/>
      <c r="MO150" s="36"/>
      <c r="MP150" s="36"/>
      <c r="MQ150" s="36"/>
      <c r="MR150" s="36"/>
      <c r="MS150" s="36"/>
      <c r="MT150" s="36"/>
      <c r="MU150" s="36"/>
      <c r="MV150" s="36"/>
      <c r="MW150" s="36"/>
      <c r="MX150" s="36"/>
      <c r="MY150" s="36"/>
      <c r="MZ150" s="36"/>
      <c r="NA150" s="36"/>
      <c r="NB150" s="36"/>
      <c r="NC150" s="36"/>
      <c r="ND150" s="36"/>
      <c r="NE150" s="36"/>
      <c r="NF150" s="36"/>
      <c r="NG150" s="36"/>
      <c r="NH150" s="36"/>
      <c r="NI150" s="36"/>
      <c r="NJ150" s="36"/>
      <c r="NK150" s="36"/>
      <c r="NL150" s="36"/>
      <c r="NM150" s="36"/>
      <c r="NN150" s="36"/>
      <c r="NO150" s="36"/>
      <c r="NP150" s="36"/>
      <c r="NQ150" s="36"/>
      <c r="NR150" s="36"/>
      <c r="NS150" s="36"/>
      <c r="NT150" s="36"/>
      <c r="NU150" s="36"/>
      <c r="NV150" s="36"/>
      <c r="NW150" s="36"/>
      <c r="NX150" s="36"/>
      <c r="NY150" s="36"/>
      <c r="NZ150" s="36"/>
      <c r="OA150" s="36"/>
      <c r="OB150" s="36"/>
      <c r="OC150" s="36"/>
      <c r="OD150" s="36"/>
      <c r="OE150" s="36"/>
      <c r="OF150" s="36"/>
      <c r="OG150" s="36"/>
      <c r="OH150" s="36"/>
      <c r="OI150" s="36"/>
      <c r="OJ150" s="36"/>
      <c r="OK150" s="36"/>
      <c r="OL150" s="36"/>
      <c r="OM150" s="36"/>
      <c r="ON150" s="36"/>
      <c r="OO150" s="36"/>
      <c r="OP150" s="36"/>
      <c r="OQ150" s="36"/>
      <c r="OR150" s="36"/>
      <c r="OS150" s="36"/>
      <c r="OT150" s="36"/>
      <c r="OU150" s="36"/>
      <c r="OV150" s="36"/>
      <c r="OW150" s="36"/>
      <c r="OX150" s="36"/>
      <c r="OY150" s="36"/>
      <c r="OZ150" s="36"/>
      <c r="PA150" s="36"/>
      <c r="PB150" s="36"/>
      <c r="PC150" s="36"/>
      <c r="PD150" s="36"/>
      <c r="PE150" s="36"/>
      <c r="PF150" s="36"/>
      <c r="PG150" s="36"/>
      <c r="PH150" s="36"/>
      <c r="PI150" s="36"/>
      <c r="PJ150" s="36"/>
      <c r="PK150" s="36"/>
      <c r="PL150" s="36"/>
      <c r="PM150" s="36"/>
      <c r="PN150" s="36"/>
      <c r="PO150" s="36"/>
      <c r="PP150" s="36"/>
      <c r="PQ150" s="36"/>
      <c r="PR150" s="36"/>
      <c r="PS150" s="36"/>
      <c r="PT150" s="36"/>
      <c r="PU150" s="36"/>
      <c r="PV150" s="36"/>
      <c r="PW150" s="36"/>
      <c r="PX150" s="36"/>
      <c r="PY150" s="36"/>
      <c r="PZ150" s="36"/>
      <c r="QA150" s="36"/>
      <c r="QB150" s="36"/>
      <c r="QC150" s="36"/>
      <c r="QD150" s="36"/>
      <c r="QE150" s="36"/>
      <c r="QF150" s="36"/>
      <c r="QG150" s="36"/>
      <c r="QH150" s="36"/>
      <c r="QI150" s="36"/>
      <c r="QJ150" s="36"/>
      <c r="QK150" s="36"/>
      <c r="QL150" s="36"/>
      <c r="QM150" s="36"/>
      <c r="QN150" s="36"/>
      <c r="QO150" s="36"/>
      <c r="QP150" s="36"/>
      <c r="QQ150" s="36"/>
      <c r="QR150" s="36"/>
      <c r="QS150" s="36"/>
      <c r="QT150" s="36"/>
      <c r="QU150" s="36"/>
      <c r="QV150" s="36"/>
      <c r="QW150" s="36"/>
      <c r="QX150" s="36"/>
      <c r="QY150" s="36"/>
      <c r="QZ150" s="36"/>
      <c r="RA150" s="36"/>
      <c r="RB150" s="36"/>
      <c r="RC150" s="36"/>
      <c r="RD150" s="36"/>
      <c r="RE150" s="36"/>
      <c r="RF150" s="36"/>
      <c r="RG150" s="36"/>
      <c r="RH150" s="36"/>
      <c r="RI150" s="36"/>
      <c r="RJ150" s="36"/>
      <c r="RK150" s="36"/>
      <c r="RL150" s="36"/>
      <c r="RM150" s="36"/>
      <c r="RN150" s="36"/>
      <c r="RO150" s="36"/>
      <c r="RP150" s="36"/>
      <c r="RQ150" s="36"/>
      <c r="RR150" s="36"/>
      <c r="RS150" s="36"/>
      <c r="RT150" s="36"/>
      <c r="RU150" s="36"/>
      <c r="RV150" s="36"/>
      <c r="RW150" s="36"/>
      <c r="RX150" s="36"/>
      <c r="RY150" s="36"/>
      <c r="RZ150" s="36"/>
      <c r="SA150" s="36"/>
      <c r="SB150" s="36"/>
      <c r="SC150" s="36"/>
      <c r="SD150" s="36"/>
      <c r="SE150" s="36"/>
      <c r="SF150" s="36"/>
      <c r="SG150" s="36"/>
      <c r="SH150" s="36"/>
      <c r="SI150" s="36"/>
      <c r="SJ150" s="36"/>
      <c r="SK150" s="36"/>
      <c r="SL150" s="36"/>
      <c r="SM150" s="36"/>
      <c r="SN150" s="36"/>
      <c r="SO150" s="36"/>
      <c r="SP150" s="36"/>
      <c r="SQ150" s="36"/>
      <c r="SR150" s="36"/>
      <c r="SS150" s="36"/>
      <c r="ST150" s="36"/>
      <c r="SU150" s="36"/>
      <c r="SV150" s="36"/>
      <c r="SW150" s="36"/>
      <c r="SX150" s="36"/>
      <c r="SY150" s="36"/>
      <c r="SZ150" s="36"/>
      <c r="TA150" s="36"/>
      <c r="TB150" s="36"/>
      <c r="TC150" s="36"/>
      <c r="TD150" s="36"/>
      <c r="TE150" s="36"/>
      <c r="TF150" s="36"/>
      <c r="TG150" s="36"/>
      <c r="TH150" s="36"/>
      <c r="TI150" s="36"/>
    </row>
    <row r="151" spans="1:529" s="23" customFormat="1" ht="38.25" customHeight="1" x14ac:dyDescent="0.25">
      <c r="A151" s="43" t="s">
        <v>386</v>
      </c>
      <c r="B151" s="44" t="str">
        <f>'дод 4'!A88</f>
        <v>3090</v>
      </c>
      <c r="C151" s="44" t="str">
        <f>'дод 4'!B88</f>
        <v>1030</v>
      </c>
      <c r="D151" s="24" t="str">
        <f>'дод 4'!C88</f>
        <v>Видатки на поховання учасників бойових дій та осіб з інвалідністю внаслідок війни, у т.ч. за рахунок:</v>
      </c>
      <c r="E151" s="66">
        <f t="shared" si="59"/>
        <v>228400</v>
      </c>
      <c r="F151" s="66">
        <v>228400</v>
      </c>
      <c r="G151" s="66"/>
      <c r="H151" s="66"/>
      <c r="I151" s="66"/>
      <c r="J151" s="66">
        <f t="shared" si="61"/>
        <v>0</v>
      </c>
      <c r="K151" s="66"/>
      <c r="L151" s="66"/>
      <c r="M151" s="66"/>
      <c r="N151" s="66"/>
      <c r="O151" s="66"/>
      <c r="P151" s="66">
        <f t="shared" si="60"/>
        <v>228400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27" customFormat="1" x14ac:dyDescent="0.25">
      <c r="A152" s="140"/>
      <c r="B152" s="141"/>
      <c r="C152" s="141"/>
      <c r="D152" s="144" t="s">
        <v>455</v>
      </c>
      <c r="E152" s="139">
        <f t="shared" si="59"/>
        <v>228400</v>
      </c>
      <c r="F152" s="139">
        <v>228400</v>
      </c>
      <c r="G152" s="139"/>
      <c r="H152" s="139"/>
      <c r="I152" s="139"/>
      <c r="J152" s="139">
        <f t="shared" si="61"/>
        <v>0</v>
      </c>
      <c r="K152" s="139"/>
      <c r="L152" s="139"/>
      <c r="M152" s="139"/>
      <c r="N152" s="139"/>
      <c r="O152" s="139"/>
      <c r="P152" s="139">
        <f t="shared" si="60"/>
        <v>228400</v>
      </c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  <c r="IQ152" s="36"/>
      <c r="IR152" s="36"/>
      <c r="IS152" s="36"/>
      <c r="IT152" s="36"/>
      <c r="IU152" s="36"/>
      <c r="IV152" s="36"/>
      <c r="IW152" s="36"/>
      <c r="IX152" s="36"/>
      <c r="IY152" s="36"/>
      <c r="IZ152" s="36"/>
      <c r="JA152" s="36"/>
      <c r="JB152" s="36"/>
      <c r="JC152" s="36"/>
      <c r="JD152" s="36"/>
      <c r="JE152" s="36"/>
      <c r="JF152" s="36"/>
      <c r="JG152" s="36"/>
      <c r="JH152" s="36"/>
      <c r="JI152" s="36"/>
      <c r="JJ152" s="36"/>
      <c r="JK152" s="36"/>
      <c r="JL152" s="36"/>
      <c r="JM152" s="36"/>
      <c r="JN152" s="36"/>
      <c r="JO152" s="36"/>
      <c r="JP152" s="36"/>
      <c r="JQ152" s="36"/>
      <c r="JR152" s="36"/>
      <c r="JS152" s="36"/>
      <c r="JT152" s="36"/>
      <c r="JU152" s="36"/>
      <c r="JV152" s="36"/>
      <c r="JW152" s="36"/>
      <c r="JX152" s="36"/>
      <c r="JY152" s="36"/>
      <c r="JZ152" s="36"/>
      <c r="KA152" s="36"/>
      <c r="KB152" s="36"/>
      <c r="KC152" s="36"/>
      <c r="KD152" s="36"/>
      <c r="KE152" s="36"/>
      <c r="KF152" s="36"/>
      <c r="KG152" s="36"/>
      <c r="KH152" s="36"/>
      <c r="KI152" s="36"/>
      <c r="KJ152" s="36"/>
      <c r="KK152" s="36"/>
      <c r="KL152" s="36"/>
      <c r="KM152" s="36"/>
      <c r="KN152" s="36"/>
      <c r="KO152" s="36"/>
      <c r="KP152" s="36"/>
      <c r="KQ152" s="36"/>
      <c r="KR152" s="36"/>
      <c r="KS152" s="36"/>
      <c r="KT152" s="36"/>
      <c r="KU152" s="36"/>
      <c r="KV152" s="36"/>
      <c r="KW152" s="36"/>
      <c r="KX152" s="36"/>
      <c r="KY152" s="36"/>
      <c r="KZ152" s="36"/>
      <c r="LA152" s="36"/>
      <c r="LB152" s="36"/>
      <c r="LC152" s="36"/>
      <c r="LD152" s="36"/>
      <c r="LE152" s="36"/>
      <c r="LF152" s="36"/>
      <c r="LG152" s="36"/>
      <c r="LH152" s="36"/>
      <c r="LI152" s="36"/>
      <c r="LJ152" s="36"/>
      <c r="LK152" s="36"/>
      <c r="LL152" s="36"/>
      <c r="LM152" s="36"/>
      <c r="LN152" s="36"/>
      <c r="LO152" s="36"/>
      <c r="LP152" s="36"/>
      <c r="LQ152" s="36"/>
      <c r="LR152" s="36"/>
      <c r="LS152" s="36"/>
      <c r="LT152" s="36"/>
      <c r="LU152" s="36"/>
      <c r="LV152" s="36"/>
      <c r="LW152" s="36"/>
      <c r="LX152" s="36"/>
      <c r="LY152" s="36"/>
      <c r="LZ152" s="36"/>
      <c r="MA152" s="36"/>
      <c r="MB152" s="36"/>
      <c r="MC152" s="36"/>
      <c r="MD152" s="36"/>
      <c r="ME152" s="36"/>
      <c r="MF152" s="36"/>
      <c r="MG152" s="36"/>
      <c r="MH152" s="36"/>
      <c r="MI152" s="36"/>
      <c r="MJ152" s="36"/>
      <c r="MK152" s="36"/>
      <c r="ML152" s="36"/>
      <c r="MM152" s="36"/>
      <c r="MN152" s="36"/>
      <c r="MO152" s="36"/>
      <c r="MP152" s="36"/>
      <c r="MQ152" s="36"/>
      <c r="MR152" s="36"/>
      <c r="MS152" s="36"/>
      <c r="MT152" s="36"/>
      <c r="MU152" s="36"/>
      <c r="MV152" s="36"/>
      <c r="MW152" s="36"/>
      <c r="MX152" s="36"/>
      <c r="MY152" s="36"/>
      <c r="MZ152" s="36"/>
      <c r="NA152" s="36"/>
      <c r="NB152" s="36"/>
      <c r="NC152" s="36"/>
      <c r="ND152" s="36"/>
      <c r="NE152" s="36"/>
      <c r="NF152" s="36"/>
      <c r="NG152" s="36"/>
      <c r="NH152" s="36"/>
      <c r="NI152" s="36"/>
      <c r="NJ152" s="36"/>
      <c r="NK152" s="36"/>
      <c r="NL152" s="36"/>
      <c r="NM152" s="36"/>
      <c r="NN152" s="36"/>
      <c r="NO152" s="36"/>
      <c r="NP152" s="36"/>
      <c r="NQ152" s="36"/>
      <c r="NR152" s="36"/>
      <c r="NS152" s="36"/>
      <c r="NT152" s="36"/>
      <c r="NU152" s="36"/>
      <c r="NV152" s="36"/>
      <c r="NW152" s="36"/>
      <c r="NX152" s="36"/>
      <c r="NY152" s="36"/>
      <c r="NZ152" s="36"/>
      <c r="OA152" s="36"/>
      <c r="OB152" s="36"/>
      <c r="OC152" s="36"/>
      <c r="OD152" s="36"/>
      <c r="OE152" s="36"/>
      <c r="OF152" s="36"/>
      <c r="OG152" s="36"/>
      <c r="OH152" s="36"/>
      <c r="OI152" s="36"/>
      <c r="OJ152" s="36"/>
      <c r="OK152" s="36"/>
      <c r="OL152" s="36"/>
      <c r="OM152" s="36"/>
      <c r="ON152" s="36"/>
      <c r="OO152" s="36"/>
      <c r="OP152" s="36"/>
      <c r="OQ152" s="36"/>
      <c r="OR152" s="36"/>
      <c r="OS152" s="36"/>
      <c r="OT152" s="36"/>
      <c r="OU152" s="36"/>
      <c r="OV152" s="36"/>
      <c r="OW152" s="36"/>
      <c r="OX152" s="36"/>
      <c r="OY152" s="36"/>
      <c r="OZ152" s="36"/>
      <c r="PA152" s="36"/>
      <c r="PB152" s="36"/>
      <c r="PC152" s="36"/>
      <c r="PD152" s="36"/>
      <c r="PE152" s="36"/>
      <c r="PF152" s="36"/>
      <c r="PG152" s="36"/>
      <c r="PH152" s="36"/>
      <c r="PI152" s="36"/>
      <c r="PJ152" s="36"/>
      <c r="PK152" s="36"/>
      <c r="PL152" s="36"/>
      <c r="PM152" s="36"/>
      <c r="PN152" s="36"/>
      <c r="PO152" s="36"/>
      <c r="PP152" s="36"/>
      <c r="PQ152" s="36"/>
      <c r="PR152" s="36"/>
      <c r="PS152" s="36"/>
      <c r="PT152" s="36"/>
      <c r="PU152" s="36"/>
      <c r="PV152" s="36"/>
      <c r="PW152" s="36"/>
      <c r="PX152" s="36"/>
      <c r="PY152" s="36"/>
      <c r="PZ152" s="36"/>
      <c r="QA152" s="36"/>
      <c r="QB152" s="36"/>
      <c r="QC152" s="36"/>
      <c r="QD152" s="36"/>
      <c r="QE152" s="36"/>
      <c r="QF152" s="36"/>
      <c r="QG152" s="36"/>
      <c r="QH152" s="36"/>
      <c r="QI152" s="36"/>
      <c r="QJ152" s="36"/>
      <c r="QK152" s="36"/>
      <c r="QL152" s="36"/>
      <c r="QM152" s="36"/>
      <c r="QN152" s="36"/>
      <c r="QO152" s="36"/>
      <c r="QP152" s="36"/>
      <c r="QQ152" s="36"/>
      <c r="QR152" s="36"/>
      <c r="QS152" s="36"/>
      <c r="QT152" s="36"/>
      <c r="QU152" s="36"/>
      <c r="QV152" s="36"/>
      <c r="QW152" s="36"/>
      <c r="QX152" s="36"/>
      <c r="QY152" s="36"/>
      <c r="QZ152" s="36"/>
      <c r="RA152" s="36"/>
      <c r="RB152" s="36"/>
      <c r="RC152" s="36"/>
      <c r="RD152" s="36"/>
      <c r="RE152" s="36"/>
      <c r="RF152" s="36"/>
      <c r="RG152" s="36"/>
      <c r="RH152" s="36"/>
      <c r="RI152" s="36"/>
      <c r="RJ152" s="36"/>
      <c r="RK152" s="36"/>
      <c r="RL152" s="36"/>
      <c r="RM152" s="36"/>
      <c r="RN152" s="36"/>
      <c r="RO152" s="36"/>
      <c r="RP152" s="36"/>
      <c r="RQ152" s="36"/>
      <c r="RR152" s="36"/>
      <c r="RS152" s="36"/>
      <c r="RT152" s="36"/>
      <c r="RU152" s="36"/>
      <c r="RV152" s="36"/>
      <c r="RW152" s="36"/>
      <c r="RX152" s="36"/>
      <c r="RY152" s="36"/>
      <c r="RZ152" s="36"/>
      <c r="SA152" s="36"/>
      <c r="SB152" s="36"/>
      <c r="SC152" s="36"/>
      <c r="SD152" s="36"/>
      <c r="SE152" s="36"/>
      <c r="SF152" s="36"/>
      <c r="SG152" s="36"/>
      <c r="SH152" s="36"/>
      <c r="SI152" s="36"/>
      <c r="SJ152" s="36"/>
      <c r="SK152" s="36"/>
      <c r="SL152" s="36"/>
      <c r="SM152" s="36"/>
      <c r="SN152" s="36"/>
      <c r="SO152" s="36"/>
      <c r="SP152" s="36"/>
      <c r="SQ152" s="36"/>
      <c r="SR152" s="36"/>
      <c r="SS152" s="36"/>
      <c r="ST152" s="36"/>
      <c r="SU152" s="36"/>
      <c r="SV152" s="36"/>
      <c r="SW152" s="36"/>
      <c r="SX152" s="36"/>
      <c r="SY152" s="36"/>
      <c r="SZ152" s="36"/>
      <c r="TA152" s="36"/>
      <c r="TB152" s="36"/>
      <c r="TC152" s="36"/>
      <c r="TD152" s="36"/>
      <c r="TE152" s="36"/>
      <c r="TF152" s="36"/>
      <c r="TG152" s="36"/>
      <c r="TH152" s="36"/>
      <c r="TI152" s="36"/>
    </row>
    <row r="153" spans="1:529" s="23" customFormat="1" ht="47.25" customHeight="1" x14ac:dyDescent="0.25">
      <c r="A153" s="43" t="s">
        <v>201</v>
      </c>
      <c r="B153" s="44" t="str">
        <f>'дод 4'!A90</f>
        <v>3104</v>
      </c>
      <c r="C153" s="44" t="str">
        <f>'дод 4'!B90</f>
        <v>1020</v>
      </c>
      <c r="D153" s="24" t="str">
        <f>'дод 4'!C90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3" s="66">
        <f t="shared" si="59"/>
        <v>13629030</v>
      </c>
      <c r="F153" s="66">
        <f>13527630+2100+29600-300+70000</f>
        <v>13629030</v>
      </c>
      <c r="G153" s="66">
        <f>10389550+53300</f>
        <v>10442850</v>
      </c>
      <c r="H153" s="66">
        <v>230060</v>
      </c>
      <c r="I153" s="66"/>
      <c r="J153" s="66">
        <f t="shared" si="61"/>
        <v>478300</v>
      </c>
      <c r="K153" s="66">
        <f>342900+20000+7300</f>
        <v>370200</v>
      </c>
      <c r="L153" s="66">
        <v>108100</v>
      </c>
      <c r="M153" s="66">
        <v>85100</v>
      </c>
      <c r="N153" s="66"/>
      <c r="O153" s="66">
        <f>342900+20000+7300</f>
        <v>370200</v>
      </c>
      <c r="P153" s="66">
        <f t="shared" si="60"/>
        <v>14107330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</row>
    <row r="154" spans="1:529" s="23" customFormat="1" ht="68.25" customHeight="1" x14ac:dyDescent="0.25">
      <c r="A154" s="43" t="s">
        <v>202</v>
      </c>
      <c r="B154" s="44" t="str">
        <f>'дод 4'!A96</f>
        <v>3160</v>
      </c>
      <c r="C154" s="44">
        <f>'дод 4'!B96</f>
        <v>1010</v>
      </c>
      <c r="D154" s="24" t="str">
        <f>'дод 4'!C96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4" s="66">
        <f t="shared" si="59"/>
        <v>1884220</v>
      </c>
      <c r="F154" s="66">
        <f>1911000-16000-10780</f>
        <v>1884220</v>
      </c>
      <c r="G154" s="66"/>
      <c r="H154" s="66"/>
      <c r="I154" s="66"/>
      <c r="J154" s="66">
        <f t="shared" si="61"/>
        <v>0</v>
      </c>
      <c r="K154" s="66"/>
      <c r="L154" s="66"/>
      <c r="M154" s="66"/>
      <c r="N154" s="66"/>
      <c r="O154" s="66"/>
      <c r="P154" s="66">
        <f t="shared" si="60"/>
        <v>1884220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3" customFormat="1" ht="48" customHeight="1" x14ac:dyDescent="0.25">
      <c r="A155" s="43" t="s">
        <v>388</v>
      </c>
      <c r="B155" s="44" t="str">
        <f>'дод 4'!A97</f>
        <v>3171</v>
      </c>
      <c r="C155" s="44">
        <f>'дод 4'!B97</f>
        <v>1010</v>
      </c>
      <c r="D155" s="24" t="str">
        <f>'дод 4'!C97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5" s="66">
        <f t="shared" si="59"/>
        <v>228095</v>
      </c>
      <c r="F155" s="66">
        <v>228095</v>
      </c>
      <c r="G155" s="66"/>
      <c r="H155" s="66"/>
      <c r="I155" s="66"/>
      <c r="J155" s="66">
        <f t="shared" si="61"/>
        <v>0</v>
      </c>
      <c r="K155" s="66"/>
      <c r="L155" s="66"/>
      <c r="M155" s="66"/>
      <c r="N155" s="66"/>
      <c r="O155" s="66"/>
      <c r="P155" s="66">
        <f t="shared" si="60"/>
        <v>228095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</row>
    <row r="156" spans="1:529" s="27" customFormat="1" x14ac:dyDescent="0.25">
      <c r="A156" s="140"/>
      <c r="B156" s="141"/>
      <c r="C156" s="141"/>
      <c r="D156" s="144" t="s">
        <v>455</v>
      </c>
      <c r="E156" s="139">
        <f t="shared" si="59"/>
        <v>228095</v>
      </c>
      <c r="F156" s="139">
        <v>228095</v>
      </c>
      <c r="G156" s="139"/>
      <c r="H156" s="139"/>
      <c r="I156" s="139"/>
      <c r="J156" s="139">
        <f t="shared" si="61"/>
        <v>0</v>
      </c>
      <c r="K156" s="139"/>
      <c r="L156" s="139"/>
      <c r="M156" s="139"/>
      <c r="N156" s="139"/>
      <c r="O156" s="139"/>
      <c r="P156" s="139">
        <f t="shared" si="60"/>
        <v>228095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36"/>
      <c r="IO156" s="36"/>
      <c r="IP156" s="36"/>
      <c r="IQ156" s="36"/>
      <c r="IR156" s="36"/>
      <c r="IS156" s="36"/>
      <c r="IT156" s="36"/>
      <c r="IU156" s="36"/>
      <c r="IV156" s="36"/>
      <c r="IW156" s="36"/>
      <c r="IX156" s="36"/>
      <c r="IY156" s="36"/>
      <c r="IZ156" s="36"/>
      <c r="JA156" s="36"/>
      <c r="JB156" s="36"/>
      <c r="JC156" s="36"/>
      <c r="JD156" s="36"/>
      <c r="JE156" s="36"/>
      <c r="JF156" s="36"/>
      <c r="JG156" s="36"/>
      <c r="JH156" s="36"/>
      <c r="JI156" s="36"/>
      <c r="JJ156" s="36"/>
      <c r="JK156" s="36"/>
      <c r="JL156" s="36"/>
      <c r="JM156" s="36"/>
      <c r="JN156" s="36"/>
      <c r="JO156" s="36"/>
      <c r="JP156" s="36"/>
      <c r="JQ156" s="36"/>
      <c r="JR156" s="36"/>
      <c r="JS156" s="36"/>
      <c r="JT156" s="36"/>
      <c r="JU156" s="36"/>
      <c r="JV156" s="36"/>
      <c r="JW156" s="36"/>
      <c r="JX156" s="36"/>
      <c r="JY156" s="36"/>
      <c r="JZ156" s="36"/>
      <c r="KA156" s="36"/>
      <c r="KB156" s="36"/>
      <c r="KC156" s="36"/>
      <c r="KD156" s="36"/>
      <c r="KE156" s="36"/>
      <c r="KF156" s="36"/>
      <c r="KG156" s="36"/>
      <c r="KH156" s="36"/>
      <c r="KI156" s="36"/>
      <c r="KJ156" s="36"/>
      <c r="KK156" s="36"/>
      <c r="KL156" s="36"/>
      <c r="KM156" s="36"/>
      <c r="KN156" s="36"/>
      <c r="KO156" s="36"/>
      <c r="KP156" s="36"/>
      <c r="KQ156" s="36"/>
      <c r="KR156" s="36"/>
      <c r="KS156" s="36"/>
      <c r="KT156" s="36"/>
      <c r="KU156" s="36"/>
      <c r="KV156" s="36"/>
      <c r="KW156" s="36"/>
      <c r="KX156" s="36"/>
      <c r="KY156" s="36"/>
      <c r="KZ156" s="36"/>
      <c r="LA156" s="36"/>
      <c r="LB156" s="36"/>
      <c r="LC156" s="36"/>
      <c r="LD156" s="36"/>
      <c r="LE156" s="36"/>
      <c r="LF156" s="36"/>
      <c r="LG156" s="36"/>
      <c r="LH156" s="36"/>
      <c r="LI156" s="36"/>
      <c r="LJ156" s="36"/>
      <c r="LK156" s="36"/>
      <c r="LL156" s="36"/>
      <c r="LM156" s="36"/>
      <c r="LN156" s="36"/>
      <c r="LO156" s="36"/>
      <c r="LP156" s="36"/>
      <c r="LQ156" s="36"/>
      <c r="LR156" s="36"/>
      <c r="LS156" s="36"/>
      <c r="LT156" s="36"/>
      <c r="LU156" s="36"/>
      <c r="LV156" s="36"/>
      <c r="LW156" s="36"/>
      <c r="LX156" s="36"/>
      <c r="LY156" s="36"/>
      <c r="LZ156" s="36"/>
      <c r="MA156" s="36"/>
      <c r="MB156" s="36"/>
      <c r="MC156" s="36"/>
      <c r="MD156" s="36"/>
      <c r="ME156" s="36"/>
      <c r="MF156" s="36"/>
      <c r="MG156" s="36"/>
      <c r="MH156" s="36"/>
      <c r="MI156" s="36"/>
      <c r="MJ156" s="36"/>
      <c r="MK156" s="36"/>
      <c r="ML156" s="36"/>
      <c r="MM156" s="36"/>
      <c r="MN156" s="36"/>
      <c r="MO156" s="36"/>
      <c r="MP156" s="36"/>
      <c r="MQ156" s="36"/>
      <c r="MR156" s="36"/>
      <c r="MS156" s="36"/>
      <c r="MT156" s="36"/>
      <c r="MU156" s="36"/>
      <c r="MV156" s="36"/>
      <c r="MW156" s="36"/>
      <c r="MX156" s="36"/>
      <c r="MY156" s="36"/>
      <c r="MZ156" s="36"/>
      <c r="NA156" s="36"/>
      <c r="NB156" s="36"/>
      <c r="NC156" s="36"/>
      <c r="ND156" s="36"/>
      <c r="NE156" s="36"/>
      <c r="NF156" s="36"/>
      <c r="NG156" s="36"/>
      <c r="NH156" s="36"/>
      <c r="NI156" s="36"/>
      <c r="NJ156" s="36"/>
      <c r="NK156" s="36"/>
      <c r="NL156" s="36"/>
      <c r="NM156" s="36"/>
      <c r="NN156" s="36"/>
      <c r="NO156" s="36"/>
      <c r="NP156" s="36"/>
      <c r="NQ156" s="36"/>
      <c r="NR156" s="36"/>
      <c r="NS156" s="36"/>
      <c r="NT156" s="36"/>
      <c r="NU156" s="36"/>
      <c r="NV156" s="36"/>
      <c r="NW156" s="36"/>
      <c r="NX156" s="36"/>
      <c r="NY156" s="36"/>
      <c r="NZ156" s="36"/>
      <c r="OA156" s="36"/>
      <c r="OB156" s="36"/>
      <c r="OC156" s="36"/>
      <c r="OD156" s="36"/>
      <c r="OE156" s="36"/>
      <c r="OF156" s="36"/>
      <c r="OG156" s="36"/>
      <c r="OH156" s="36"/>
      <c r="OI156" s="36"/>
      <c r="OJ156" s="36"/>
      <c r="OK156" s="36"/>
      <c r="OL156" s="36"/>
      <c r="OM156" s="36"/>
      <c r="ON156" s="36"/>
      <c r="OO156" s="36"/>
      <c r="OP156" s="36"/>
      <c r="OQ156" s="36"/>
      <c r="OR156" s="36"/>
      <c r="OS156" s="36"/>
      <c r="OT156" s="36"/>
      <c r="OU156" s="36"/>
      <c r="OV156" s="36"/>
      <c r="OW156" s="36"/>
      <c r="OX156" s="36"/>
      <c r="OY156" s="36"/>
      <c r="OZ156" s="36"/>
      <c r="PA156" s="36"/>
      <c r="PB156" s="36"/>
      <c r="PC156" s="36"/>
      <c r="PD156" s="36"/>
      <c r="PE156" s="36"/>
      <c r="PF156" s="36"/>
      <c r="PG156" s="36"/>
      <c r="PH156" s="36"/>
      <c r="PI156" s="36"/>
      <c r="PJ156" s="36"/>
      <c r="PK156" s="36"/>
      <c r="PL156" s="36"/>
      <c r="PM156" s="36"/>
      <c r="PN156" s="36"/>
      <c r="PO156" s="36"/>
      <c r="PP156" s="36"/>
      <c r="PQ156" s="36"/>
      <c r="PR156" s="36"/>
      <c r="PS156" s="36"/>
      <c r="PT156" s="36"/>
      <c r="PU156" s="36"/>
      <c r="PV156" s="36"/>
      <c r="PW156" s="36"/>
      <c r="PX156" s="36"/>
      <c r="PY156" s="36"/>
      <c r="PZ156" s="36"/>
      <c r="QA156" s="36"/>
      <c r="QB156" s="36"/>
      <c r="QC156" s="36"/>
      <c r="QD156" s="36"/>
      <c r="QE156" s="36"/>
      <c r="QF156" s="36"/>
      <c r="QG156" s="36"/>
      <c r="QH156" s="36"/>
      <c r="QI156" s="36"/>
      <c r="QJ156" s="36"/>
      <c r="QK156" s="36"/>
      <c r="QL156" s="36"/>
      <c r="QM156" s="36"/>
      <c r="QN156" s="36"/>
      <c r="QO156" s="36"/>
      <c r="QP156" s="36"/>
      <c r="QQ156" s="36"/>
      <c r="QR156" s="36"/>
      <c r="QS156" s="36"/>
      <c r="QT156" s="36"/>
      <c r="QU156" s="36"/>
      <c r="QV156" s="36"/>
      <c r="QW156" s="36"/>
      <c r="QX156" s="36"/>
      <c r="QY156" s="36"/>
      <c r="QZ156" s="36"/>
      <c r="RA156" s="36"/>
      <c r="RB156" s="36"/>
      <c r="RC156" s="36"/>
      <c r="RD156" s="36"/>
      <c r="RE156" s="36"/>
      <c r="RF156" s="36"/>
      <c r="RG156" s="36"/>
      <c r="RH156" s="36"/>
      <c r="RI156" s="36"/>
      <c r="RJ156" s="36"/>
      <c r="RK156" s="36"/>
      <c r="RL156" s="36"/>
      <c r="RM156" s="36"/>
      <c r="RN156" s="36"/>
      <c r="RO156" s="36"/>
      <c r="RP156" s="36"/>
      <c r="RQ156" s="36"/>
      <c r="RR156" s="36"/>
      <c r="RS156" s="36"/>
      <c r="RT156" s="36"/>
      <c r="RU156" s="36"/>
      <c r="RV156" s="36"/>
      <c r="RW156" s="36"/>
      <c r="RX156" s="36"/>
      <c r="RY156" s="36"/>
      <c r="RZ156" s="36"/>
      <c r="SA156" s="36"/>
      <c r="SB156" s="36"/>
      <c r="SC156" s="36"/>
      <c r="SD156" s="36"/>
      <c r="SE156" s="36"/>
      <c r="SF156" s="36"/>
      <c r="SG156" s="36"/>
      <c r="SH156" s="36"/>
      <c r="SI156" s="36"/>
      <c r="SJ156" s="36"/>
      <c r="SK156" s="36"/>
      <c r="SL156" s="36"/>
      <c r="SM156" s="36"/>
      <c r="SN156" s="36"/>
      <c r="SO156" s="36"/>
      <c r="SP156" s="36"/>
      <c r="SQ156" s="36"/>
      <c r="SR156" s="36"/>
      <c r="SS156" s="36"/>
      <c r="ST156" s="36"/>
      <c r="SU156" s="36"/>
      <c r="SV156" s="36"/>
      <c r="SW156" s="36"/>
      <c r="SX156" s="36"/>
      <c r="SY156" s="36"/>
      <c r="SZ156" s="36"/>
      <c r="TA156" s="36"/>
      <c r="TB156" s="36"/>
      <c r="TC156" s="36"/>
      <c r="TD156" s="36"/>
      <c r="TE156" s="36"/>
      <c r="TF156" s="36"/>
      <c r="TG156" s="36"/>
      <c r="TH156" s="36"/>
      <c r="TI156" s="36"/>
    </row>
    <row r="157" spans="1:529" s="23" customFormat="1" ht="28.5" customHeight="1" x14ac:dyDescent="0.25">
      <c r="A157" s="43" t="s">
        <v>389</v>
      </c>
      <c r="B157" s="44" t="str">
        <f>'дод 4'!A99</f>
        <v>3172</v>
      </c>
      <c r="C157" s="44">
        <f>'дод 4'!B99</f>
        <v>1010</v>
      </c>
      <c r="D157" s="24" t="str">
        <f>'дод 4'!C99</f>
        <v>Встановлення телефонів особам з інвалідністю I і II груп, у т.ч. за рахунок:</v>
      </c>
      <c r="E157" s="66">
        <f t="shared" si="59"/>
        <v>90</v>
      </c>
      <c r="F157" s="66">
        <v>90</v>
      </c>
      <c r="G157" s="66"/>
      <c r="H157" s="66"/>
      <c r="I157" s="66"/>
      <c r="J157" s="66">
        <f t="shared" si="61"/>
        <v>0</v>
      </c>
      <c r="K157" s="66"/>
      <c r="L157" s="66"/>
      <c r="M157" s="66"/>
      <c r="N157" s="66"/>
      <c r="O157" s="66"/>
      <c r="P157" s="66">
        <f t="shared" si="60"/>
        <v>90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</row>
    <row r="158" spans="1:529" s="27" customFormat="1" x14ac:dyDescent="0.25">
      <c r="A158" s="140"/>
      <c r="B158" s="141"/>
      <c r="C158" s="141"/>
      <c r="D158" s="144" t="s">
        <v>455</v>
      </c>
      <c r="E158" s="139">
        <f t="shared" si="59"/>
        <v>90</v>
      </c>
      <c r="F158" s="139">
        <v>90</v>
      </c>
      <c r="G158" s="139"/>
      <c r="H158" s="139"/>
      <c r="I158" s="139"/>
      <c r="J158" s="139">
        <f t="shared" si="61"/>
        <v>0</v>
      </c>
      <c r="K158" s="139"/>
      <c r="L158" s="139"/>
      <c r="M158" s="139"/>
      <c r="N158" s="139"/>
      <c r="O158" s="139"/>
      <c r="P158" s="139">
        <f t="shared" si="60"/>
        <v>90</v>
      </c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  <c r="IP158" s="36"/>
      <c r="IQ158" s="36"/>
      <c r="IR158" s="36"/>
      <c r="IS158" s="36"/>
      <c r="IT158" s="36"/>
      <c r="IU158" s="36"/>
      <c r="IV158" s="36"/>
      <c r="IW158" s="36"/>
      <c r="IX158" s="36"/>
      <c r="IY158" s="36"/>
      <c r="IZ158" s="36"/>
      <c r="JA158" s="36"/>
      <c r="JB158" s="36"/>
      <c r="JC158" s="36"/>
      <c r="JD158" s="36"/>
      <c r="JE158" s="36"/>
      <c r="JF158" s="36"/>
      <c r="JG158" s="36"/>
      <c r="JH158" s="36"/>
      <c r="JI158" s="36"/>
      <c r="JJ158" s="36"/>
      <c r="JK158" s="36"/>
      <c r="JL158" s="36"/>
      <c r="JM158" s="36"/>
      <c r="JN158" s="36"/>
      <c r="JO158" s="36"/>
      <c r="JP158" s="36"/>
      <c r="JQ158" s="36"/>
      <c r="JR158" s="36"/>
      <c r="JS158" s="36"/>
      <c r="JT158" s="36"/>
      <c r="JU158" s="36"/>
      <c r="JV158" s="36"/>
      <c r="JW158" s="36"/>
      <c r="JX158" s="36"/>
      <c r="JY158" s="36"/>
      <c r="JZ158" s="36"/>
      <c r="KA158" s="36"/>
      <c r="KB158" s="36"/>
      <c r="KC158" s="36"/>
      <c r="KD158" s="36"/>
      <c r="KE158" s="36"/>
      <c r="KF158" s="36"/>
      <c r="KG158" s="36"/>
      <c r="KH158" s="36"/>
      <c r="KI158" s="36"/>
      <c r="KJ158" s="36"/>
      <c r="KK158" s="36"/>
      <c r="KL158" s="36"/>
      <c r="KM158" s="36"/>
      <c r="KN158" s="36"/>
      <c r="KO158" s="36"/>
      <c r="KP158" s="36"/>
      <c r="KQ158" s="36"/>
      <c r="KR158" s="36"/>
      <c r="KS158" s="36"/>
      <c r="KT158" s="36"/>
      <c r="KU158" s="36"/>
      <c r="KV158" s="36"/>
      <c r="KW158" s="36"/>
      <c r="KX158" s="36"/>
      <c r="KY158" s="36"/>
      <c r="KZ158" s="36"/>
      <c r="LA158" s="36"/>
      <c r="LB158" s="36"/>
      <c r="LC158" s="36"/>
      <c r="LD158" s="36"/>
      <c r="LE158" s="36"/>
      <c r="LF158" s="36"/>
      <c r="LG158" s="36"/>
      <c r="LH158" s="36"/>
      <c r="LI158" s="36"/>
      <c r="LJ158" s="36"/>
      <c r="LK158" s="36"/>
      <c r="LL158" s="36"/>
      <c r="LM158" s="36"/>
      <c r="LN158" s="36"/>
      <c r="LO158" s="36"/>
      <c r="LP158" s="36"/>
      <c r="LQ158" s="36"/>
      <c r="LR158" s="36"/>
      <c r="LS158" s="36"/>
      <c r="LT158" s="36"/>
      <c r="LU158" s="36"/>
      <c r="LV158" s="36"/>
      <c r="LW158" s="36"/>
      <c r="LX158" s="36"/>
      <c r="LY158" s="36"/>
      <c r="LZ158" s="36"/>
      <c r="MA158" s="36"/>
      <c r="MB158" s="36"/>
      <c r="MC158" s="36"/>
      <c r="MD158" s="36"/>
      <c r="ME158" s="36"/>
      <c r="MF158" s="36"/>
      <c r="MG158" s="36"/>
      <c r="MH158" s="36"/>
      <c r="MI158" s="36"/>
      <c r="MJ158" s="36"/>
      <c r="MK158" s="36"/>
      <c r="ML158" s="36"/>
      <c r="MM158" s="36"/>
      <c r="MN158" s="36"/>
      <c r="MO158" s="36"/>
      <c r="MP158" s="36"/>
      <c r="MQ158" s="36"/>
      <c r="MR158" s="36"/>
      <c r="MS158" s="36"/>
      <c r="MT158" s="36"/>
      <c r="MU158" s="36"/>
      <c r="MV158" s="36"/>
      <c r="MW158" s="36"/>
      <c r="MX158" s="36"/>
      <c r="MY158" s="36"/>
      <c r="MZ158" s="36"/>
      <c r="NA158" s="36"/>
      <c r="NB158" s="36"/>
      <c r="NC158" s="36"/>
      <c r="ND158" s="36"/>
      <c r="NE158" s="36"/>
      <c r="NF158" s="36"/>
      <c r="NG158" s="36"/>
      <c r="NH158" s="36"/>
      <c r="NI158" s="36"/>
      <c r="NJ158" s="36"/>
      <c r="NK158" s="36"/>
      <c r="NL158" s="36"/>
      <c r="NM158" s="36"/>
      <c r="NN158" s="36"/>
      <c r="NO158" s="36"/>
      <c r="NP158" s="36"/>
      <c r="NQ158" s="36"/>
      <c r="NR158" s="36"/>
      <c r="NS158" s="36"/>
      <c r="NT158" s="36"/>
      <c r="NU158" s="36"/>
      <c r="NV158" s="36"/>
      <c r="NW158" s="36"/>
      <c r="NX158" s="36"/>
      <c r="NY158" s="36"/>
      <c r="NZ158" s="36"/>
      <c r="OA158" s="36"/>
      <c r="OB158" s="36"/>
      <c r="OC158" s="36"/>
      <c r="OD158" s="36"/>
      <c r="OE158" s="36"/>
      <c r="OF158" s="36"/>
      <c r="OG158" s="36"/>
      <c r="OH158" s="36"/>
      <c r="OI158" s="36"/>
      <c r="OJ158" s="36"/>
      <c r="OK158" s="36"/>
      <c r="OL158" s="36"/>
      <c r="OM158" s="36"/>
      <c r="ON158" s="36"/>
      <c r="OO158" s="36"/>
      <c r="OP158" s="36"/>
      <c r="OQ158" s="36"/>
      <c r="OR158" s="36"/>
      <c r="OS158" s="36"/>
      <c r="OT158" s="36"/>
      <c r="OU158" s="36"/>
      <c r="OV158" s="36"/>
      <c r="OW158" s="36"/>
      <c r="OX158" s="36"/>
      <c r="OY158" s="36"/>
      <c r="OZ158" s="36"/>
      <c r="PA158" s="36"/>
      <c r="PB158" s="36"/>
      <c r="PC158" s="36"/>
      <c r="PD158" s="36"/>
      <c r="PE158" s="36"/>
      <c r="PF158" s="36"/>
      <c r="PG158" s="36"/>
      <c r="PH158" s="36"/>
      <c r="PI158" s="36"/>
      <c r="PJ158" s="36"/>
      <c r="PK158" s="36"/>
      <c r="PL158" s="36"/>
      <c r="PM158" s="36"/>
      <c r="PN158" s="36"/>
      <c r="PO158" s="36"/>
      <c r="PP158" s="36"/>
      <c r="PQ158" s="36"/>
      <c r="PR158" s="36"/>
      <c r="PS158" s="36"/>
      <c r="PT158" s="36"/>
      <c r="PU158" s="36"/>
      <c r="PV158" s="36"/>
      <c r="PW158" s="36"/>
      <c r="PX158" s="36"/>
      <c r="PY158" s="36"/>
      <c r="PZ158" s="36"/>
      <c r="QA158" s="36"/>
      <c r="QB158" s="36"/>
      <c r="QC158" s="36"/>
      <c r="QD158" s="36"/>
      <c r="QE158" s="36"/>
      <c r="QF158" s="36"/>
      <c r="QG158" s="36"/>
      <c r="QH158" s="36"/>
      <c r="QI158" s="36"/>
      <c r="QJ158" s="36"/>
      <c r="QK158" s="36"/>
      <c r="QL158" s="36"/>
      <c r="QM158" s="36"/>
      <c r="QN158" s="36"/>
      <c r="QO158" s="36"/>
      <c r="QP158" s="36"/>
      <c r="QQ158" s="36"/>
      <c r="QR158" s="36"/>
      <c r="QS158" s="36"/>
      <c r="QT158" s="36"/>
      <c r="QU158" s="36"/>
      <c r="QV158" s="36"/>
      <c r="QW158" s="36"/>
      <c r="QX158" s="36"/>
      <c r="QY158" s="36"/>
      <c r="QZ158" s="36"/>
      <c r="RA158" s="36"/>
      <c r="RB158" s="36"/>
      <c r="RC158" s="36"/>
      <c r="RD158" s="36"/>
      <c r="RE158" s="36"/>
      <c r="RF158" s="36"/>
      <c r="RG158" s="36"/>
      <c r="RH158" s="36"/>
      <c r="RI158" s="36"/>
      <c r="RJ158" s="36"/>
      <c r="RK158" s="36"/>
      <c r="RL158" s="36"/>
      <c r="RM158" s="36"/>
      <c r="RN158" s="36"/>
      <c r="RO158" s="36"/>
      <c r="RP158" s="36"/>
      <c r="RQ158" s="36"/>
      <c r="RR158" s="36"/>
      <c r="RS158" s="36"/>
      <c r="RT158" s="36"/>
      <c r="RU158" s="36"/>
      <c r="RV158" s="36"/>
      <c r="RW158" s="36"/>
      <c r="RX158" s="36"/>
      <c r="RY158" s="36"/>
      <c r="RZ158" s="36"/>
      <c r="SA158" s="36"/>
      <c r="SB158" s="36"/>
      <c r="SC158" s="36"/>
      <c r="SD158" s="36"/>
      <c r="SE158" s="36"/>
      <c r="SF158" s="36"/>
      <c r="SG158" s="36"/>
      <c r="SH158" s="36"/>
      <c r="SI158" s="36"/>
      <c r="SJ158" s="36"/>
      <c r="SK158" s="36"/>
      <c r="SL158" s="36"/>
      <c r="SM158" s="36"/>
      <c r="SN158" s="36"/>
      <c r="SO158" s="36"/>
      <c r="SP158" s="36"/>
      <c r="SQ158" s="36"/>
      <c r="SR158" s="36"/>
      <c r="SS158" s="36"/>
      <c r="ST158" s="36"/>
      <c r="SU158" s="36"/>
      <c r="SV158" s="36"/>
      <c r="SW158" s="36"/>
      <c r="SX158" s="36"/>
      <c r="SY158" s="36"/>
      <c r="SZ158" s="36"/>
      <c r="TA158" s="36"/>
      <c r="TB158" s="36"/>
      <c r="TC158" s="36"/>
      <c r="TD158" s="36"/>
      <c r="TE158" s="36"/>
      <c r="TF158" s="36"/>
      <c r="TG158" s="36"/>
      <c r="TH158" s="36"/>
      <c r="TI158" s="36"/>
    </row>
    <row r="159" spans="1:529" s="23" customFormat="1" ht="65.25" customHeight="1" x14ac:dyDescent="0.25">
      <c r="A159" s="43" t="s">
        <v>203</v>
      </c>
      <c r="B159" s="44" t="str">
        <f>'дод 4'!A101</f>
        <v>3180</v>
      </c>
      <c r="C159" s="44" t="str">
        <f>'дод 4'!B101</f>
        <v>1060</v>
      </c>
      <c r="D159" s="24" t="str">
        <f>'дод 4'!C101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9" s="66">
        <f t="shared" si="59"/>
        <v>2028000</v>
      </c>
      <c r="F159" s="66">
        <f>1876300+198700-47000</f>
        <v>2028000</v>
      </c>
      <c r="G159" s="66"/>
      <c r="H159" s="66"/>
      <c r="I159" s="66"/>
      <c r="J159" s="66">
        <f t="shared" si="61"/>
        <v>0</v>
      </c>
      <c r="K159" s="66"/>
      <c r="L159" s="66"/>
      <c r="M159" s="66"/>
      <c r="N159" s="66"/>
      <c r="O159" s="66"/>
      <c r="P159" s="66">
        <f t="shared" si="60"/>
        <v>2028000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</row>
    <row r="160" spans="1:529" s="23" customFormat="1" ht="27" customHeight="1" x14ac:dyDescent="0.25">
      <c r="A160" s="43" t="s">
        <v>338</v>
      </c>
      <c r="B160" s="44" t="str">
        <f>'дод 4'!A102</f>
        <v>3191</v>
      </c>
      <c r="C160" s="44" t="str">
        <f>'дод 4'!B102</f>
        <v>1030</v>
      </c>
      <c r="D160" s="24" t="str">
        <f>'дод 4'!C102</f>
        <v>Інші видатки на соціальний захист ветеранів війни та праці</v>
      </c>
      <c r="E160" s="66">
        <f t="shared" si="59"/>
        <v>2199344</v>
      </c>
      <c r="F160" s="66">
        <f>2178000-7032+28376</f>
        <v>2199344</v>
      </c>
      <c r="G160" s="66"/>
      <c r="H160" s="66"/>
      <c r="I160" s="66"/>
      <c r="J160" s="66">
        <f t="shared" si="61"/>
        <v>0</v>
      </c>
      <c r="K160" s="66"/>
      <c r="L160" s="66"/>
      <c r="M160" s="66"/>
      <c r="N160" s="66"/>
      <c r="O160" s="66"/>
      <c r="P160" s="66">
        <f t="shared" si="60"/>
        <v>2199344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23" customFormat="1" ht="45" x14ac:dyDescent="0.25">
      <c r="A161" s="43" t="s">
        <v>339</v>
      </c>
      <c r="B161" s="44" t="str">
        <f>'дод 4'!A103</f>
        <v>3192</v>
      </c>
      <c r="C161" s="44" t="str">
        <f>'дод 4'!B103</f>
        <v>1030</v>
      </c>
      <c r="D161" s="24" t="str">
        <f>'дод 4'!C103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1" s="66">
        <f t="shared" si="59"/>
        <v>1892237</v>
      </c>
      <c r="F161" s="66">
        <f>1478776+413461</f>
        <v>1892237</v>
      </c>
      <c r="G161" s="66"/>
      <c r="H161" s="66"/>
      <c r="I161" s="66"/>
      <c r="J161" s="66">
        <f t="shared" si="61"/>
        <v>0</v>
      </c>
      <c r="K161" s="66"/>
      <c r="L161" s="66"/>
      <c r="M161" s="66"/>
      <c r="N161" s="66"/>
      <c r="O161" s="66"/>
      <c r="P161" s="66">
        <f t="shared" si="60"/>
        <v>1892237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</row>
    <row r="162" spans="1:529" s="23" customFormat="1" ht="34.5" customHeight="1" x14ac:dyDescent="0.25">
      <c r="A162" s="43" t="s">
        <v>204</v>
      </c>
      <c r="B162" s="44" t="str">
        <f>'дод 4'!A104</f>
        <v>3200</v>
      </c>
      <c r="C162" s="44" t="str">
        <f>'дод 4'!B104</f>
        <v>1090</v>
      </c>
      <c r="D162" s="24" t="str">
        <f>'дод 4'!C104</f>
        <v>Забезпечення обробки інформації з нарахування та виплати допомог і компенсацій</v>
      </c>
      <c r="E162" s="66">
        <f t="shared" si="59"/>
        <v>86500</v>
      </c>
      <c r="F162" s="66">
        <v>86500</v>
      </c>
      <c r="G162" s="66"/>
      <c r="H162" s="66"/>
      <c r="I162" s="66"/>
      <c r="J162" s="66">
        <f t="shared" si="61"/>
        <v>0</v>
      </c>
      <c r="K162" s="66"/>
      <c r="L162" s="66"/>
      <c r="M162" s="66"/>
      <c r="N162" s="66"/>
      <c r="O162" s="66"/>
      <c r="P162" s="66">
        <f t="shared" si="60"/>
        <v>86500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</row>
    <row r="163" spans="1:529" s="23" customFormat="1" ht="19.5" customHeight="1" x14ac:dyDescent="0.25">
      <c r="A163" s="52" t="s">
        <v>340</v>
      </c>
      <c r="B163" s="45" t="str">
        <f>'дод 4'!A105</f>
        <v>3210</v>
      </c>
      <c r="C163" s="45" t="str">
        <f>'дод 4'!B105</f>
        <v>1050</v>
      </c>
      <c r="D163" s="22" t="str">
        <f>'дод 4'!C105</f>
        <v>Організація та проведення громадських робіт</v>
      </c>
      <c r="E163" s="66">
        <f t="shared" si="59"/>
        <v>200000</v>
      </c>
      <c r="F163" s="66">
        <v>200000</v>
      </c>
      <c r="G163" s="66">
        <v>163935</v>
      </c>
      <c r="H163" s="66"/>
      <c r="I163" s="66"/>
      <c r="J163" s="66">
        <f t="shared" si="61"/>
        <v>0</v>
      </c>
      <c r="K163" s="66"/>
      <c r="L163" s="66"/>
      <c r="M163" s="66"/>
      <c r="N163" s="66"/>
      <c r="O163" s="66"/>
      <c r="P163" s="66">
        <f t="shared" si="60"/>
        <v>200000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23" customFormat="1" ht="231.75" hidden="1" customHeight="1" x14ac:dyDescent="0.25">
      <c r="A164" s="52"/>
      <c r="B164" s="45"/>
      <c r="C164" s="52"/>
      <c r="D164" s="22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</row>
    <row r="165" spans="1:529" s="27" customFormat="1" ht="244.5" hidden="1" customHeight="1" x14ac:dyDescent="0.25">
      <c r="A165" s="136"/>
      <c r="B165" s="137"/>
      <c r="C165" s="136"/>
      <c r="D165" s="138"/>
      <c r="E165" s="139"/>
      <c r="F165" s="139"/>
      <c r="G165" s="139"/>
      <c r="H165" s="139"/>
      <c r="I165" s="139"/>
      <c r="J165" s="66"/>
      <c r="K165" s="139"/>
      <c r="L165" s="139"/>
      <c r="M165" s="139"/>
      <c r="N165" s="139"/>
      <c r="O165" s="139"/>
      <c r="P165" s="6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  <c r="IW165" s="36"/>
      <c r="IX165" s="36"/>
      <c r="IY165" s="36"/>
      <c r="IZ165" s="36"/>
      <c r="JA165" s="36"/>
      <c r="JB165" s="36"/>
      <c r="JC165" s="36"/>
      <c r="JD165" s="36"/>
      <c r="JE165" s="36"/>
      <c r="JF165" s="36"/>
      <c r="JG165" s="36"/>
      <c r="JH165" s="36"/>
      <c r="JI165" s="36"/>
      <c r="JJ165" s="36"/>
      <c r="JK165" s="36"/>
      <c r="JL165" s="36"/>
      <c r="JM165" s="36"/>
      <c r="JN165" s="36"/>
      <c r="JO165" s="36"/>
      <c r="JP165" s="36"/>
      <c r="JQ165" s="36"/>
      <c r="JR165" s="36"/>
      <c r="JS165" s="36"/>
      <c r="JT165" s="36"/>
      <c r="JU165" s="36"/>
      <c r="JV165" s="36"/>
      <c r="JW165" s="36"/>
      <c r="JX165" s="36"/>
      <c r="JY165" s="36"/>
      <c r="JZ165" s="36"/>
      <c r="KA165" s="36"/>
      <c r="KB165" s="36"/>
      <c r="KC165" s="36"/>
      <c r="KD165" s="36"/>
      <c r="KE165" s="36"/>
      <c r="KF165" s="36"/>
      <c r="KG165" s="36"/>
      <c r="KH165" s="36"/>
      <c r="KI165" s="36"/>
      <c r="KJ165" s="36"/>
      <c r="KK165" s="36"/>
      <c r="KL165" s="36"/>
      <c r="KM165" s="36"/>
      <c r="KN165" s="36"/>
      <c r="KO165" s="36"/>
      <c r="KP165" s="36"/>
      <c r="KQ165" s="36"/>
      <c r="KR165" s="36"/>
      <c r="KS165" s="36"/>
      <c r="KT165" s="36"/>
      <c r="KU165" s="36"/>
      <c r="KV165" s="36"/>
      <c r="KW165" s="36"/>
      <c r="KX165" s="36"/>
      <c r="KY165" s="36"/>
      <c r="KZ165" s="36"/>
      <c r="LA165" s="36"/>
      <c r="LB165" s="36"/>
      <c r="LC165" s="36"/>
      <c r="LD165" s="36"/>
      <c r="LE165" s="36"/>
      <c r="LF165" s="36"/>
      <c r="LG165" s="36"/>
      <c r="LH165" s="36"/>
      <c r="LI165" s="36"/>
      <c r="LJ165" s="36"/>
      <c r="LK165" s="36"/>
      <c r="LL165" s="36"/>
      <c r="LM165" s="36"/>
      <c r="LN165" s="36"/>
      <c r="LO165" s="36"/>
      <c r="LP165" s="36"/>
      <c r="LQ165" s="36"/>
      <c r="LR165" s="36"/>
      <c r="LS165" s="36"/>
      <c r="LT165" s="36"/>
      <c r="LU165" s="36"/>
      <c r="LV165" s="36"/>
      <c r="LW165" s="36"/>
      <c r="LX165" s="36"/>
      <c r="LY165" s="36"/>
      <c r="LZ165" s="36"/>
      <c r="MA165" s="36"/>
      <c r="MB165" s="36"/>
      <c r="MC165" s="36"/>
      <c r="MD165" s="36"/>
      <c r="ME165" s="36"/>
      <c r="MF165" s="36"/>
      <c r="MG165" s="36"/>
      <c r="MH165" s="36"/>
      <c r="MI165" s="36"/>
      <c r="MJ165" s="36"/>
      <c r="MK165" s="36"/>
      <c r="ML165" s="36"/>
      <c r="MM165" s="36"/>
      <c r="MN165" s="36"/>
      <c r="MO165" s="36"/>
      <c r="MP165" s="36"/>
      <c r="MQ165" s="36"/>
      <c r="MR165" s="36"/>
      <c r="MS165" s="36"/>
      <c r="MT165" s="36"/>
      <c r="MU165" s="36"/>
      <c r="MV165" s="36"/>
      <c r="MW165" s="36"/>
      <c r="MX165" s="36"/>
      <c r="MY165" s="36"/>
      <c r="MZ165" s="36"/>
      <c r="NA165" s="36"/>
      <c r="NB165" s="36"/>
      <c r="NC165" s="36"/>
      <c r="ND165" s="36"/>
      <c r="NE165" s="36"/>
      <c r="NF165" s="36"/>
      <c r="NG165" s="36"/>
      <c r="NH165" s="36"/>
      <c r="NI165" s="36"/>
      <c r="NJ165" s="36"/>
      <c r="NK165" s="36"/>
      <c r="NL165" s="36"/>
      <c r="NM165" s="36"/>
      <c r="NN165" s="36"/>
      <c r="NO165" s="36"/>
      <c r="NP165" s="36"/>
      <c r="NQ165" s="36"/>
      <c r="NR165" s="36"/>
      <c r="NS165" s="36"/>
      <c r="NT165" s="36"/>
      <c r="NU165" s="36"/>
      <c r="NV165" s="36"/>
      <c r="NW165" s="36"/>
      <c r="NX165" s="36"/>
      <c r="NY165" s="36"/>
      <c r="NZ165" s="36"/>
      <c r="OA165" s="36"/>
      <c r="OB165" s="36"/>
      <c r="OC165" s="36"/>
      <c r="OD165" s="36"/>
      <c r="OE165" s="36"/>
      <c r="OF165" s="36"/>
      <c r="OG165" s="36"/>
      <c r="OH165" s="36"/>
      <c r="OI165" s="36"/>
      <c r="OJ165" s="36"/>
      <c r="OK165" s="36"/>
      <c r="OL165" s="36"/>
      <c r="OM165" s="36"/>
      <c r="ON165" s="36"/>
      <c r="OO165" s="36"/>
      <c r="OP165" s="36"/>
      <c r="OQ165" s="36"/>
      <c r="OR165" s="36"/>
      <c r="OS165" s="36"/>
      <c r="OT165" s="36"/>
      <c r="OU165" s="36"/>
      <c r="OV165" s="36"/>
      <c r="OW165" s="36"/>
      <c r="OX165" s="36"/>
      <c r="OY165" s="36"/>
      <c r="OZ165" s="36"/>
      <c r="PA165" s="36"/>
      <c r="PB165" s="36"/>
      <c r="PC165" s="36"/>
      <c r="PD165" s="36"/>
      <c r="PE165" s="36"/>
      <c r="PF165" s="36"/>
      <c r="PG165" s="36"/>
      <c r="PH165" s="36"/>
      <c r="PI165" s="36"/>
      <c r="PJ165" s="36"/>
      <c r="PK165" s="36"/>
      <c r="PL165" s="36"/>
      <c r="PM165" s="36"/>
      <c r="PN165" s="36"/>
      <c r="PO165" s="36"/>
      <c r="PP165" s="36"/>
      <c r="PQ165" s="36"/>
      <c r="PR165" s="36"/>
      <c r="PS165" s="36"/>
      <c r="PT165" s="36"/>
      <c r="PU165" s="36"/>
      <c r="PV165" s="36"/>
      <c r="PW165" s="36"/>
      <c r="PX165" s="36"/>
      <c r="PY165" s="36"/>
      <c r="PZ165" s="36"/>
      <c r="QA165" s="36"/>
      <c r="QB165" s="36"/>
      <c r="QC165" s="36"/>
      <c r="QD165" s="36"/>
      <c r="QE165" s="36"/>
      <c r="QF165" s="36"/>
      <c r="QG165" s="36"/>
      <c r="QH165" s="36"/>
      <c r="QI165" s="36"/>
      <c r="QJ165" s="36"/>
      <c r="QK165" s="36"/>
      <c r="QL165" s="36"/>
      <c r="QM165" s="36"/>
      <c r="QN165" s="36"/>
      <c r="QO165" s="36"/>
      <c r="QP165" s="36"/>
      <c r="QQ165" s="36"/>
      <c r="QR165" s="36"/>
      <c r="QS165" s="36"/>
      <c r="QT165" s="36"/>
      <c r="QU165" s="36"/>
      <c r="QV165" s="36"/>
      <c r="QW165" s="36"/>
      <c r="QX165" s="36"/>
      <c r="QY165" s="36"/>
      <c r="QZ165" s="36"/>
      <c r="RA165" s="36"/>
      <c r="RB165" s="36"/>
      <c r="RC165" s="36"/>
      <c r="RD165" s="36"/>
      <c r="RE165" s="36"/>
      <c r="RF165" s="36"/>
      <c r="RG165" s="36"/>
      <c r="RH165" s="36"/>
      <c r="RI165" s="36"/>
      <c r="RJ165" s="36"/>
      <c r="RK165" s="36"/>
      <c r="RL165" s="36"/>
      <c r="RM165" s="36"/>
      <c r="RN165" s="36"/>
      <c r="RO165" s="36"/>
      <c r="RP165" s="36"/>
      <c r="RQ165" s="36"/>
      <c r="RR165" s="36"/>
      <c r="RS165" s="36"/>
      <c r="RT165" s="36"/>
      <c r="RU165" s="36"/>
      <c r="RV165" s="36"/>
      <c r="RW165" s="36"/>
      <c r="RX165" s="36"/>
      <c r="RY165" s="36"/>
      <c r="RZ165" s="36"/>
      <c r="SA165" s="36"/>
      <c r="SB165" s="36"/>
      <c r="SC165" s="36"/>
      <c r="SD165" s="36"/>
      <c r="SE165" s="36"/>
      <c r="SF165" s="36"/>
      <c r="SG165" s="36"/>
      <c r="SH165" s="36"/>
      <c r="SI165" s="36"/>
      <c r="SJ165" s="36"/>
      <c r="SK165" s="36"/>
      <c r="SL165" s="36"/>
      <c r="SM165" s="36"/>
      <c r="SN165" s="36"/>
      <c r="SO165" s="36"/>
      <c r="SP165" s="36"/>
      <c r="SQ165" s="36"/>
      <c r="SR165" s="36"/>
      <c r="SS165" s="36"/>
      <c r="ST165" s="36"/>
      <c r="SU165" s="36"/>
      <c r="SV165" s="36"/>
      <c r="SW165" s="36"/>
      <c r="SX165" s="36"/>
      <c r="SY165" s="36"/>
      <c r="SZ165" s="36"/>
      <c r="TA165" s="36"/>
      <c r="TB165" s="36"/>
      <c r="TC165" s="36"/>
      <c r="TD165" s="36"/>
      <c r="TE165" s="36"/>
      <c r="TF165" s="36"/>
      <c r="TG165" s="36"/>
      <c r="TH165" s="36"/>
      <c r="TI165" s="36"/>
    </row>
    <row r="166" spans="1:529" s="23" customFormat="1" ht="188.25" hidden="1" customHeight="1" x14ac:dyDescent="0.25">
      <c r="A166" s="52"/>
      <c r="B166" s="45"/>
      <c r="C166" s="52"/>
      <c r="D166" s="22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7" customFormat="1" ht="218.25" hidden="1" customHeight="1" x14ac:dyDescent="0.25">
      <c r="A167" s="136"/>
      <c r="B167" s="137"/>
      <c r="C167" s="136"/>
      <c r="D167" s="138"/>
      <c r="E167" s="139"/>
      <c r="F167" s="139"/>
      <c r="G167" s="139"/>
      <c r="H167" s="139"/>
      <c r="I167" s="139"/>
      <c r="J167" s="66"/>
      <c r="K167" s="139"/>
      <c r="L167" s="139"/>
      <c r="M167" s="139"/>
      <c r="N167" s="139"/>
      <c r="O167" s="139"/>
      <c r="P167" s="6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  <c r="IV167" s="36"/>
      <c r="IW167" s="36"/>
      <c r="IX167" s="36"/>
      <c r="IY167" s="36"/>
      <c r="IZ167" s="36"/>
      <c r="JA167" s="36"/>
      <c r="JB167" s="36"/>
      <c r="JC167" s="36"/>
      <c r="JD167" s="36"/>
      <c r="JE167" s="36"/>
      <c r="JF167" s="36"/>
      <c r="JG167" s="36"/>
      <c r="JH167" s="36"/>
      <c r="JI167" s="36"/>
      <c r="JJ167" s="36"/>
      <c r="JK167" s="36"/>
      <c r="JL167" s="36"/>
      <c r="JM167" s="36"/>
      <c r="JN167" s="36"/>
      <c r="JO167" s="36"/>
      <c r="JP167" s="36"/>
      <c r="JQ167" s="36"/>
      <c r="JR167" s="36"/>
      <c r="JS167" s="36"/>
      <c r="JT167" s="36"/>
      <c r="JU167" s="36"/>
      <c r="JV167" s="36"/>
      <c r="JW167" s="36"/>
      <c r="JX167" s="36"/>
      <c r="JY167" s="36"/>
      <c r="JZ167" s="36"/>
      <c r="KA167" s="36"/>
      <c r="KB167" s="36"/>
      <c r="KC167" s="36"/>
      <c r="KD167" s="36"/>
      <c r="KE167" s="36"/>
      <c r="KF167" s="36"/>
      <c r="KG167" s="36"/>
      <c r="KH167" s="36"/>
      <c r="KI167" s="36"/>
      <c r="KJ167" s="36"/>
      <c r="KK167" s="36"/>
      <c r="KL167" s="36"/>
      <c r="KM167" s="36"/>
      <c r="KN167" s="36"/>
      <c r="KO167" s="36"/>
      <c r="KP167" s="36"/>
      <c r="KQ167" s="36"/>
      <c r="KR167" s="36"/>
      <c r="KS167" s="36"/>
      <c r="KT167" s="36"/>
      <c r="KU167" s="36"/>
      <c r="KV167" s="36"/>
      <c r="KW167" s="36"/>
      <c r="KX167" s="36"/>
      <c r="KY167" s="36"/>
      <c r="KZ167" s="36"/>
      <c r="LA167" s="36"/>
      <c r="LB167" s="36"/>
      <c r="LC167" s="36"/>
      <c r="LD167" s="36"/>
      <c r="LE167" s="36"/>
      <c r="LF167" s="36"/>
      <c r="LG167" s="36"/>
      <c r="LH167" s="36"/>
      <c r="LI167" s="36"/>
      <c r="LJ167" s="36"/>
      <c r="LK167" s="36"/>
      <c r="LL167" s="36"/>
      <c r="LM167" s="36"/>
      <c r="LN167" s="36"/>
      <c r="LO167" s="36"/>
      <c r="LP167" s="36"/>
      <c r="LQ167" s="36"/>
      <c r="LR167" s="36"/>
      <c r="LS167" s="36"/>
      <c r="LT167" s="36"/>
      <c r="LU167" s="36"/>
      <c r="LV167" s="36"/>
      <c r="LW167" s="36"/>
      <c r="LX167" s="36"/>
      <c r="LY167" s="36"/>
      <c r="LZ167" s="36"/>
      <c r="MA167" s="36"/>
      <c r="MB167" s="36"/>
      <c r="MC167" s="36"/>
      <c r="MD167" s="36"/>
      <c r="ME167" s="36"/>
      <c r="MF167" s="36"/>
      <c r="MG167" s="36"/>
      <c r="MH167" s="36"/>
      <c r="MI167" s="36"/>
      <c r="MJ167" s="36"/>
      <c r="MK167" s="36"/>
      <c r="ML167" s="36"/>
      <c r="MM167" s="36"/>
      <c r="MN167" s="36"/>
      <c r="MO167" s="36"/>
      <c r="MP167" s="36"/>
      <c r="MQ167" s="36"/>
      <c r="MR167" s="36"/>
      <c r="MS167" s="36"/>
      <c r="MT167" s="36"/>
      <c r="MU167" s="36"/>
      <c r="MV167" s="36"/>
      <c r="MW167" s="36"/>
      <c r="MX167" s="36"/>
      <c r="MY167" s="36"/>
      <c r="MZ167" s="36"/>
      <c r="NA167" s="36"/>
      <c r="NB167" s="36"/>
      <c r="NC167" s="36"/>
      <c r="ND167" s="36"/>
      <c r="NE167" s="36"/>
      <c r="NF167" s="36"/>
      <c r="NG167" s="36"/>
      <c r="NH167" s="36"/>
      <c r="NI167" s="36"/>
      <c r="NJ167" s="36"/>
      <c r="NK167" s="36"/>
      <c r="NL167" s="36"/>
      <c r="NM167" s="36"/>
      <c r="NN167" s="36"/>
      <c r="NO167" s="36"/>
      <c r="NP167" s="36"/>
      <c r="NQ167" s="36"/>
      <c r="NR167" s="36"/>
      <c r="NS167" s="36"/>
      <c r="NT167" s="36"/>
      <c r="NU167" s="36"/>
      <c r="NV167" s="36"/>
      <c r="NW167" s="36"/>
      <c r="NX167" s="36"/>
      <c r="NY167" s="36"/>
      <c r="NZ167" s="36"/>
      <c r="OA167" s="36"/>
      <c r="OB167" s="36"/>
      <c r="OC167" s="36"/>
      <c r="OD167" s="36"/>
      <c r="OE167" s="36"/>
      <c r="OF167" s="36"/>
      <c r="OG167" s="36"/>
      <c r="OH167" s="36"/>
      <c r="OI167" s="36"/>
      <c r="OJ167" s="36"/>
      <c r="OK167" s="36"/>
      <c r="OL167" s="36"/>
      <c r="OM167" s="36"/>
      <c r="ON167" s="36"/>
      <c r="OO167" s="36"/>
      <c r="OP167" s="36"/>
      <c r="OQ167" s="36"/>
      <c r="OR167" s="36"/>
      <c r="OS167" s="36"/>
      <c r="OT167" s="36"/>
      <c r="OU167" s="36"/>
      <c r="OV167" s="36"/>
      <c r="OW167" s="36"/>
      <c r="OX167" s="36"/>
      <c r="OY167" s="36"/>
      <c r="OZ167" s="36"/>
      <c r="PA167" s="36"/>
      <c r="PB167" s="36"/>
      <c r="PC167" s="36"/>
      <c r="PD167" s="36"/>
      <c r="PE167" s="36"/>
      <c r="PF167" s="36"/>
      <c r="PG167" s="36"/>
      <c r="PH167" s="36"/>
      <c r="PI167" s="36"/>
      <c r="PJ167" s="36"/>
      <c r="PK167" s="36"/>
      <c r="PL167" s="36"/>
      <c r="PM167" s="36"/>
      <c r="PN167" s="36"/>
      <c r="PO167" s="36"/>
      <c r="PP167" s="36"/>
      <c r="PQ167" s="36"/>
      <c r="PR167" s="36"/>
      <c r="PS167" s="36"/>
      <c r="PT167" s="36"/>
      <c r="PU167" s="36"/>
      <c r="PV167" s="36"/>
      <c r="PW167" s="36"/>
      <c r="PX167" s="36"/>
      <c r="PY167" s="36"/>
      <c r="PZ167" s="36"/>
      <c r="QA167" s="36"/>
      <c r="QB167" s="36"/>
      <c r="QC167" s="36"/>
      <c r="QD167" s="36"/>
      <c r="QE167" s="36"/>
      <c r="QF167" s="36"/>
      <c r="QG167" s="36"/>
      <c r="QH167" s="36"/>
      <c r="QI167" s="36"/>
      <c r="QJ167" s="36"/>
      <c r="QK167" s="36"/>
      <c r="QL167" s="36"/>
      <c r="QM167" s="36"/>
      <c r="QN167" s="36"/>
      <c r="QO167" s="36"/>
      <c r="QP167" s="36"/>
      <c r="QQ167" s="36"/>
      <c r="QR167" s="36"/>
      <c r="QS167" s="36"/>
      <c r="QT167" s="36"/>
      <c r="QU167" s="36"/>
      <c r="QV167" s="36"/>
      <c r="QW167" s="36"/>
      <c r="QX167" s="36"/>
      <c r="QY167" s="36"/>
      <c r="QZ167" s="36"/>
      <c r="RA167" s="36"/>
      <c r="RB167" s="36"/>
      <c r="RC167" s="36"/>
      <c r="RD167" s="36"/>
      <c r="RE167" s="36"/>
      <c r="RF167" s="36"/>
      <c r="RG167" s="36"/>
      <c r="RH167" s="36"/>
      <c r="RI167" s="36"/>
      <c r="RJ167" s="36"/>
      <c r="RK167" s="36"/>
      <c r="RL167" s="36"/>
      <c r="RM167" s="36"/>
      <c r="RN167" s="36"/>
      <c r="RO167" s="36"/>
      <c r="RP167" s="36"/>
      <c r="RQ167" s="36"/>
      <c r="RR167" s="36"/>
      <c r="RS167" s="36"/>
      <c r="RT167" s="36"/>
      <c r="RU167" s="36"/>
      <c r="RV167" s="36"/>
      <c r="RW167" s="36"/>
      <c r="RX167" s="36"/>
      <c r="RY167" s="36"/>
      <c r="RZ167" s="36"/>
      <c r="SA167" s="36"/>
      <c r="SB167" s="36"/>
      <c r="SC167" s="36"/>
      <c r="SD167" s="36"/>
      <c r="SE167" s="36"/>
      <c r="SF167" s="36"/>
      <c r="SG167" s="36"/>
      <c r="SH167" s="36"/>
      <c r="SI167" s="36"/>
      <c r="SJ167" s="36"/>
      <c r="SK167" s="36"/>
      <c r="SL167" s="36"/>
      <c r="SM167" s="36"/>
      <c r="SN167" s="36"/>
      <c r="SO167" s="36"/>
      <c r="SP167" s="36"/>
      <c r="SQ167" s="36"/>
      <c r="SR167" s="36"/>
      <c r="SS167" s="36"/>
      <c r="ST167" s="36"/>
      <c r="SU167" s="36"/>
      <c r="SV167" s="36"/>
      <c r="SW167" s="36"/>
      <c r="SX167" s="36"/>
      <c r="SY167" s="36"/>
      <c r="SZ167" s="36"/>
      <c r="TA167" s="36"/>
      <c r="TB167" s="36"/>
      <c r="TC167" s="36"/>
      <c r="TD167" s="36"/>
      <c r="TE167" s="36"/>
      <c r="TF167" s="36"/>
      <c r="TG167" s="36"/>
      <c r="TH167" s="36"/>
      <c r="TI167" s="36"/>
    </row>
    <row r="168" spans="1:529" s="23" customFormat="1" ht="31.5" customHeight="1" x14ac:dyDescent="0.25">
      <c r="A168" s="43" t="s">
        <v>337</v>
      </c>
      <c r="B168" s="44" t="str">
        <f>'дод 4'!A110</f>
        <v>3241</v>
      </c>
      <c r="C168" s="44" t="str">
        <f>'дод 4'!B110</f>
        <v>1090</v>
      </c>
      <c r="D168" s="24" t="str">
        <f>'дод 4'!C110</f>
        <v>Забезпечення діяльності інших закладів у сфері соціального захисту і соціального забезпечення</v>
      </c>
      <c r="E168" s="66">
        <f t="shared" si="59"/>
        <v>5360106</v>
      </c>
      <c r="F168" s="66">
        <f>5445830+31200-41000+61876-10000+33000-160800</f>
        <v>5360106</v>
      </c>
      <c r="G168" s="66">
        <f>3343340-135700</f>
        <v>3207640</v>
      </c>
      <c r="H168" s="66">
        <f>543630-41000-10000</f>
        <v>492630</v>
      </c>
      <c r="I168" s="66"/>
      <c r="J168" s="66">
        <f t="shared" ref="J168:J172" si="62">L168+O168</f>
        <v>610997</v>
      </c>
      <c r="K168" s="66">
        <f>200000+500000+40000+21000-200000+49997</f>
        <v>610997</v>
      </c>
      <c r="L168" s="66"/>
      <c r="M168" s="66"/>
      <c r="N168" s="66"/>
      <c r="O168" s="66">
        <f>200000+500000+40000+21000-200000+49997</f>
        <v>610997</v>
      </c>
      <c r="P168" s="66">
        <f t="shared" si="60"/>
        <v>5971103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</row>
    <row r="169" spans="1:529" s="23" customFormat="1" ht="33" customHeight="1" x14ac:dyDescent="0.25">
      <c r="A169" s="43" t="s">
        <v>390</v>
      </c>
      <c r="B169" s="44" t="str">
        <f>'дод 4'!A111</f>
        <v>3242</v>
      </c>
      <c r="C169" s="44" t="str">
        <f>'дод 4'!B111</f>
        <v>1090</v>
      </c>
      <c r="D169" s="24" t="s">
        <v>482</v>
      </c>
      <c r="E169" s="66">
        <f t="shared" si="59"/>
        <v>35297336</v>
      </c>
      <c r="F169" s="66">
        <f>34421568+30000+52883-7000+537100+123500+5000-12000+23000-4940+60000+56225+10000+2000</f>
        <v>35297336</v>
      </c>
      <c r="G169" s="66"/>
      <c r="H169" s="66"/>
      <c r="I169" s="66"/>
      <c r="J169" s="66">
        <f t="shared" si="62"/>
        <v>40580</v>
      </c>
      <c r="K169" s="66">
        <f>35640+4940</f>
        <v>40580</v>
      </c>
      <c r="L169" s="66"/>
      <c r="M169" s="66"/>
      <c r="N169" s="66"/>
      <c r="O169" s="66">
        <f>35640+4940</f>
        <v>40580</v>
      </c>
      <c r="P169" s="66">
        <f t="shared" si="60"/>
        <v>35337916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7" customFormat="1" x14ac:dyDescent="0.25">
      <c r="A170" s="140"/>
      <c r="B170" s="141"/>
      <c r="C170" s="141"/>
      <c r="D170" s="144" t="s">
        <v>455</v>
      </c>
      <c r="E170" s="139">
        <f t="shared" si="59"/>
        <v>348800</v>
      </c>
      <c r="F170" s="139">
        <f>316800+32000+12000-12000</f>
        <v>348800</v>
      </c>
      <c r="G170" s="139"/>
      <c r="H170" s="139"/>
      <c r="I170" s="139"/>
      <c r="J170" s="139">
        <f t="shared" si="62"/>
        <v>0</v>
      </c>
      <c r="K170" s="139"/>
      <c r="L170" s="139"/>
      <c r="M170" s="139"/>
      <c r="N170" s="139"/>
      <c r="O170" s="139"/>
      <c r="P170" s="139">
        <f t="shared" si="60"/>
        <v>348800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  <c r="IR170" s="36"/>
      <c r="IS170" s="36"/>
      <c r="IT170" s="36"/>
      <c r="IU170" s="36"/>
      <c r="IV170" s="36"/>
      <c r="IW170" s="36"/>
      <c r="IX170" s="36"/>
      <c r="IY170" s="36"/>
      <c r="IZ170" s="36"/>
      <c r="JA170" s="36"/>
      <c r="JB170" s="36"/>
      <c r="JC170" s="36"/>
      <c r="JD170" s="36"/>
      <c r="JE170" s="36"/>
      <c r="JF170" s="36"/>
      <c r="JG170" s="36"/>
      <c r="JH170" s="36"/>
      <c r="JI170" s="36"/>
      <c r="JJ170" s="36"/>
      <c r="JK170" s="36"/>
      <c r="JL170" s="36"/>
      <c r="JM170" s="36"/>
      <c r="JN170" s="36"/>
      <c r="JO170" s="36"/>
      <c r="JP170" s="36"/>
      <c r="JQ170" s="36"/>
      <c r="JR170" s="36"/>
      <c r="JS170" s="36"/>
      <c r="JT170" s="36"/>
      <c r="JU170" s="36"/>
      <c r="JV170" s="36"/>
      <c r="JW170" s="36"/>
      <c r="JX170" s="36"/>
      <c r="JY170" s="36"/>
      <c r="JZ170" s="36"/>
      <c r="KA170" s="36"/>
      <c r="KB170" s="36"/>
      <c r="KC170" s="36"/>
      <c r="KD170" s="36"/>
      <c r="KE170" s="36"/>
      <c r="KF170" s="36"/>
      <c r="KG170" s="36"/>
      <c r="KH170" s="36"/>
      <c r="KI170" s="36"/>
      <c r="KJ170" s="36"/>
      <c r="KK170" s="36"/>
      <c r="KL170" s="36"/>
      <c r="KM170" s="36"/>
      <c r="KN170" s="36"/>
      <c r="KO170" s="36"/>
      <c r="KP170" s="36"/>
      <c r="KQ170" s="36"/>
      <c r="KR170" s="36"/>
      <c r="KS170" s="36"/>
      <c r="KT170" s="36"/>
      <c r="KU170" s="36"/>
      <c r="KV170" s="36"/>
      <c r="KW170" s="36"/>
      <c r="KX170" s="36"/>
      <c r="KY170" s="36"/>
      <c r="KZ170" s="36"/>
      <c r="LA170" s="36"/>
      <c r="LB170" s="36"/>
      <c r="LC170" s="36"/>
      <c r="LD170" s="36"/>
      <c r="LE170" s="36"/>
      <c r="LF170" s="36"/>
      <c r="LG170" s="36"/>
      <c r="LH170" s="36"/>
      <c r="LI170" s="36"/>
      <c r="LJ170" s="36"/>
      <c r="LK170" s="36"/>
      <c r="LL170" s="36"/>
      <c r="LM170" s="36"/>
      <c r="LN170" s="36"/>
      <c r="LO170" s="36"/>
      <c r="LP170" s="36"/>
      <c r="LQ170" s="36"/>
      <c r="LR170" s="36"/>
      <c r="LS170" s="36"/>
      <c r="LT170" s="36"/>
      <c r="LU170" s="36"/>
      <c r="LV170" s="36"/>
      <c r="LW170" s="36"/>
      <c r="LX170" s="36"/>
      <c r="LY170" s="36"/>
      <c r="LZ170" s="36"/>
      <c r="MA170" s="36"/>
      <c r="MB170" s="36"/>
      <c r="MC170" s="36"/>
      <c r="MD170" s="36"/>
      <c r="ME170" s="36"/>
      <c r="MF170" s="36"/>
      <c r="MG170" s="36"/>
      <c r="MH170" s="36"/>
      <c r="MI170" s="36"/>
      <c r="MJ170" s="36"/>
      <c r="MK170" s="36"/>
      <c r="ML170" s="36"/>
      <c r="MM170" s="36"/>
      <c r="MN170" s="36"/>
      <c r="MO170" s="36"/>
      <c r="MP170" s="36"/>
      <c r="MQ170" s="36"/>
      <c r="MR170" s="36"/>
      <c r="MS170" s="36"/>
      <c r="MT170" s="36"/>
      <c r="MU170" s="36"/>
      <c r="MV170" s="36"/>
      <c r="MW170" s="36"/>
      <c r="MX170" s="36"/>
      <c r="MY170" s="36"/>
      <c r="MZ170" s="36"/>
      <c r="NA170" s="36"/>
      <c r="NB170" s="36"/>
      <c r="NC170" s="36"/>
      <c r="ND170" s="36"/>
      <c r="NE170" s="36"/>
      <c r="NF170" s="36"/>
      <c r="NG170" s="36"/>
      <c r="NH170" s="36"/>
      <c r="NI170" s="36"/>
      <c r="NJ170" s="36"/>
      <c r="NK170" s="36"/>
      <c r="NL170" s="36"/>
      <c r="NM170" s="36"/>
      <c r="NN170" s="36"/>
      <c r="NO170" s="36"/>
      <c r="NP170" s="36"/>
      <c r="NQ170" s="36"/>
      <c r="NR170" s="36"/>
      <c r="NS170" s="36"/>
      <c r="NT170" s="36"/>
      <c r="NU170" s="36"/>
      <c r="NV170" s="36"/>
      <c r="NW170" s="36"/>
      <c r="NX170" s="36"/>
      <c r="NY170" s="36"/>
      <c r="NZ170" s="36"/>
      <c r="OA170" s="36"/>
      <c r="OB170" s="36"/>
      <c r="OC170" s="36"/>
      <c r="OD170" s="36"/>
      <c r="OE170" s="36"/>
      <c r="OF170" s="36"/>
      <c r="OG170" s="36"/>
      <c r="OH170" s="36"/>
      <c r="OI170" s="36"/>
      <c r="OJ170" s="36"/>
      <c r="OK170" s="36"/>
      <c r="OL170" s="36"/>
      <c r="OM170" s="36"/>
      <c r="ON170" s="36"/>
      <c r="OO170" s="36"/>
      <c r="OP170" s="36"/>
      <c r="OQ170" s="36"/>
      <c r="OR170" s="36"/>
      <c r="OS170" s="36"/>
      <c r="OT170" s="36"/>
      <c r="OU170" s="36"/>
      <c r="OV170" s="36"/>
      <c r="OW170" s="36"/>
      <c r="OX170" s="36"/>
      <c r="OY170" s="36"/>
      <c r="OZ170" s="36"/>
      <c r="PA170" s="36"/>
      <c r="PB170" s="36"/>
      <c r="PC170" s="36"/>
      <c r="PD170" s="36"/>
      <c r="PE170" s="36"/>
      <c r="PF170" s="36"/>
      <c r="PG170" s="36"/>
      <c r="PH170" s="36"/>
      <c r="PI170" s="36"/>
      <c r="PJ170" s="36"/>
      <c r="PK170" s="36"/>
      <c r="PL170" s="36"/>
      <c r="PM170" s="36"/>
      <c r="PN170" s="36"/>
      <c r="PO170" s="36"/>
      <c r="PP170" s="36"/>
      <c r="PQ170" s="36"/>
      <c r="PR170" s="36"/>
      <c r="PS170" s="36"/>
      <c r="PT170" s="36"/>
      <c r="PU170" s="36"/>
      <c r="PV170" s="36"/>
      <c r="PW170" s="36"/>
      <c r="PX170" s="36"/>
      <c r="PY170" s="36"/>
      <c r="PZ170" s="36"/>
      <c r="QA170" s="36"/>
      <c r="QB170" s="36"/>
      <c r="QC170" s="36"/>
      <c r="QD170" s="36"/>
      <c r="QE170" s="36"/>
      <c r="QF170" s="36"/>
      <c r="QG170" s="36"/>
      <c r="QH170" s="36"/>
      <c r="QI170" s="36"/>
      <c r="QJ170" s="36"/>
      <c r="QK170" s="36"/>
      <c r="QL170" s="36"/>
      <c r="QM170" s="36"/>
      <c r="QN170" s="36"/>
      <c r="QO170" s="36"/>
      <c r="QP170" s="36"/>
      <c r="QQ170" s="36"/>
      <c r="QR170" s="36"/>
      <c r="QS170" s="36"/>
      <c r="QT170" s="36"/>
      <c r="QU170" s="36"/>
      <c r="QV170" s="36"/>
      <c r="QW170" s="36"/>
      <c r="QX170" s="36"/>
      <c r="QY170" s="36"/>
      <c r="QZ170" s="36"/>
      <c r="RA170" s="36"/>
      <c r="RB170" s="36"/>
      <c r="RC170" s="36"/>
      <c r="RD170" s="36"/>
      <c r="RE170" s="36"/>
      <c r="RF170" s="36"/>
      <c r="RG170" s="36"/>
      <c r="RH170" s="36"/>
      <c r="RI170" s="36"/>
      <c r="RJ170" s="36"/>
      <c r="RK170" s="36"/>
      <c r="RL170" s="36"/>
      <c r="RM170" s="36"/>
      <c r="RN170" s="36"/>
      <c r="RO170" s="36"/>
      <c r="RP170" s="36"/>
      <c r="RQ170" s="36"/>
      <c r="RR170" s="36"/>
      <c r="RS170" s="36"/>
      <c r="RT170" s="36"/>
      <c r="RU170" s="36"/>
      <c r="RV170" s="36"/>
      <c r="RW170" s="36"/>
      <c r="RX170" s="36"/>
      <c r="RY170" s="36"/>
      <c r="RZ170" s="36"/>
      <c r="SA170" s="36"/>
      <c r="SB170" s="36"/>
      <c r="SC170" s="36"/>
      <c r="SD170" s="36"/>
      <c r="SE170" s="36"/>
      <c r="SF170" s="36"/>
      <c r="SG170" s="36"/>
      <c r="SH170" s="36"/>
      <c r="SI170" s="36"/>
      <c r="SJ170" s="36"/>
      <c r="SK170" s="36"/>
      <c r="SL170" s="36"/>
      <c r="SM170" s="36"/>
      <c r="SN170" s="36"/>
      <c r="SO170" s="36"/>
      <c r="SP170" s="36"/>
      <c r="SQ170" s="36"/>
      <c r="SR170" s="36"/>
      <c r="SS170" s="36"/>
      <c r="ST170" s="36"/>
      <c r="SU170" s="36"/>
      <c r="SV170" s="36"/>
      <c r="SW170" s="36"/>
      <c r="SX170" s="36"/>
      <c r="SY170" s="36"/>
      <c r="SZ170" s="36"/>
      <c r="TA170" s="36"/>
      <c r="TB170" s="36"/>
      <c r="TC170" s="36"/>
      <c r="TD170" s="36"/>
      <c r="TE170" s="36"/>
      <c r="TF170" s="36"/>
      <c r="TG170" s="36"/>
      <c r="TH170" s="36"/>
      <c r="TI170" s="36"/>
    </row>
    <row r="171" spans="1:529" s="23" customFormat="1" x14ac:dyDescent="0.25">
      <c r="A171" s="43" t="s">
        <v>500</v>
      </c>
      <c r="B171" s="44">
        <v>7323</v>
      </c>
      <c r="C171" s="43" t="s">
        <v>119</v>
      </c>
      <c r="D171" s="24" t="s">
        <v>501</v>
      </c>
      <c r="E171" s="66">
        <f t="shared" si="59"/>
        <v>0</v>
      </c>
      <c r="F171" s="66"/>
      <c r="G171" s="66"/>
      <c r="H171" s="66"/>
      <c r="I171" s="66"/>
      <c r="J171" s="66">
        <f t="shared" si="62"/>
        <v>300000</v>
      </c>
      <c r="K171" s="66">
        <f>200000+100000</f>
        <v>300000</v>
      </c>
      <c r="L171" s="66"/>
      <c r="M171" s="66"/>
      <c r="N171" s="66"/>
      <c r="O171" s="66">
        <f>200000+100000</f>
        <v>300000</v>
      </c>
      <c r="P171" s="66">
        <f t="shared" si="60"/>
        <v>300000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23" customFormat="1" ht="22.5" customHeight="1" x14ac:dyDescent="0.25">
      <c r="A172" s="43" t="s">
        <v>287</v>
      </c>
      <c r="B172" s="44" t="str">
        <f>'дод 4'!A201</f>
        <v>9770</v>
      </c>
      <c r="C172" s="44" t="str">
        <f>'дод 4'!B201</f>
        <v>0180</v>
      </c>
      <c r="D172" s="24" t="str">
        <f>'дод 4'!C201</f>
        <v>Інші субвенції з місцевого бюджету</v>
      </c>
      <c r="E172" s="66">
        <f t="shared" si="59"/>
        <v>1070000</v>
      </c>
      <c r="F172" s="66">
        <v>1070000</v>
      </c>
      <c r="G172" s="66"/>
      <c r="H172" s="66"/>
      <c r="I172" s="66"/>
      <c r="J172" s="66">
        <f t="shared" si="62"/>
        <v>0</v>
      </c>
      <c r="K172" s="66"/>
      <c r="L172" s="66"/>
      <c r="M172" s="66"/>
      <c r="N172" s="66"/>
      <c r="O172" s="66"/>
      <c r="P172" s="66">
        <f t="shared" si="60"/>
        <v>1070000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31" customFormat="1" ht="28.5" customHeight="1" x14ac:dyDescent="0.2">
      <c r="A173" s="80" t="s">
        <v>205</v>
      </c>
      <c r="B173" s="69"/>
      <c r="C173" s="69"/>
      <c r="D173" s="30" t="s">
        <v>401</v>
      </c>
      <c r="E173" s="63">
        <f>E174</f>
        <v>5077200</v>
      </c>
      <c r="F173" s="63">
        <f t="shared" ref="F173:J173" si="63">F174</f>
        <v>5077200</v>
      </c>
      <c r="G173" s="63">
        <f t="shared" si="63"/>
        <v>3933800</v>
      </c>
      <c r="H173" s="63">
        <f t="shared" si="63"/>
        <v>57500</v>
      </c>
      <c r="I173" s="63">
        <f t="shared" si="63"/>
        <v>0</v>
      </c>
      <c r="J173" s="63">
        <f t="shared" si="63"/>
        <v>683000</v>
      </c>
      <c r="K173" s="63">
        <f t="shared" ref="K173" si="64">K174</f>
        <v>683000</v>
      </c>
      <c r="L173" s="63">
        <f t="shared" ref="L173" si="65">L174</f>
        <v>0</v>
      </c>
      <c r="M173" s="63">
        <f t="shared" ref="M173" si="66">M174</f>
        <v>0</v>
      </c>
      <c r="N173" s="63">
        <f t="shared" ref="N173" si="67">N174</f>
        <v>0</v>
      </c>
      <c r="O173" s="63">
        <f t="shared" ref="O173:P173" si="68">O174</f>
        <v>683000</v>
      </c>
      <c r="P173" s="63">
        <f t="shared" si="68"/>
        <v>5760200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38"/>
      <c r="PM173" s="38"/>
      <c r="PN173" s="38"/>
      <c r="PO173" s="38"/>
      <c r="PP173" s="38"/>
      <c r="PQ173" s="38"/>
      <c r="PR173" s="38"/>
      <c r="PS173" s="38"/>
      <c r="PT173" s="38"/>
      <c r="PU173" s="38"/>
      <c r="PV173" s="38"/>
      <c r="PW173" s="38"/>
      <c r="PX173" s="38"/>
      <c r="PY173" s="38"/>
      <c r="PZ173" s="38"/>
      <c r="QA173" s="38"/>
      <c r="QB173" s="38"/>
      <c r="QC173" s="38"/>
      <c r="QD173" s="38"/>
      <c r="QE173" s="38"/>
      <c r="QF173" s="38"/>
      <c r="QG173" s="38"/>
      <c r="QH173" s="38"/>
      <c r="QI173" s="38"/>
      <c r="QJ173" s="38"/>
      <c r="QK173" s="38"/>
      <c r="QL173" s="38"/>
      <c r="QM173" s="38"/>
      <c r="QN173" s="38"/>
      <c r="QO173" s="38"/>
      <c r="QP173" s="38"/>
      <c r="QQ173" s="38"/>
      <c r="QR173" s="38"/>
      <c r="QS173" s="38"/>
      <c r="QT173" s="38"/>
      <c r="QU173" s="38"/>
      <c r="QV173" s="38"/>
      <c r="QW173" s="38"/>
      <c r="QX173" s="38"/>
      <c r="QY173" s="38"/>
      <c r="QZ173" s="38"/>
      <c r="RA173" s="38"/>
      <c r="RB173" s="38"/>
      <c r="RC173" s="38"/>
      <c r="RD173" s="38"/>
      <c r="RE173" s="38"/>
      <c r="RF173" s="38"/>
      <c r="RG173" s="38"/>
      <c r="RH173" s="38"/>
      <c r="RI173" s="38"/>
      <c r="RJ173" s="38"/>
      <c r="RK173" s="38"/>
      <c r="RL173" s="38"/>
      <c r="RM173" s="38"/>
      <c r="RN173" s="38"/>
      <c r="RO173" s="38"/>
      <c r="RP173" s="38"/>
      <c r="RQ173" s="38"/>
      <c r="RR173" s="38"/>
      <c r="RS173" s="38"/>
      <c r="RT173" s="38"/>
      <c r="RU173" s="38"/>
      <c r="RV173" s="38"/>
      <c r="RW173" s="38"/>
      <c r="RX173" s="38"/>
      <c r="RY173" s="38"/>
      <c r="RZ173" s="38"/>
      <c r="SA173" s="38"/>
      <c r="SB173" s="38"/>
      <c r="SC173" s="38"/>
      <c r="SD173" s="38"/>
      <c r="SE173" s="38"/>
      <c r="SF173" s="38"/>
      <c r="SG173" s="38"/>
      <c r="SH173" s="38"/>
      <c r="SI173" s="38"/>
      <c r="SJ173" s="38"/>
      <c r="SK173" s="38"/>
      <c r="SL173" s="38"/>
      <c r="SM173" s="38"/>
      <c r="SN173" s="38"/>
      <c r="SO173" s="38"/>
      <c r="SP173" s="38"/>
      <c r="SQ173" s="38"/>
      <c r="SR173" s="38"/>
      <c r="SS173" s="38"/>
      <c r="ST173" s="38"/>
      <c r="SU173" s="38"/>
      <c r="SV173" s="38"/>
      <c r="SW173" s="38"/>
      <c r="SX173" s="38"/>
      <c r="SY173" s="38"/>
      <c r="SZ173" s="38"/>
      <c r="TA173" s="38"/>
      <c r="TB173" s="38"/>
      <c r="TC173" s="38"/>
      <c r="TD173" s="38"/>
      <c r="TE173" s="38"/>
      <c r="TF173" s="38"/>
      <c r="TG173" s="38"/>
      <c r="TH173" s="38"/>
      <c r="TI173" s="38"/>
    </row>
    <row r="174" spans="1:529" s="40" customFormat="1" ht="29.25" customHeight="1" x14ac:dyDescent="0.25">
      <c r="A174" s="81" t="s">
        <v>206</v>
      </c>
      <c r="B174" s="70"/>
      <c r="C174" s="70"/>
      <c r="D174" s="33" t="s">
        <v>401</v>
      </c>
      <c r="E174" s="65">
        <f>E175+E176+E177+E178</f>
        <v>5077200</v>
      </c>
      <c r="F174" s="65">
        <f t="shared" ref="F174:P174" si="69">F175+F176+F177+F178</f>
        <v>5077200</v>
      </c>
      <c r="G174" s="65">
        <f t="shared" si="69"/>
        <v>3933800</v>
      </c>
      <c r="H174" s="65">
        <f t="shared" si="69"/>
        <v>57500</v>
      </c>
      <c r="I174" s="65">
        <f t="shared" si="69"/>
        <v>0</v>
      </c>
      <c r="J174" s="65">
        <f t="shared" si="69"/>
        <v>683000</v>
      </c>
      <c r="K174" s="65">
        <f t="shared" si="69"/>
        <v>683000</v>
      </c>
      <c r="L174" s="65">
        <f t="shared" si="69"/>
        <v>0</v>
      </c>
      <c r="M174" s="65">
        <f t="shared" si="69"/>
        <v>0</v>
      </c>
      <c r="N174" s="65">
        <f t="shared" si="69"/>
        <v>0</v>
      </c>
      <c r="O174" s="65">
        <f t="shared" si="69"/>
        <v>683000</v>
      </c>
      <c r="P174" s="65">
        <f t="shared" si="69"/>
        <v>5760200</v>
      </c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</row>
    <row r="175" spans="1:529" s="23" customFormat="1" ht="42.75" customHeight="1" x14ac:dyDescent="0.25">
      <c r="A175" s="43" t="s">
        <v>207</v>
      </c>
      <c r="B175" s="44" t="str">
        <f>'дод 4'!A20</f>
        <v>0160</v>
      </c>
      <c r="C175" s="44" t="str">
        <f>'дод 4'!B20</f>
        <v>0111</v>
      </c>
      <c r="D175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75" s="66">
        <f>F175+I175</f>
        <v>4986700</v>
      </c>
      <c r="F175" s="66">
        <f>5240600+10300-253200-11000</f>
        <v>4986700</v>
      </c>
      <c r="G175" s="66">
        <f>4150400-207600-9000</f>
        <v>3933800</v>
      </c>
      <c r="H175" s="66">
        <v>57500</v>
      </c>
      <c r="I175" s="66"/>
      <c r="J175" s="66">
        <f>L175+O175</f>
        <v>0</v>
      </c>
      <c r="K175" s="66"/>
      <c r="L175" s="66"/>
      <c r="M175" s="66"/>
      <c r="N175" s="66"/>
      <c r="O175" s="66"/>
      <c r="P175" s="66">
        <f>E175+J175</f>
        <v>4986700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</row>
    <row r="176" spans="1:529" s="23" customFormat="1" ht="60" x14ac:dyDescent="0.25">
      <c r="A176" s="43" t="s">
        <v>368</v>
      </c>
      <c r="B176" s="44">
        <v>3111</v>
      </c>
      <c r="C176" s="44">
        <v>1040</v>
      </c>
      <c r="D176" s="22" t="str">
        <f>'дод 4'!C91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6" s="66">
        <f>F176+I176</f>
        <v>0</v>
      </c>
      <c r="F176" s="66"/>
      <c r="G176" s="66"/>
      <c r="H176" s="66"/>
      <c r="I176" s="66"/>
      <c r="J176" s="66">
        <f t="shared" ref="J176:J178" si="70">L176+O176</f>
        <v>20000</v>
      </c>
      <c r="K176" s="66">
        <v>20000</v>
      </c>
      <c r="L176" s="66"/>
      <c r="M176" s="66"/>
      <c r="N176" s="66"/>
      <c r="O176" s="66">
        <v>20000</v>
      </c>
      <c r="P176" s="66">
        <f>E176+J176</f>
        <v>20000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</row>
    <row r="177" spans="1:529" s="23" customFormat="1" ht="36.75" customHeight="1" x14ac:dyDescent="0.25">
      <c r="A177" s="43" t="s">
        <v>208</v>
      </c>
      <c r="B177" s="44" t="str">
        <f>'дод 4'!A92</f>
        <v>3112</v>
      </c>
      <c r="C177" s="44" t="str">
        <f>'дод 4'!B92</f>
        <v>1040</v>
      </c>
      <c r="D177" s="24" t="str">
        <f>'дод 4'!C92</f>
        <v>Заходи державної політики з питань дітей та їх соціального захисту</v>
      </c>
      <c r="E177" s="66">
        <f>F177+I177</f>
        <v>90500</v>
      </c>
      <c r="F177" s="66">
        <v>90500</v>
      </c>
      <c r="G177" s="66"/>
      <c r="H177" s="66"/>
      <c r="I177" s="66"/>
      <c r="J177" s="66">
        <f t="shared" si="70"/>
        <v>0</v>
      </c>
      <c r="K177" s="66"/>
      <c r="L177" s="66"/>
      <c r="M177" s="66"/>
      <c r="N177" s="66"/>
      <c r="O177" s="66"/>
      <c r="P177" s="66">
        <f>E177+J177</f>
        <v>90500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23" customFormat="1" ht="75" x14ac:dyDescent="0.25">
      <c r="A178" s="43" t="s">
        <v>531</v>
      </c>
      <c r="B178" s="44">
        <v>6083</v>
      </c>
      <c r="C178" s="43" t="s">
        <v>74</v>
      </c>
      <c r="D178" s="171" t="s">
        <v>532</v>
      </c>
      <c r="E178" s="66">
        <f>F178+I178</f>
        <v>0</v>
      </c>
      <c r="F178" s="66"/>
      <c r="G178" s="66"/>
      <c r="H178" s="66"/>
      <c r="I178" s="66"/>
      <c r="J178" s="66">
        <f t="shared" si="70"/>
        <v>663000</v>
      </c>
      <c r="K178" s="66">
        <v>663000</v>
      </c>
      <c r="L178" s="66"/>
      <c r="M178" s="66"/>
      <c r="N178" s="66"/>
      <c r="O178" s="66">
        <v>663000</v>
      </c>
      <c r="P178" s="66">
        <f>E178+J178</f>
        <v>663000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</row>
    <row r="179" spans="1:529" s="31" customFormat="1" ht="22.5" customHeight="1" x14ac:dyDescent="0.2">
      <c r="A179" s="174" t="s">
        <v>29</v>
      </c>
      <c r="B179" s="71"/>
      <c r="C179" s="71"/>
      <c r="D179" s="30" t="s">
        <v>370</v>
      </c>
      <c r="E179" s="63">
        <f>E180</f>
        <v>65107115</v>
      </c>
      <c r="F179" s="63">
        <f t="shared" ref="F179:J179" si="71">F180</f>
        <v>65107115</v>
      </c>
      <c r="G179" s="63">
        <f t="shared" si="71"/>
        <v>47789600</v>
      </c>
      <c r="H179" s="63">
        <f t="shared" si="71"/>
        <v>1988270</v>
      </c>
      <c r="I179" s="63">
        <f t="shared" si="71"/>
        <v>0</v>
      </c>
      <c r="J179" s="63">
        <f t="shared" si="71"/>
        <v>4103635</v>
      </c>
      <c r="K179" s="63">
        <f t="shared" ref="K179" si="72">K180</f>
        <v>1284995</v>
      </c>
      <c r="L179" s="63">
        <f t="shared" ref="L179" si="73">L180</f>
        <v>2813920</v>
      </c>
      <c r="M179" s="63">
        <f t="shared" ref="M179" si="74">M180</f>
        <v>2279416</v>
      </c>
      <c r="N179" s="63">
        <f t="shared" ref="N179" si="75">N180</f>
        <v>3300</v>
      </c>
      <c r="O179" s="63">
        <f t="shared" ref="O179:P179" si="76">O180</f>
        <v>1289715</v>
      </c>
      <c r="P179" s="63">
        <f t="shared" si="76"/>
        <v>69210750</v>
      </c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  <c r="IV179" s="38"/>
      <c r="IW179" s="38"/>
      <c r="IX179" s="38"/>
      <c r="IY179" s="38"/>
      <c r="IZ179" s="38"/>
      <c r="JA179" s="38"/>
      <c r="JB179" s="38"/>
      <c r="JC179" s="38"/>
      <c r="JD179" s="38"/>
      <c r="JE179" s="38"/>
      <c r="JF179" s="38"/>
      <c r="JG179" s="38"/>
      <c r="JH179" s="38"/>
      <c r="JI179" s="38"/>
      <c r="JJ179" s="38"/>
      <c r="JK179" s="38"/>
      <c r="JL179" s="38"/>
      <c r="JM179" s="38"/>
      <c r="JN179" s="38"/>
      <c r="JO179" s="38"/>
      <c r="JP179" s="38"/>
      <c r="JQ179" s="38"/>
      <c r="JR179" s="38"/>
      <c r="JS179" s="38"/>
      <c r="JT179" s="38"/>
      <c r="JU179" s="38"/>
      <c r="JV179" s="38"/>
      <c r="JW179" s="38"/>
      <c r="JX179" s="38"/>
      <c r="JY179" s="38"/>
      <c r="JZ179" s="38"/>
      <c r="KA179" s="38"/>
      <c r="KB179" s="38"/>
      <c r="KC179" s="38"/>
      <c r="KD179" s="38"/>
      <c r="KE179" s="38"/>
      <c r="KF179" s="38"/>
      <c r="KG179" s="38"/>
      <c r="KH179" s="38"/>
      <c r="KI179" s="38"/>
      <c r="KJ179" s="38"/>
      <c r="KK179" s="38"/>
      <c r="KL179" s="38"/>
      <c r="KM179" s="38"/>
      <c r="KN179" s="38"/>
      <c r="KO179" s="38"/>
      <c r="KP179" s="38"/>
      <c r="KQ179" s="38"/>
      <c r="KR179" s="38"/>
      <c r="KS179" s="38"/>
      <c r="KT179" s="38"/>
      <c r="KU179" s="38"/>
      <c r="KV179" s="38"/>
      <c r="KW179" s="38"/>
      <c r="KX179" s="38"/>
      <c r="KY179" s="38"/>
      <c r="KZ179" s="38"/>
      <c r="LA179" s="38"/>
      <c r="LB179" s="38"/>
      <c r="LC179" s="38"/>
      <c r="LD179" s="38"/>
      <c r="LE179" s="38"/>
      <c r="LF179" s="38"/>
      <c r="LG179" s="38"/>
      <c r="LH179" s="38"/>
      <c r="LI179" s="38"/>
      <c r="LJ179" s="38"/>
      <c r="LK179" s="38"/>
      <c r="LL179" s="38"/>
      <c r="LM179" s="38"/>
      <c r="LN179" s="38"/>
      <c r="LO179" s="38"/>
      <c r="LP179" s="38"/>
      <c r="LQ179" s="38"/>
      <c r="LR179" s="38"/>
      <c r="LS179" s="38"/>
      <c r="LT179" s="38"/>
      <c r="LU179" s="38"/>
      <c r="LV179" s="38"/>
      <c r="LW179" s="38"/>
      <c r="LX179" s="38"/>
      <c r="LY179" s="38"/>
      <c r="LZ179" s="38"/>
      <c r="MA179" s="38"/>
      <c r="MB179" s="38"/>
      <c r="MC179" s="38"/>
      <c r="MD179" s="38"/>
      <c r="ME179" s="38"/>
      <c r="MF179" s="38"/>
      <c r="MG179" s="38"/>
      <c r="MH179" s="38"/>
      <c r="MI179" s="38"/>
      <c r="MJ179" s="38"/>
      <c r="MK179" s="38"/>
      <c r="ML179" s="38"/>
      <c r="MM179" s="38"/>
      <c r="MN179" s="38"/>
      <c r="MO179" s="38"/>
      <c r="MP179" s="38"/>
      <c r="MQ179" s="38"/>
      <c r="MR179" s="38"/>
      <c r="MS179" s="38"/>
      <c r="MT179" s="38"/>
      <c r="MU179" s="38"/>
      <c r="MV179" s="38"/>
      <c r="MW179" s="38"/>
      <c r="MX179" s="38"/>
      <c r="MY179" s="38"/>
      <c r="MZ179" s="38"/>
      <c r="NA179" s="38"/>
      <c r="NB179" s="38"/>
      <c r="NC179" s="38"/>
      <c r="ND179" s="38"/>
      <c r="NE179" s="38"/>
      <c r="NF179" s="38"/>
      <c r="NG179" s="38"/>
      <c r="NH179" s="38"/>
      <c r="NI179" s="38"/>
      <c r="NJ179" s="38"/>
      <c r="NK179" s="38"/>
      <c r="NL179" s="38"/>
      <c r="NM179" s="38"/>
      <c r="NN179" s="38"/>
      <c r="NO179" s="38"/>
      <c r="NP179" s="38"/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38"/>
      <c r="OC179" s="38"/>
      <c r="OD179" s="38"/>
      <c r="OE179" s="38"/>
      <c r="OF179" s="38"/>
      <c r="OG179" s="38"/>
      <c r="OH179" s="38"/>
      <c r="OI179" s="38"/>
      <c r="OJ179" s="38"/>
      <c r="OK179" s="38"/>
      <c r="OL179" s="38"/>
      <c r="OM179" s="38"/>
      <c r="ON179" s="38"/>
      <c r="OO179" s="38"/>
      <c r="OP179" s="38"/>
      <c r="OQ179" s="38"/>
      <c r="OR179" s="38"/>
      <c r="OS179" s="38"/>
      <c r="OT179" s="38"/>
      <c r="OU179" s="38"/>
      <c r="OV179" s="38"/>
      <c r="OW179" s="38"/>
      <c r="OX179" s="38"/>
      <c r="OY179" s="38"/>
      <c r="OZ179" s="38"/>
      <c r="PA179" s="38"/>
      <c r="PB179" s="38"/>
      <c r="PC179" s="38"/>
      <c r="PD179" s="38"/>
      <c r="PE179" s="38"/>
      <c r="PF179" s="38"/>
      <c r="PG179" s="38"/>
      <c r="PH179" s="38"/>
      <c r="PI179" s="38"/>
      <c r="PJ179" s="38"/>
      <c r="PK179" s="38"/>
      <c r="PL179" s="38"/>
      <c r="PM179" s="38"/>
      <c r="PN179" s="38"/>
      <c r="PO179" s="38"/>
      <c r="PP179" s="38"/>
      <c r="PQ179" s="38"/>
      <c r="PR179" s="38"/>
      <c r="PS179" s="38"/>
      <c r="PT179" s="38"/>
      <c r="PU179" s="38"/>
      <c r="PV179" s="38"/>
      <c r="PW179" s="38"/>
      <c r="PX179" s="38"/>
      <c r="PY179" s="38"/>
      <c r="PZ179" s="38"/>
      <c r="QA179" s="38"/>
      <c r="QB179" s="38"/>
      <c r="QC179" s="38"/>
      <c r="QD179" s="38"/>
      <c r="QE179" s="38"/>
      <c r="QF179" s="38"/>
      <c r="QG179" s="38"/>
      <c r="QH179" s="38"/>
      <c r="QI179" s="38"/>
      <c r="QJ179" s="38"/>
      <c r="QK179" s="38"/>
      <c r="QL179" s="38"/>
      <c r="QM179" s="38"/>
      <c r="QN179" s="38"/>
      <c r="QO179" s="38"/>
      <c r="QP179" s="38"/>
      <c r="QQ179" s="38"/>
      <c r="QR179" s="38"/>
      <c r="QS179" s="38"/>
      <c r="QT179" s="38"/>
      <c r="QU179" s="38"/>
      <c r="QV179" s="38"/>
      <c r="QW179" s="38"/>
      <c r="QX179" s="38"/>
      <c r="QY179" s="38"/>
      <c r="QZ179" s="38"/>
      <c r="RA179" s="38"/>
      <c r="RB179" s="38"/>
      <c r="RC179" s="38"/>
      <c r="RD179" s="38"/>
      <c r="RE179" s="38"/>
      <c r="RF179" s="38"/>
      <c r="RG179" s="38"/>
      <c r="RH179" s="38"/>
      <c r="RI179" s="38"/>
      <c r="RJ179" s="38"/>
      <c r="RK179" s="38"/>
      <c r="RL179" s="38"/>
      <c r="RM179" s="38"/>
      <c r="RN179" s="38"/>
      <c r="RO179" s="38"/>
      <c r="RP179" s="38"/>
      <c r="RQ179" s="38"/>
      <c r="RR179" s="38"/>
      <c r="RS179" s="38"/>
      <c r="RT179" s="38"/>
      <c r="RU179" s="38"/>
      <c r="RV179" s="38"/>
      <c r="RW179" s="38"/>
      <c r="RX179" s="38"/>
      <c r="RY179" s="38"/>
      <c r="RZ179" s="38"/>
      <c r="SA179" s="38"/>
      <c r="SB179" s="38"/>
      <c r="SC179" s="38"/>
      <c r="SD179" s="38"/>
      <c r="SE179" s="38"/>
      <c r="SF179" s="38"/>
      <c r="SG179" s="38"/>
      <c r="SH179" s="38"/>
      <c r="SI179" s="38"/>
      <c r="SJ179" s="38"/>
      <c r="SK179" s="38"/>
      <c r="SL179" s="38"/>
      <c r="SM179" s="38"/>
      <c r="SN179" s="38"/>
      <c r="SO179" s="38"/>
      <c r="SP179" s="38"/>
      <c r="SQ179" s="38"/>
      <c r="SR179" s="38"/>
      <c r="SS179" s="38"/>
      <c r="ST179" s="38"/>
      <c r="SU179" s="38"/>
      <c r="SV179" s="38"/>
      <c r="SW179" s="38"/>
      <c r="SX179" s="38"/>
      <c r="SY179" s="38"/>
      <c r="SZ179" s="38"/>
      <c r="TA179" s="38"/>
      <c r="TB179" s="38"/>
      <c r="TC179" s="38"/>
      <c r="TD179" s="38"/>
      <c r="TE179" s="38"/>
      <c r="TF179" s="38"/>
      <c r="TG179" s="38"/>
      <c r="TH179" s="38"/>
      <c r="TI179" s="38"/>
    </row>
    <row r="180" spans="1:529" s="40" customFormat="1" ht="21.75" customHeight="1" x14ac:dyDescent="0.25">
      <c r="A180" s="73" t="s">
        <v>209</v>
      </c>
      <c r="B180" s="72"/>
      <c r="C180" s="72"/>
      <c r="D180" s="33" t="s">
        <v>370</v>
      </c>
      <c r="E180" s="65">
        <f>E181+E182+E183+E185+E186++E187+E184+E188</f>
        <v>65107115</v>
      </c>
      <c r="F180" s="65">
        <f t="shared" ref="F180:P180" si="77">F181+F182+F183+F185+F186++F187+F184+F188</f>
        <v>65107115</v>
      </c>
      <c r="G180" s="65">
        <f t="shared" si="77"/>
        <v>47789600</v>
      </c>
      <c r="H180" s="65">
        <f t="shared" si="77"/>
        <v>1988270</v>
      </c>
      <c r="I180" s="65">
        <f t="shared" si="77"/>
        <v>0</v>
      </c>
      <c r="J180" s="65">
        <f t="shared" si="77"/>
        <v>4103635</v>
      </c>
      <c r="K180" s="65">
        <f>K181+K182+K183+K185+K186++K187+K184+K188</f>
        <v>1284995</v>
      </c>
      <c r="L180" s="65">
        <f t="shared" si="77"/>
        <v>2813920</v>
      </c>
      <c r="M180" s="65">
        <f t="shared" si="77"/>
        <v>2279416</v>
      </c>
      <c r="N180" s="65">
        <f t="shared" si="77"/>
        <v>3300</v>
      </c>
      <c r="O180" s="65">
        <f t="shared" si="77"/>
        <v>1289715</v>
      </c>
      <c r="P180" s="65">
        <f t="shared" si="77"/>
        <v>69210750</v>
      </c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  <c r="IW180" s="39"/>
      <c r="IX180" s="39"/>
      <c r="IY180" s="39"/>
      <c r="IZ180" s="39"/>
      <c r="JA180" s="39"/>
      <c r="JB180" s="39"/>
      <c r="JC180" s="39"/>
      <c r="JD180" s="39"/>
      <c r="JE180" s="39"/>
      <c r="JF180" s="39"/>
      <c r="JG180" s="39"/>
      <c r="JH180" s="39"/>
      <c r="JI180" s="39"/>
      <c r="JJ180" s="39"/>
      <c r="JK180" s="39"/>
      <c r="JL180" s="39"/>
      <c r="JM180" s="39"/>
      <c r="JN180" s="39"/>
      <c r="JO180" s="39"/>
      <c r="JP180" s="39"/>
      <c r="JQ180" s="39"/>
      <c r="JR180" s="39"/>
      <c r="JS180" s="39"/>
      <c r="JT180" s="39"/>
      <c r="JU180" s="39"/>
      <c r="JV180" s="39"/>
      <c r="JW180" s="39"/>
      <c r="JX180" s="39"/>
      <c r="JY180" s="39"/>
      <c r="JZ180" s="39"/>
      <c r="KA180" s="39"/>
      <c r="KB180" s="39"/>
      <c r="KC180" s="39"/>
      <c r="KD180" s="39"/>
      <c r="KE180" s="39"/>
      <c r="KF180" s="39"/>
      <c r="KG180" s="39"/>
      <c r="KH180" s="39"/>
      <c r="KI180" s="39"/>
      <c r="KJ180" s="39"/>
      <c r="KK180" s="39"/>
      <c r="KL180" s="39"/>
      <c r="KM180" s="39"/>
      <c r="KN180" s="39"/>
      <c r="KO180" s="39"/>
      <c r="KP180" s="39"/>
      <c r="KQ180" s="39"/>
      <c r="KR180" s="39"/>
      <c r="KS180" s="39"/>
      <c r="KT180" s="39"/>
      <c r="KU180" s="39"/>
      <c r="KV180" s="39"/>
      <c r="KW180" s="39"/>
      <c r="KX180" s="39"/>
      <c r="KY180" s="39"/>
      <c r="KZ180" s="39"/>
      <c r="LA180" s="39"/>
      <c r="LB180" s="39"/>
      <c r="LC180" s="39"/>
      <c r="LD180" s="39"/>
      <c r="LE180" s="39"/>
      <c r="LF180" s="39"/>
      <c r="LG180" s="39"/>
      <c r="LH180" s="39"/>
      <c r="LI180" s="39"/>
      <c r="LJ180" s="39"/>
      <c r="LK180" s="39"/>
      <c r="LL180" s="39"/>
      <c r="LM180" s="39"/>
      <c r="LN180" s="39"/>
      <c r="LO180" s="39"/>
      <c r="LP180" s="39"/>
      <c r="LQ180" s="39"/>
      <c r="LR180" s="39"/>
      <c r="LS180" s="39"/>
      <c r="LT180" s="39"/>
      <c r="LU180" s="39"/>
      <c r="LV180" s="39"/>
      <c r="LW180" s="39"/>
      <c r="LX180" s="39"/>
      <c r="LY180" s="39"/>
      <c r="LZ180" s="39"/>
      <c r="MA180" s="39"/>
      <c r="MB180" s="39"/>
      <c r="MC180" s="39"/>
      <c r="MD180" s="39"/>
      <c r="ME180" s="39"/>
      <c r="MF180" s="39"/>
      <c r="MG180" s="39"/>
      <c r="MH180" s="39"/>
      <c r="MI180" s="39"/>
      <c r="MJ180" s="39"/>
      <c r="MK180" s="39"/>
      <c r="ML180" s="39"/>
      <c r="MM180" s="39"/>
      <c r="MN180" s="39"/>
      <c r="MO180" s="39"/>
      <c r="MP180" s="39"/>
      <c r="MQ180" s="39"/>
      <c r="MR180" s="39"/>
      <c r="MS180" s="39"/>
      <c r="MT180" s="39"/>
      <c r="MU180" s="39"/>
      <c r="MV180" s="39"/>
      <c r="MW180" s="39"/>
      <c r="MX180" s="39"/>
      <c r="MY180" s="39"/>
      <c r="MZ180" s="39"/>
      <c r="NA180" s="39"/>
      <c r="NB180" s="39"/>
      <c r="NC180" s="39"/>
      <c r="ND180" s="39"/>
      <c r="NE180" s="39"/>
      <c r="NF180" s="39"/>
      <c r="NG180" s="39"/>
      <c r="NH180" s="39"/>
      <c r="NI180" s="39"/>
      <c r="NJ180" s="39"/>
      <c r="NK180" s="39"/>
      <c r="NL180" s="39"/>
      <c r="NM180" s="39"/>
      <c r="NN180" s="39"/>
      <c r="NO180" s="39"/>
      <c r="NP180" s="39"/>
      <c r="NQ180" s="39"/>
      <c r="NR180" s="39"/>
      <c r="NS180" s="39"/>
      <c r="NT180" s="39"/>
      <c r="NU180" s="39"/>
      <c r="NV180" s="39"/>
      <c r="NW180" s="39"/>
      <c r="NX180" s="39"/>
      <c r="NY180" s="39"/>
      <c r="NZ180" s="39"/>
      <c r="OA180" s="39"/>
      <c r="OB180" s="39"/>
      <c r="OC180" s="39"/>
      <c r="OD180" s="39"/>
      <c r="OE180" s="39"/>
      <c r="OF180" s="39"/>
      <c r="OG180" s="39"/>
      <c r="OH180" s="39"/>
      <c r="OI180" s="39"/>
      <c r="OJ180" s="39"/>
      <c r="OK180" s="39"/>
      <c r="OL180" s="39"/>
      <c r="OM180" s="39"/>
      <c r="ON180" s="39"/>
      <c r="OO180" s="39"/>
      <c r="OP180" s="39"/>
      <c r="OQ180" s="39"/>
      <c r="OR180" s="39"/>
      <c r="OS180" s="39"/>
      <c r="OT180" s="39"/>
      <c r="OU180" s="39"/>
      <c r="OV180" s="39"/>
      <c r="OW180" s="39"/>
      <c r="OX180" s="39"/>
      <c r="OY180" s="39"/>
      <c r="OZ180" s="39"/>
      <c r="PA180" s="39"/>
      <c r="PB180" s="39"/>
      <c r="PC180" s="39"/>
      <c r="PD180" s="39"/>
      <c r="PE180" s="39"/>
      <c r="PF180" s="39"/>
      <c r="PG180" s="39"/>
      <c r="PH180" s="39"/>
      <c r="PI180" s="39"/>
      <c r="PJ180" s="39"/>
      <c r="PK180" s="39"/>
      <c r="PL180" s="39"/>
      <c r="PM180" s="39"/>
      <c r="PN180" s="39"/>
      <c r="PO180" s="39"/>
      <c r="PP180" s="39"/>
      <c r="PQ180" s="39"/>
      <c r="PR180" s="39"/>
      <c r="PS180" s="39"/>
      <c r="PT180" s="39"/>
      <c r="PU180" s="39"/>
      <c r="PV180" s="39"/>
      <c r="PW180" s="39"/>
      <c r="PX180" s="39"/>
      <c r="PY180" s="39"/>
      <c r="PZ180" s="39"/>
      <c r="QA180" s="39"/>
      <c r="QB180" s="39"/>
      <c r="QC180" s="39"/>
      <c r="QD180" s="39"/>
      <c r="QE180" s="39"/>
      <c r="QF180" s="39"/>
      <c r="QG180" s="39"/>
      <c r="QH180" s="39"/>
      <c r="QI180" s="39"/>
      <c r="QJ180" s="39"/>
      <c r="QK180" s="39"/>
      <c r="QL180" s="39"/>
      <c r="QM180" s="39"/>
      <c r="QN180" s="39"/>
      <c r="QO180" s="39"/>
      <c r="QP180" s="39"/>
      <c r="QQ180" s="39"/>
      <c r="QR180" s="39"/>
      <c r="QS180" s="39"/>
      <c r="QT180" s="39"/>
      <c r="QU180" s="39"/>
      <c r="QV180" s="39"/>
      <c r="QW180" s="39"/>
      <c r="QX180" s="39"/>
      <c r="QY180" s="39"/>
      <c r="QZ180" s="39"/>
      <c r="RA180" s="39"/>
      <c r="RB180" s="39"/>
      <c r="RC180" s="39"/>
      <c r="RD180" s="39"/>
      <c r="RE180" s="39"/>
      <c r="RF180" s="39"/>
      <c r="RG180" s="39"/>
      <c r="RH180" s="39"/>
      <c r="RI180" s="39"/>
      <c r="RJ180" s="39"/>
      <c r="RK180" s="39"/>
      <c r="RL180" s="39"/>
      <c r="RM180" s="39"/>
      <c r="RN180" s="39"/>
      <c r="RO180" s="39"/>
      <c r="RP180" s="39"/>
      <c r="RQ180" s="39"/>
      <c r="RR180" s="39"/>
      <c r="RS180" s="39"/>
      <c r="RT180" s="39"/>
      <c r="RU180" s="39"/>
      <c r="RV180" s="39"/>
      <c r="RW180" s="39"/>
      <c r="RX180" s="39"/>
      <c r="RY180" s="39"/>
      <c r="RZ180" s="39"/>
      <c r="SA180" s="39"/>
      <c r="SB180" s="39"/>
      <c r="SC180" s="39"/>
      <c r="SD180" s="39"/>
      <c r="SE180" s="39"/>
      <c r="SF180" s="39"/>
      <c r="SG180" s="39"/>
      <c r="SH180" s="39"/>
      <c r="SI180" s="39"/>
      <c r="SJ180" s="39"/>
      <c r="SK180" s="39"/>
      <c r="SL180" s="39"/>
      <c r="SM180" s="39"/>
      <c r="SN180" s="39"/>
      <c r="SO180" s="39"/>
      <c r="SP180" s="39"/>
      <c r="SQ180" s="39"/>
      <c r="SR180" s="39"/>
      <c r="SS180" s="39"/>
      <c r="ST180" s="39"/>
      <c r="SU180" s="39"/>
      <c r="SV180" s="39"/>
      <c r="SW180" s="39"/>
      <c r="SX180" s="39"/>
      <c r="SY180" s="39"/>
      <c r="SZ180" s="39"/>
      <c r="TA180" s="39"/>
      <c r="TB180" s="39"/>
      <c r="TC180" s="39"/>
      <c r="TD180" s="39"/>
      <c r="TE180" s="39"/>
      <c r="TF180" s="39"/>
      <c r="TG180" s="39"/>
      <c r="TH180" s="39"/>
      <c r="TI180" s="39"/>
    </row>
    <row r="181" spans="1:529" s="23" customFormat="1" ht="48" customHeight="1" x14ac:dyDescent="0.25">
      <c r="A181" s="43" t="s">
        <v>150</v>
      </c>
      <c r="B181" s="44" t="str">
        <f>'дод 4'!A20</f>
        <v>0160</v>
      </c>
      <c r="C181" s="44" t="str">
        <f>'дод 4'!B20</f>
        <v>0111</v>
      </c>
      <c r="D18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81" s="66">
        <f t="shared" ref="E181:E188" si="78">F181+I181</f>
        <v>1921000</v>
      </c>
      <c r="F181" s="66">
        <f>1862800+4400-90500+134000-5000+15300</f>
        <v>1921000</v>
      </c>
      <c r="G181" s="66">
        <f>1461200-74200-4100</f>
        <v>1382900</v>
      </c>
      <c r="H181" s="66">
        <v>17700</v>
      </c>
      <c r="I181" s="66"/>
      <c r="J181" s="66">
        <f>L181+O181</f>
        <v>0</v>
      </c>
      <c r="K181" s="66"/>
      <c r="L181" s="66"/>
      <c r="M181" s="66"/>
      <c r="N181" s="66"/>
      <c r="O181" s="66"/>
      <c r="P181" s="66">
        <f t="shared" ref="P181:P188" si="79">E181+J181</f>
        <v>1921000</v>
      </c>
      <c r="Q181" s="26"/>
      <c r="R181" s="161">
        <f>P182+P183+P184+P185+P186+P187+P188</f>
        <v>67289750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</row>
    <row r="182" spans="1:529" s="23" customFormat="1" ht="22.5" customHeight="1" x14ac:dyDescent="0.25">
      <c r="A182" s="43" t="s">
        <v>240</v>
      </c>
      <c r="B182" s="44" t="str">
        <f>'дод 4'!A45</f>
        <v>1100</v>
      </c>
      <c r="C182" s="44" t="str">
        <f>'дод 4'!B45</f>
        <v>0960</v>
      </c>
      <c r="D182" s="24" t="str">
        <f>'дод 4'!C45</f>
        <v>Надання спеціальної освіти мистецькими школами</v>
      </c>
      <c r="E182" s="66">
        <f t="shared" si="78"/>
        <v>39225200</v>
      </c>
      <c r="F182" s="66">
        <f>38963600+75000+63000+13000-80000-34850+98350+107100+20000</f>
        <v>39225200</v>
      </c>
      <c r="G182" s="66">
        <f>30830000+122000</f>
        <v>30952000</v>
      </c>
      <c r="H182" s="66">
        <f>793600-80000-14490</f>
        <v>699110</v>
      </c>
      <c r="I182" s="66"/>
      <c r="J182" s="66">
        <f t="shared" ref="J182:J188" si="80">L182+O182</f>
        <v>3336640</v>
      </c>
      <c r="K182" s="66">
        <f>100000+400000+7000+5000+30000+15000</f>
        <v>557000</v>
      </c>
      <c r="L182" s="66">
        <v>2774920</v>
      </c>
      <c r="M182" s="66">
        <v>2267316</v>
      </c>
      <c r="N182" s="66"/>
      <c r="O182" s="66">
        <f>4720+500000+7000+5000+30000+15000</f>
        <v>561720</v>
      </c>
      <c r="P182" s="66">
        <f t="shared" si="79"/>
        <v>42561840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</row>
    <row r="183" spans="1:529" s="23" customFormat="1" ht="21" customHeight="1" x14ac:dyDescent="0.25">
      <c r="A183" s="43" t="s">
        <v>210</v>
      </c>
      <c r="B183" s="44" t="str">
        <f>'дод 4'!A114</f>
        <v>4030</v>
      </c>
      <c r="C183" s="44" t="str">
        <f>'дод 4'!B114</f>
        <v>0824</v>
      </c>
      <c r="D183" s="24" t="str">
        <f>'дод 4'!C114</f>
        <v>Забезпечення діяльності бібліотек</v>
      </c>
      <c r="E183" s="66">
        <f t="shared" si="78"/>
        <v>19073564</v>
      </c>
      <c r="F183" s="66">
        <f>19098200+20000+169535+7000+8350-18671+18550-119000+15000-17500-127900+20000</f>
        <v>19073564</v>
      </c>
      <c r="G183" s="66">
        <f>13804000-15304-154800</f>
        <v>13633896</v>
      </c>
      <c r="H183" s="66">
        <f>1346200-119000</f>
        <v>1227200</v>
      </c>
      <c r="I183" s="66"/>
      <c r="J183" s="66">
        <f t="shared" si="80"/>
        <v>346795</v>
      </c>
      <c r="K183" s="66">
        <f>100000+216795</f>
        <v>316795</v>
      </c>
      <c r="L183" s="66">
        <v>30000</v>
      </c>
      <c r="M183" s="66">
        <v>12100</v>
      </c>
      <c r="N183" s="66"/>
      <c r="O183" s="66">
        <f>100000+216795</f>
        <v>316795</v>
      </c>
      <c r="P183" s="66">
        <f t="shared" si="79"/>
        <v>19420359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</row>
    <row r="184" spans="1:529" s="23" customFormat="1" ht="27.75" customHeight="1" x14ac:dyDescent="0.25">
      <c r="A184" s="43">
        <v>1014060</v>
      </c>
      <c r="B184" s="44" t="str">
        <f>'дод 4'!A115</f>
        <v>4060</v>
      </c>
      <c r="C184" s="44" t="str">
        <f>'дод 4'!B115</f>
        <v>0828</v>
      </c>
      <c r="D184" s="24" t="str">
        <f>'дод 4'!C115</f>
        <v>Забезпечення діяльності палаців i будинків культури, клубів, центрів дозвілля та iнших клубних закладів</v>
      </c>
      <c r="E184" s="66">
        <f t="shared" si="78"/>
        <v>634280</v>
      </c>
      <c r="F184" s="66">
        <f>546680+61800+19800+6000</f>
        <v>634280</v>
      </c>
      <c r="G184" s="66">
        <v>424400</v>
      </c>
      <c r="H184" s="66">
        <v>11360</v>
      </c>
      <c r="I184" s="66"/>
      <c r="J184" s="66">
        <f t="shared" si="80"/>
        <v>21200</v>
      </c>
      <c r="K184" s="66">
        <f>21200-6000</f>
        <v>15200</v>
      </c>
      <c r="L184" s="66">
        <v>6000</v>
      </c>
      <c r="M184" s="66"/>
      <c r="N184" s="66">
        <v>3300</v>
      </c>
      <c r="O184" s="66">
        <f>21200-6000</f>
        <v>15200</v>
      </c>
      <c r="P184" s="66">
        <f t="shared" si="79"/>
        <v>655480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</row>
    <row r="185" spans="1:529" s="27" customFormat="1" ht="33.75" customHeight="1" x14ac:dyDescent="0.25">
      <c r="A185" s="43">
        <v>1014081</v>
      </c>
      <c r="B185" s="44" t="str">
        <f>'дод 4'!A116</f>
        <v>4081</v>
      </c>
      <c r="C185" s="44" t="str">
        <f>'дод 4'!B116</f>
        <v>0829</v>
      </c>
      <c r="D185" s="24" t="str">
        <f>'дод 4'!C116</f>
        <v>Забезпечення діяльності інших закладів в галузі культури і мистецтва</v>
      </c>
      <c r="E185" s="66">
        <f t="shared" si="78"/>
        <v>1842471</v>
      </c>
      <c r="F185" s="66">
        <f>1803000+18671+20800</f>
        <v>1842471</v>
      </c>
      <c r="G185" s="66">
        <f>1364000+15304+17100</f>
        <v>1396404</v>
      </c>
      <c r="H185" s="66">
        <v>32900</v>
      </c>
      <c r="I185" s="66"/>
      <c r="J185" s="66">
        <f t="shared" si="80"/>
        <v>0</v>
      </c>
      <c r="K185" s="66"/>
      <c r="L185" s="66"/>
      <c r="M185" s="66"/>
      <c r="N185" s="66"/>
      <c r="O185" s="66"/>
      <c r="P185" s="66">
        <f t="shared" si="79"/>
        <v>1842471</v>
      </c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36"/>
      <c r="IO185" s="36"/>
      <c r="IP185" s="36"/>
      <c r="IQ185" s="36"/>
      <c r="IR185" s="36"/>
      <c r="IS185" s="36"/>
      <c r="IT185" s="36"/>
      <c r="IU185" s="36"/>
      <c r="IV185" s="36"/>
      <c r="IW185" s="36"/>
      <c r="IX185" s="36"/>
      <c r="IY185" s="36"/>
      <c r="IZ185" s="36"/>
      <c r="JA185" s="36"/>
      <c r="JB185" s="36"/>
      <c r="JC185" s="36"/>
      <c r="JD185" s="36"/>
      <c r="JE185" s="36"/>
      <c r="JF185" s="36"/>
      <c r="JG185" s="36"/>
      <c r="JH185" s="36"/>
      <c r="JI185" s="36"/>
      <c r="JJ185" s="36"/>
      <c r="JK185" s="36"/>
      <c r="JL185" s="36"/>
      <c r="JM185" s="36"/>
      <c r="JN185" s="36"/>
      <c r="JO185" s="36"/>
      <c r="JP185" s="36"/>
      <c r="JQ185" s="36"/>
      <c r="JR185" s="36"/>
      <c r="JS185" s="36"/>
      <c r="JT185" s="36"/>
      <c r="JU185" s="36"/>
      <c r="JV185" s="36"/>
      <c r="JW185" s="36"/>
      <c r="JX185" s="36"/>
      <c r="JY185" s="36"/>
      <c r="JZ185" s="36"/>
      <c r="KA185" s="36"/>
      <c r="KB185" s="36"/>
      <c r="KC185" s="36"/>
      <c r="KD185" s="36"/>
      <c r="KE185" s="36"/>
      <c r="KF185" s="36"/>
      <c r="KG185" s="36"/>
      <c r="KH185" s="36"/>
      <c r="KI185" s="36"/>
      <c r="KJ185" s="36"/>
      <c r="KK185" s="36"/>
      <c r="KL185" s="36"/>
      <c r="KM185" s="36"/>
      <c r="KN185" s="36"/>
      <c r="KO185" s="36"/>
      <c r="KP185" s="36"/>
      <c r="KQ185" s="36"/>
      <c r="KR185" s="36"/>
      <c r="KS185" s="36"/>
      <c r="KT185" s="36"/>
      <c r="KU185" s="36"/>
      <c r="KV185" s="36"/>
      <c r="KW185" s="36"/>
      <c r="KX185" s="36"/>
      <c r="KY185" s="36"/>
      <c r="KZ185" s="36"/>
      <c r="LA185" s="36"/>
      <c r="LB185" s="36"/>
      <c r="LC185" s="36"/>
      <c r="LD185" s="36"/>
      <c r="LE185" s="36"/>
      <c r="LF185" s="36"/>
      <c r="LG185" s="36"/>
      <c r="LH185" s="36"/>
      <c r="LI185" s="36"/>
      <c r="LJ185" s="36"/>
      <c r="LK185" s="36"/>
      <c r="LL185" s="36"/>
      <c r="LM185" s="36"/>
      <c r="LN185" s="36"/>
      <c r="LO185" s="36"/>
      <c r="LP185" s="36"/>
      <c r="LQ185" s="36"/>
      <c r="LR185" s="36"/>
      <c r="LS185" s="36"/>
      <c r="LT185" s="36"/>
      <c r="LU185" s="36"/>
      <c r="LV185" s="36"/>
      <c r="LW185" s="36"/>
      <c r="LX185" s="36"/>
      <c r="LY185" s="36"/>
      <c r="LZ185" s="36"/>
      <c r="MA185" s="36"/>
      <c r="MB185" s="36"/>
      <c r="MC185" s="36"/>
      <c r="MD185" s="36"/>
      <c r="ME185" s="36"/>
      <c r="MF185" s="36"/>
      <c r="MG185" s="36"/>
      <c r="MH185" s="36"/>
      <c r="MI185" s="36"/>
      <c r="MJ185" s="36"/>
      <c r="MK185" s="36"/>
      <c r="ML185" s="36"/>
      <c r="MM185" s="36"/>
      <c r="MN185" s="36"/>
      <c r="MO185" s="36"/>
      <c r="MP185" s="36"/>
      <c r="MQ185" s="36"/>
      <c r="MR185" s="36"/>
      <c r="MS185" s="36"/>
      <c r="MT185" s="36"/>
      <c r="MU185" s="36"/>
      <c r="MV185" s="36"/>
      <c r="MW185" s="36"/>
      <c r="MX185" s="36"/>
      <c r="MY185" s="36"/>
      <c r="MZ185" s="36"/>
      <c r="NA185" s="36"/>
      <c r="NB185" s="36"/>
      <c r="NC185" s="36"/>
      <c r="ND185" s="36"/>
      <c r="NE185" s="36"/>
      <c r="NF185" s="36"/>
      <c r="NG185" s="36"/>
      <c r="NH185" s="36"/>
      <c r="NI185" s="36"/>
      <c r="NJ185" s="36"/>
      <c r="NK185" s="36"/>
      <c r="NL185" s="36"/>
      <c r="NM185" s="36"/>
      <c r="NN185" s="36"/>
      <c r="NO185" s="36"/>
      <c r="NP185" s="36"/>
      <c r="NQ185" s="36"/>
      <c r="NR185" s="36"/>
      <c r="NS185" s="36"/>
      <c r="NT185" s="36"/>
      <c r="NU185" s="36"/>
      <c r="NV185" s="36"/>
      <c r="NW185" s="36"/>
      <c r="NX185" s="36"/>
      <c r="NY185" s="36"/>
      <c r="NZ185" s="36"/>
      <c r="OA185" s="36"/>
      <c r="OB185" s="36"/>
      <c r="OC185" s="36"/>
      <c r="OD185" s="36"/>
      <c r="OE185" s="36"/>
      <c r="OF185" s="36"/>
      <c r="OG185" s="36"/>
      <c r="OH185" s="36"/>
      <c r="OI185" s="36"/>
      <c r="OJ185" s="36"/>
      <c r="OK185" s="36"/>
      <c r="OL185" s="36"/>
      <c r="OM185" s="36"/>
      <c r="ON185" s="36"/>
      <c r="OO185" s="36"/>
      <c r="OP185" s="36"/>
      <c r="OQ185" s="36"/>
      <c r="OR185" s="36"/>
      <c r="OS185" s="36"/>
      <c r="OT185" s="36"/>
      <c r="OU185" s="36"/>
      <c r="OV185" s="36"/>
      <c r="OW185" s="36"/>
      <c r="OX185" s="36"/>
      <c r="OY185" s="36"/>
      <c r="OZ185" s="36"/>
      <c r="PA185" s="36"/>
      <c r="PB185" s="36"/>
      <c r="PC185" s="36"/>
      <c r="PD185" s="36"/>
      <c r="PE185" s="36"/>
      <c r="PF185" s="36"/>
      <c r="PG185" s="36"/>
      <c r="PH185" s="36"/>
      <c r="PI185" s="36"/>
      <c r="PJ185" s="36"/>
      <c r="PK185" s="36"/>
      <c r="PL185" s="36"/>
      <c r="PM185" s="36"/>
      <c r="PN185" s="36"/>
      <c r="PO185" s="36"/>
      <c r="PP185" s="36"/>
      <c r="PQ185" s="36"/>
      <c r="PR185" s="36"/>
      <c r="PS185" s="36"/>
      <c r="PT185" s="36"/>
      <c r="PU185" s="36"/>
      <c r="PV185" s="36"/>
      <c r="PW185" s="36"/>
      <c r="PX185" s="36"/>
      <c r="PY185" s="36"/>
      <c r="PZ185" s="36"/>
      <c r="QA185" s="36"/>
      <c r="QB185" s="36"/>
      <c r="QC185" s="36"/>
      <c r="QD185" s="36"/>
      <c r="QE185" s="36"/>
      <c r="QF185" s="36"/>
      <c r="QG185" s="36"/>
      <c r="QH185" s="36"/>
      <c r="QI185" s="36"/>
      <c r="QJ185" s="36"/>
      <c r="QK185" s="36"/>
      <c r="QL185" s="36"/>
      <c r="QM185" s="36"/>
      <c r="QN185" s="36"/>
      <c r="QO185" s="36"/>
      <c r="QP185" s="36"/>
      <c r="QQ185" s="36"/>
      <c r="QR185" s="36"/>
      <c r="QS185" s="36"/>
      <c r="QT185" s="36"/>
      <c r="QU185" s="36"/>
      <c r="QV185" s="36"/>
      <c r="QW185" s="36"/>
      <c r="QX185" s="36"/>
      <c r="QY185" s="36"/>
      <c r="QZ185" s="36"/>
      <c r="RA185" s="36"/>
      <c r="RB185" s="36"/>
      <c r="RC185" s="36"/>
      <c r="RD185" s="36"/>
      <c r="RE185" s="36"/>
      <c r="RF185" s="36"/>
      <c r="RG185" s="36"/>
      <c r="RH185" s="36"/>
      <c r="RI185" s="36"/>
      <c r="RJ185" s="36"/>
      <c r="RK185" s="36"/>
      <c r="RL185" s="36"/>
      <c r="RM185" s="36"/>
      <c r="RN185" s="36"/>
      <c r="RO185" s="36"/>
      <c r="RP185" s="36"/>
      <c r="RQ185" s="36"/>
      <c r="RR185" s="36"/>
      <c r="RS185" s="36"/>
      <c r="RT185" s="36"/>
      <c r="RU185" s="36"/>
      <c r="RV185" s="36"/>
      <c r="RW185" s="36"/>
      <c r="RX185" s="36"/>
      <c r="RY185" s="36"/>
      <c r="RZ185" s="36"/>
      <c r="SA185" s="36"/>
      <c r="SB185" s="36"/>
      <c r="SC185" s="36"/>
      <c r="SD185" s="36"/>
      <c r="SE185" s="36"/>
      <c r="SF185" s="36"/>
      <c r="SG185" s="36"/>
      <c r="SH185" s="36"/>
      <c r="SI185" s="36"/>
      <c r="SJ185" s="36"/>
      <c r="SK185" s="36"/>
      <c r="SL185" s="36"/>
      <c r="SM185" s="36"/>
      <c r="SN185" s="36"/>
      <c r="SO185" s="36"/>
      <c r="SP185" s="36"/>
      <c r="SQ185" s="36"/>
      <c r="SR185" s="36"/>
      <c r="SS185" s="36"/>
      <c r="ST185" s="36"/>
      <c r="SU185" s="36"/>
      <c r="SV185" s="36"/>
      <c r="SW185" s="36"/>
      <c r="SX185" s="36"/>
      <c r="SY185" s="36"/>
      <c r="SZ185" s="36"/>
      <c r="TA185" s="36"/>
      <c r="TB185" s="36"/>
      <c r="TC185" s="36"/>
      <c r="TD185" s="36"/>
      <c r="TE185" s="36"/>
      <c r="TF185" s="36"/>
      <c r="TG185" s="36"/>
      <c r="TH185" s="36"/>
      <c r="TI185" s="36"/>
    </row>
    <row r="186" spans="1:529" s="27" customFormat="1" ht="25.5" customHeight="1" x14ac:dyDescent="0.25">
      <c r="A186" s="43">
        <v>1014082</v>
      </c>
      <c r="B186" s="44" t="str">
        <f>'дод 4'!A117</f>
        <v>4082</v>
      </c>
      <c r="C186" s="44" t="str">
        <f>'дод 4'!B117</f>
        <v>0829</v>
      </c>
      <c r="D186" s="24" t="str">
        <f>'дод 4'!C117</f>
        <v>Інші заходи в галузі культури і мистецтва</v>
      </c>
      <c r="E186" s="66">
        <f t="shared" si="78"/>
        <v>2410600</v>
      </c>
      <c r="F186" s="66">
        <f>2265700+15000+100000+120000-44100-46000</f>
        <v>2410600</v>
      </c>
      <c r="G186" s="66"/>
      <c r="H186" s="66"/>
      <c r="I186" s="66"/>
      <c r="J186" s="66">
        <f t="shared" si="80"/>
        <v>0</v>
      </c>
      <c r="K186" s="66"/>
      <c r="L186" s="66"/>
      <c r="M186" s="66"/>
      <c r="N186" s="66"/>
      <c r="O186" s="66"/>
      <c r="P186" s="66">
        <f t="shared" si="79"/>
        <v>2410600</v>
      </c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36"/>
      <c r="IN186" s="36"/>
      <c r="IO186" s="36"/>
      <c r="IP186" s="36"/>
      <c r="IQ186" s="36"/>
      <c r="IR186" s="36"/>
      <c r="IS186" s="36"/>
      <c r="IT186" s="36"/>
      <c r="IU186" s="36"/>
      <c r="IV186" s="36"/>
      <c r="IW186" s="36"/>
      <c r="IX186" s="36"/>
      <c r="IY186" s="36"/>
      <c r="IZ186" s="36"/>
      <c r="JA186" s="36"/>
      <c r="JB186" s="36"/>
      <c r="JC186" s="36"/>
      <c r="JD186" s="36"/>
      <c r="JE186" s="36"/>
      <c r="JF186" s="36"/>
      <c r="JG186" s="36"/>
      <c r="JH186" s="36"/>
      <c r="JI186" s="36"/>
      <c r="JJ186" s="36"/>
      <c r="JK186" s="36"/>
      <c r="JL186" s="36"/>
      <c r="JM186" s="36"/>
      <c r="JN186" s="36"/>
      <c r="JO186" s="36"/>
      <c r="JP186" s="36"/>
      <c r="JQ186" s="36"/>
      <c r="JR186" s="36"/>
      <c r="JS186" s="36"/>
      <c r="JT186" s="36"/>
      <c r="JU186" s="36"/>
      <c r="JV186" s="36"/>
      <c r="JW186" s="36"/>
      <c r="JX186" s="36"/>
      <c r="JY186" s="36"/>
      <c r="JZ186" s="36"/>
      <c r="KA186" s="36"/>
      <c r="KB186" s="36"/>
      <c r="KC186" s="36"/>
      <c r="KD186" s="36"/>
      <c r="KE186" s="36"/>
      <c r="KF186" s="36"/>
      <c r="KG186" s="36"/>
      <c r="KH186" s="36"/>
      <c r="KI186" s="36"/>
      <c r="KJ186" s="36"/>
      <c r="KK186" s="36"/>
      <c r="KL186" s="36"/>
      <c r="KM186" s="36"/>
      <c r="KN186" s="36"/>
      <c r="KO186" s="36"/>
      <c r="KP186" s="36"/>
      <c r="KQ186" s="36"/>
      <c r="KR186" s="36"/>
      <c r="KS186" s="36"/>
      <c r="KT186" s="36"/>
      <c r="KU186" s="36"/>
      <c r="KV186" s="36"/>
      <c r="KW186" s="36"/>
      <c r="KX186" s="36"/>
      <c r="KY186" s="36"/>
      <c r="KZ186" s="36"/>
      <c r="LA186" s="36"/>
      <c r="LB186" s="36"/>
      <c r="LC186" s="36"/>
      <c r="LD186" s="36"/>
      <c r="LE186" s="36"/>
      <c r="LF186" s="36"/>
      <c r="LG186" s="36"/>
      <c r="LH186" s="36"/>
      <c r="LI186" s="36"/>
      <c r="LJ186" s="36"/>
      <c r="LK186" s="36"/>
      <c r="LL186" s="36"/>
      <c r="LM186" s="36"/>
      <c r="LN186" s="36"/>
      <c r="LO186" s="36"/>
      <c r="LP186" s="36"/>
      <c r="LQ186" s="36"/>
      <c r="LR186" s="36"/>
      <c r="LS186" s="36"/>
      <c r="LT186" s="36"/>
      <c r="LU186" s="36"/>
      <c r="LV186" s="36"/>
      <c r="LW186" s="36"/>
      <c r="LX186" s="36"/>
      <c r="LY186" s="36"/>
      <c r="LZ186" s="36"/>
      <c r="MA186" s="36"/>
      <c r="MB186" s="36"/>
      <c r="MC186" s="36"/>
      <c r="MD186" s="36"/>
      <c r="ME186" s="36"/>
      <c r="MF186" s="36"/>
      <c r="MG186" s="36"/>
      <c r="MH186" s="36"/>
      <c r="MI186" s="36"/>
      <c r="MJ186" s="36"/>
      <c r="MK186" s="36"/>
      <c r="ML186" s="36"/>
      <c r="MM186" s="36"/>
      <c r="MN186" s="36"/>
      <c r="MO186" s="36"/>
      <c r="MP186" s="36"/>
      <c r="MQ186" s="36"/>
      <c r="MR186" s="36"/>
      <c r="MS186" s="36"/>
      <c r="MT186" s="36"/>
      <c r="MU186" s="36"/>
      <c r="MV186" s="36"/>
      <c r="MW186" s="36"/>
      <c r="MX186" s="36"/>
      <c r="MY186" s="36"/>
      <c r="MZ186" s="36"/>
      <c r="NA186" s="36"/>
      <c r="NB186" s="36"/>
      <c r="NC186" s="36"/>
      <c r="ND186" s="36"/>
      <c r="NE186" s="36"/>
      <c r="NF186" s="36"/>
      <c r="NG186" s="36"/>
      <c r="NH186" s="36"/>
      <c r="NI186" s="36"/>
      <c r="NJ186" s="36"/>
      <c r="NK186" s="36"/>
      <c r="NL186" s="36"/>
      <c r="NM186" s="36"/>
      <c r="NN186" s="36"/>
      <c r="NO186" s="36"/>
      <c r="NP186" s="36"/>
      <c r="NQ186" s="36"/>
      <c r="NR186" s="36"/>
      <c r="NS186" s="36"/>
      <c r="NT186" s="36"/>
      <c r="NU186" s="36"/>
      <c r="NV186" s="36"/>
      <c r="NW186" s="36"/>
      <c r="NX186" s="36"/>
      <c r="NY186" s="36"/>
      <c r="NZ186" s="36"/>
      <c r="OA186" s="36"/>
      <c r="OB186" s="36"/>
      <c r="OC186" s="36"/>
      <c r="OD186" s="36"/>
      <c r="OE186" s="36"/>
      <c r="OF186" s="36"/>
      <c r="OG186" s="36"/>
      <c r="OH186" s="36"/>
      <c r="OI186" s="36"/>
      <c r="OJ186" s="36"/>
      <c r="OK186" s="36"/>
      <c r="OL186" s="36"/>
      <c r="OM186" s="36"/>
      <c r="ON186" s="36"/>
      <c r="OO186" s="36"/>
      <c r="OP186" s="36"/>
      <c r="OQ186" s="36"/>
      <c r="OR186" s="36"/>
      <c r="OS186" s="36"/>
      <c r="OT186" s="36"/>
      <c r="OU186" s="36"/>
      <c r="OV186" s="36"/>
      <c r="OW186" s="36"/>
      <c r="OX186" s="36"/>
      <c r="OY186" s="36"/>
      <c r="OZ186" s="36"/>
      <c r="PA186" s="36"/>
      <c r="PB186" s="36"/>
      <c r="PC186" s="36"/>
      <c r="PD186" s="36"/>
      <c r="PE186" s="36"/>
      <c r="PF186" s="36"/>
      <c r="PG186" s="36"/>
      <c r="PH186" s="36"/>
      <c r="PI186" s="36"/>
      <c r="PJ186" s="36"/>
      <c r="PK186" s="36"/>
      <c r="PL186" s="36"/>
      <c r="PM186" s="36"/>
      <c r="PN186" s="36"/>
      <c r="PO186" s="36"/>
      <c r="PP186" s="36"/>
      <c r="PQ186" s="36"/>
      <c r="PR186" s="36"/>
      <c r="PS186" s="36"/>
      <c r="PT186" s="36"/>
      <c r="PU186" s="36"/>
      <c r="PV186" s="36"/>
      <c r="PW186" s="36"/>
      <c r="PX186" s="36"/>
      <c r="PY186" s="36"/>
      <c r="PZ186" s="36"/>
      <c r="QA186" s="36"/>
      <c r="QB186" s="36"/>
      <c r="QC186" s="36"/>
      <c r="QD186" s="36"/>
      <c r="QE186" s="36"/>
      <c r="QF186" s="36"/>
      <c r="QG186" s="36"/>
      <c r="QH186" s="36"/>
      <c r="QI186" s="36"/>
      <c r="QJ186" s="36"/>
      <c r="QK186" s="36"/>
      <c r="QL186" s="36"/>
      <c r="QM186" s="36"/>
      <c r="QN186" s="36"/>
      <c r="QO186" s="36"/>
      <c r="QP186" s="36"/>
      <c r="QQ186" s="36"/>
      <c r="QR186" s="36"/>
      <c r="QS186" s="36"/>
      <c r="QT186" s="36"/>
      <c r="QU186" s="36"/>
      <c r="QV186" s="36"/>
      <c r="QW186" s="36"/>
      <c r="QX186" s="36"/>
      <c r="QY186" s="36"/>
      <c r="QZ186" s="36"/>
      <c r="RA186" s="36"/>
      <c r="RB186" s="36"/>
      <c r="RC186" s="36"/>
      <c r="RD186" s="36"/>
      <c r="RE186" s="36"/>
      <c r="RF186" s="36"/>
      <c r="RG186" s="36"/>
      <c r="RH186" s="36"/>
      <c r="RI186" s="36"/>
      <c r="RJ186" s="36"/>
      <c r="RK186" s="36"/>
      <c r="RL186" s="36"/>
      <c r="RM186" s="36"/>
      <c r="RN186" s="36"/>
      <c r="RO186" s="36"/>
      <c r="RP186" s="36"/>
      <c r="RQ186" s="36"/>
      <c r="RR186" s="36"/>
      <c r="RS186" s="36"/>
      <c r="RT186" s="36"/>
      <c r="RU186" s="36"/>
      <c r="RV186" s="36"/>
      <c r="RW186" s="36"/>
      <c r="RX186" s="36"/>
      <c r="RY186" s="36"/>
      <c r="RZ186" s="36"/>
      <c r="SA186" s="36"/>
      <c r="SB186" s="36"/>
      <c r="SC186" s="36"/>
      <c r="SD186" s="36"/>
      <c r="SE186" s="36"/>
      <c r="SF186" s="36"/>
      <c r="SG186" s="36"/>
      <c r="SH186" s="36"/>
      <c r="SI186" s="36"/>
      <c r="SJ186" s="36"/>
      <c r="SK186" s="36"/>
      <c r="SL186" s="36"/>
      <c r="SM186" s="36"/>
      <c r="SN186" s="36"/>
      <c r="SO186" s="36"/>
      <c r="SP186" s="36"/>
      <c r="SQ186" s="36"/>
      <c r="SR186" s="36"/>
      <c r="SS186" s="36"/>
      <c r="ST186" s="36"/>
      <c r="SU186" s="36"/>
      <c r="SV186" s="36"/>
      <c r="SW186" s="36"/>
      <c r="SX186" s="36"/>
      <c r="SY186" s="36"/>
      <c r="SZ186" s="36"/>
      <c r="TA186" s="36"/>
      <c r="TB186" s="36"/>
      <c r="TC186" s="36"/>
      <c r="TD186" s="36"/>
      <c r="TE186" s="36"/>
      <c r="TF186" s="36"/>
      <c r="TG186" s="36"/>
      <c r="TH186" s="36"/>
      <c r="TI186" s="36"/>
    </row>
    <row r="187" spans="1:529" s="23" customFormat="1" ht="22.5" customHeight="1" x14ac:dyDescent="0.25">
      <c r="A187" s="43" t="s">
        <v>156</v>
      </c>
      <c r="B187" s="44" t="str">
        <f>'дод 4'!A167</f>
        <v>7640</v>
      </c>
      <c r="C187" s="44" t="str">
        <f>'дод 4'!B167</f>
        <v>0470</v>
      </c>
      <c r="D187" s="24" t="s">
        <v>511</v>
      </c>
      <c r="E187" s="66">
        <f t="shared" si="78"/>
        <v>0</v>
      </c>
      <c r="F187" s="66"/>
      <c r="G187" s="66"/>
      <c r="H187" s="66"/>
      <c r="I187" s="66"/>
      <c r="J187" s="66">
        <f t="shared" si="80"/>
        <v>396000</v>
      </c>
      <c r="K187" s="66">
        <v>396000</v>
      </c>
      <c r="L187" s="66"/>
      <c r="M187" s="66"/>
      <c r="N187" s="66"/>
      <c r="O187" s="66">
        <v>396000</v>
      </c>
      <c r="P187" s="66">
        <f t="shared" si="79"/>
        <v>396000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</row>
    <row r="188" spans="1:529" s="23" customFormat="1" ht="22.5" customHeight="1" x14ac:dyDescent="0.25">
      <c r="A188" s="43">
        <v>1018340</v>
      </c>
      <c r="B188" s="44" t="str">
        <f>'дод 4'!A188</f>
        <v>8340</v>
      </c>
      <c r="C188" s="44" t="str">
        <f>'дод 4'!B188</f>
        <v>0540</v>
      </c>
      <c r="D188" s="74" t="str">
        <f>'дод 4'!C188</f>
        <v>Природоохоронні заходи за рахунок цільових фондів</v>
      </c>
      <c r="E188" s="66">
        <f t="shared" si="78"/>
        <v>0</v>
      </c>
      <c r="F188" s="66"/>
      <c r="G188" s="66"/>
      <c r="H188" s="66"/>
      <c r="I188" s="66"/>
      <c r="J188" s="66">
        <f t="shared" si="80"/>
        <v>3000</v>
      </c>
      <c r="K188" s="66"/>
      <c r="L188" s="66">
        <v>3000</v>
      </c>
      <c r="M188" s="66"/>
      <c r="N188" s="66"/>
      <c r="O188" s="66"/>
      <c r="P188" s="66">
        <f t="shared" si="79"/>
        <v>3000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</row>
    <row r="189" spans="1:529" s="31" customFormat="1" ht="34.5" customHeight="1" x14ac:dyDescent="0.2">
      <c r="A189" s="174" t="s">
        <v>211</v>
      </c>
      <c r="B189" s="71"/>
      <c r="C189" s="71"/>
      <c r="D189" s="30" t="s">
        <v>36</v>
      </c>
      <c r="E189" s="63">
        <f>E190</f>
        <v>269624097.20999998</v>
      </c>
      <c r="F189" s="63">
        <f t="shared" ref="F189:J189" si="81">F190</f>
        <v>225214565.20999998</v>
      </c>
      <c r="G189" s="63">
        <f t="shared" si="81"/>
        <v>10410700</v>
      </c>
      <c r="H189" s="63">
        <f t="shared" si="81"/>
        <v>28582606</v>
      </c>
      <c r="I189" s="63">
        <f t="shared" si="81"/>
        <v>44409532</v>
      </c>
      <c r="J189" s="63">
        <f t="shared" si="81"/>
        <v>219152627.38999999</v>
      </c>
      <c r="K189" s="63">
        <f t="shared" ref="K189" si="82">K190</f>
        <v>132534393.66999999</v>
      </c>
      <c r="L189" s="63">
        <f t="shared" ref="L189" si="83">L190</f>
        <v>81486890.269999996</v>
      </c>
      <c r="M189" s="63">
        <f t="shared" ref="M189" si="84">M190</f>
        <v>0</v>
      </c>
      <c r="N189" s="63">
        <f t="shared" ref="N189" si="85">N190</f>
        <v>0</v>
      </c>
      <c r="O189" s="63">
        <f t="shared" ref="O189:P189" si="86">O190</f>
        <v>137665737.12</v>
      </c>
      <c r="P189" s="63">
        <f t="shared" si="86"/>
        <v>488776724.59999996</v>
      </c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  <c r="IW189" s="38"/>
      <c r="IX189" s="38"/>
      <c r="IY189" s="38"/>
      <c r="IZ189" s="38"/>
      <c r="JA189" s="38"/>
      <c r="JB189" s="38"/>
      <c r="JC189" s="38"/>
      <c r="JD189" s="38"/>
      <c r="JE189" s="38"/>
      <c r="JF189" s="38"/>
      <c r="JG189" s="38"/>
      <c r="JH189" s="38"/>
      <c r="JI189" s="38"/>
      <c r="JJ189" s="38"/>
      <c r="JK189" s="38"/>
      <c r="JL189" s="38"/>
      <c r="JM189" s="38"/>
      <c r="JN189" s="38"/>
      <c r="JO189" s="38"/>
      <c r="JP189" s="38"/>
      <c r="JQ189" s="38"/>
      <c r="JR189" s="38"/>
      <c r="JS189" s="38"/>
      <c r="JT189" s="38"/>
      <c r="JU189" s="38"/>
      <c r="JV189" s="38"/>
      <c r="JW189" s="38"/>
      <c r="JX189" s="38"/>
      <c r="JY189" s="38"/>
      <c r="JZ189" s="38"/>
      <c r="KA189" s="38"/>
      <c r="KB189" s="38"/>
      <c r="KC189" s="38"/>
      <c r="KD189" s="38"/>
      <c r="KE189" s="38"/>
      <c r="KF189" s="38"/>
      <c r="KG189" s="38"/>
      <c r="KH189" s="38"/>
      <c r="KI189" s="38"/>
      <c r="KJ189" s="38"/>
      <c r="KK189" s="38"/>
      <c r="KL189" s="38"/>
      <c r="KM189" s="38"/>
      <c r="KN189" s="38"/>
      <c r="KO189" s="38"/>
      <c r="KP189" s="38"/>
      <c r="KQ189" s="38"/>
      <c r="KR189" s="38"/>
      <c r="KS189" s="38"/>
      <c r="KT189" s="38"/>
      <c r="KU189" s="38"/>
      <c r="KV189" s="38"/>
      <c r="KW189" s="38"/>
      <c r="KX189" s="38"/>
      <c r="KY189" s="38"/>
      <c r="KZ189" s="38"/>
      <c r="LA189" s="38"/>
      <c r="LB189" s="38"/>
      <c r="LC189" s="38"/>
      <c r="LD189" s="38"/>
      <c r="LE189" s="38"/>
      <c r="LF189" s="38"/>
      <c r="LG189" s="38"/>
      <c r="LH189" s="38"/>
      <c r="LI189" s="38"/>
      <c r="LJ189" s="38"/>
      <c r="LK189" s="38"/>
      <c r="LL189" s="38"/>
      <c r="LM189" s="38"/>
      <c r="LN189" s="38"/>
      <c r="LO189" s="38"/>
      <c r="LP189" s="38"/>
      <c r="LQ189" s="38"/>
      <c r="LR189" s="38"/>
      <c r="LS189" s="38"/>
      <c r="LT189" s="38"/>
      <c r="LU189" s="38"/>
      <c r="LV189" s="38"/>
      <c r="LW189" s="38"/>
      <c r="LX189" s="38"/>
      <c r="LY189" s="38"/>
      <c r="LZ189" s="38"/>
      <c r="MA189" s="38"/>
      <c r="MB189" s="38"/>
      <c r="MC189" s="38"/>
      <c r="MD189" s="38"/>
      <c r="ME189" s="38"/>
      <c r="MF189" s="38"/>
      <c r="MG189" s="38"/>
      <c r="MH189" s="38"/>
      <c r="MI189" s="38"/>
      <c r="MJ189" s="38"/>
      <c r="MK189" s="38"/>
      <c r="ML189" s="38"/>
      <c r="MM189" s="38"/>
      <c r="MN189" s="38"/>
      <c r="MO189" s="38"/>
      <c r="MP189" s="38"/>
      <c r="MQ189" s="38"/>
      <c r="MR189" s="38"/>
      <c r="MS189" s="38"/>
      <c r="MT189" s="38"/>
      <c r="MU189" s="38"/>
      <c r="MV189" s="38"/>
      <c r="MW189" s="38"/>
      <c r="MX189" s="38"/>
      <c r="MY189" s="38"/>
      <c r="MZ189" s="38"/>
      <c r="NA189" s="38"/>
      <c r="NB189" s="38"/>
      <c r="NC189" s="38"/>
      <c r="ND189" s="38"/>
      <c r="NE189" s="38"/>
      <c r="NF189" s="38"/>
      <c r="NG189" s="38"/>
      <c r="NH189" s="38"/>
      <c r="NI189" s="38"/>
      <c r="NJ189" s="38"/>
      <c r="NK189" s="38"/>
      <c r="NL189" s="38"/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38"/>
      <c r="OC189" s="38"/>
      <c r="OD189" s="38"/>
      <c r="OE189" s="38"/>
      <c r="OF189" s="38"/>
      <c r="OG189" s="38"/>
      <c r="OH189" s="38"/>
      <c r="OI189" s="38"/>
      <c r="OJ189" s="38"/>
      <c r="OK189" s="38"/>
      <c r="OL189" s="38"/>
      <c r="OM189" s="38"/>
      <c r="ON189" s="38"/>
      <c r="OO189" s="38"/>
      <c r="OP189" s="38"/>
      <c r="OQ189" s="38"/>
      <c r="OR189" s="38"/>
      <c r="OS189" s="38"/>
      <c r="OT189" s="38"/>
      <c r="OU189" s="38"/>
      <c r="OV189" s="38"/>
      <c r="OW189" s="38"/>
      <c r="OX189" s="38"/>
      <c r="OY189" s="38"/>
      <c r="OZ189" s="38"/>
      <c r="PA189" s="38"/>
      <c r="PB189" s="38"/>
      <c r="PC189" s="38"/>
      <c r="PD189" s="38"/>
      <c r="PE189" s="38"/>
      <c r="PF189" s="38"/>
      <c r="PG189" s="38"/>
      <c r="PH189" s="38"/>
      <c r="PI189" s="38"/>
      <c r="PJ189" s="38"/>
      <c r="PK189" s="38"/>
      <c r="PL189" s="38"/>
      <c r="PM189" s="38"/>
      <c r="PN189" s="38"/>
      <c r="PO189" s="38"/>
      <c r="PP189" s="38"/>
      <c r="PQ189" s="38"/>
      <c r="PR189" s="38"/>
      <c r="PS189" s="38"/>
      <c r="PT189" s="38"/>
      <c r="PU189" s="38"/>
      <c r="PV189" s="38"/>
      <c r="PW189" s="38"/>
      <c r="PX189" s="38"/>
      <c r="PY189" s="38"/>
      <c r="PZ189" s="38"/>
      <c r="QA189" s="38"/>
      <c r="QB189" s="38"/>
      <c r="QC189" s="38"/>
      <c r="QD189" s="38"/>
      <c r="QE189" s="38"/>
      <c r="QF189" s="38"/>
      <c r="QG189" s="38"/>
      <c r="QH189" s="38"/>
      <c r="QI189" s="38"/>
      <c r="QJ189" s="38"/>
      <c r="QK189" s="38"/>
      <c r="QL189" s="38"/>
      <c r="QM189" s="38"/>
      <c r="QN189" s="38"/>
      <c r="QO189" s="38"/>
      <c r="QP189" s="38"/>
      <c r="QQ189" s="38"/>
      <c r="QR189" s="38"/>
      <c r="QS189" s="38"/>
      <c r="QT189" s="38"/>
      <c r="QU189" s="38"/>
      <c r="QV189" s="38"/>
      <c r="QW189" s="38"/>
      <c r="QX189" s="38"/>
      <c r="QY189" s="38"/>
      <c r="QZ189" s="38"/>
      <c r="RA189" s="38"/>
      <c r="RB189" s="38"/>
      <c r="RC189" s="38"/>
      <c r="RD189" s="38"/>
      <c r="RE189" s="38"/>
      <c r="RF189" s="38"/>
      <c r="RG189" s="38"/>
      <c r="RH189" s="38"/>
      <c r="RI189" s="38"/>
      <c r="RJ189" s="38"/>
      <c r="RK189" s="38"/>
      <c r="RL189" s="38"/>
      <c r="RM189" s="38"/>
      <c r="RN189" s="38"/>
      <c r="RO189" s="38"/>
      <c r="RP189" s="38"/>
      <c r="RQ189" s="38"/>
      <c r="RR189" s="38"/>
      <c r="RS189" s="38"/>
      <c r="RT189" s="38"/>
      <c r="RU189" s="38"/>
      <c r="RV189" s="38"/>
      <c r="RW189" s="38"/>
      <c r="RX189" s="38"/>
      <c r="RY189" s="38"/>
      <c r="RZ189" s="38"/>
      <c r="SA189" s="38"/>
      <c r="SB189" s="38"/>
      <c r="SC189" s="38"/>
      <c r="SD189" s="38"/>
      <c r="SE189" s="38"/>
      <c r="SF189" s="38"/>
      <c r="SG189" s="38"/>
      <c r="SH189" s="38"/>
      <c r="SI189" s="38"/>
      <c r="SJ189" s="38"/>
      <c r="SK189" s="38"/>
      <c r="SL189" s="38"/>
      <c r="SM189" s="38"/>
      <c r="SN189" s="38"/>
      <c r="SO189" s="38"/>
      <c r="SP189" s="38"/>
      <c r="SQ189" s="38"/>
      <c r="SR189" s="38"/>
      <c r="SS189" s="38"/>
      <c r="ST189" s="38"/>
      <c r="SU189" s="38"/>
      <c r="SV189" s="38"/>
      <c r="SW189" s="38"/>
      <c r="SX189" s="38"/>
      <c r="SY189" s="38"/>
      <c r="SZ189" s="38"/>
      <c r="TA189" s="38"/>
      <c r="TB189" s="38"/>
      <c r="TC189" s="38"/>
      <c r="TD189" s="38"/>
      <c r="TE189" s="38"/>
      <c r="TF189" s="38"/>
      <c r="TG189" s="38"/>
      <c r="TH189" s="38"/>
      <c r="TI189" s="38"/>
    </row>
    <row r="190" spans="1:529" s="40" customFormat="1" ht="36.75" customHeight="1" x14ac:dyDescent="0.25">
      <c r="A190" s="73" t="s">
        <v>212</v>
      </c>
      <c r="B190" s="72"/>
      <c r="C190" s="72"/>
      <c r="D190" s="33" t="s">
        <v>458</v>
      </c>
      <c r="E190" s="65">
        <f>E193+E194+E195+E196+E197+E198+E199+E200+E201+E202+E203+E205+E204+E207+E211+E212+E213+E214+E217+E218+E206+E209+E216+E215</f>
        <v>269624097.20999998</v>
      </c>
      <c r="F190" s="65">
        <f t="shared" ref="F190:P190" si="87">F193+F194+F195+F196+F197+F198+F199+F200+F201+F202+F203+F205+F204+F207+F211+F212+F213+F214+F217+F218+F206+F209+F216+F215</f>
        <v>225214565.20999998</v>
      </c>
      <c r="G190" s="65">
        <f t="shared" si="87"/>
        <v>10410700</v>
      </c>
      <c r="H190" s="65">
        <f t="shared" si="87"/>
        <v>28582606</v>
      </c>
      <c r="I190" s="65">
        <f t="shared" si="87"/>
        <v>44409532</v>
      </c>
      <c r="J190" s="65">
        <f t="shared" si="87"/>
        <v>219152627.38999999</v>
      </c>
      <c r="K190" s="65">
        <f t="shared" si="87"/>
        <v>132534393.66999999</v>
      </c>
      <c r="L190" s="65">
        <f t="shared" si="87"/>
        <v>81486890.269999996</v>
      </c>
      <c r="M190" s="65">
        <f t="shared" si="87"/>
        <v>0</v>
      </c>
      <c r="N190" s="65">
        <f t="shared" si="87"/>
        <v>0</v>
      </c>
      <c r="O190" s="65">
        <f t="shared" si="87"/>
        <v>137665737.12</v>
      </c>
      <c r="P190" s="65">
        <f t="shared" si="87"/>
        <v>488776724.59999996</v>
      </c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/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/>
      <c r="KN190" s="39"/>
      <c r="KO190" s="39"/>
      <c r="KP190" s="39"/>
      <c r="KQ190" s="39"/>
      <c r="KR190" s="39"/>
      <c r="KS190" s="39"/>
      <c r="KT190" s="39"/>
      <c r="KU190" s="39"/>
      <c r="KV190" s="39"/>
      <c r="KW190" s="39"/>
      <c r="KX190" s="39"/>
      <c r="KY190" s="39"/>
      <c r="KZ190" s="39"/>
      <c r="LA190" s="39"/>
      <c r="LB190" s="39"/>
      <c r="LC190" s="39"/>
      <c r="LD190" s="39"/>
      <c r="LE190" s="39"/>
      <c r="LF190" s="39"/>
      <c r="LG190" s="39"/>
      <c r="LH190" s="39"/>
      <c r="LI190" s="39"/>
      <c r="LJ190" s="39"/>
      <c r="LK190" s="39"/>
      <c r="LL190" s="39"/>
      <c r="LM190" s="39"/>
      <c r="LN190" s="39"/>
      <c r="LO190" s="39"/>
      <c r="LP190" s="39"/>
      <c r="LQ190" s="39"/>
      <c r="LR190" s="39"/>
      <c r="LS190" s="39"/>
      <c r="LT190" s="39"/>
      <c r="LU190" s="39"/>
      <c r="LV190" s="39"/>
      <c r="LW190" s="39"/>
      <c r="LX190" s="39"/>
      <c r="LY190" s="39"/>
      <c r="LZ190" s="39"/>
      <c r="MA190" s="39"/>
      <c r="MB190" s="39"/>
      <c r="MC190" s="39"/>
      <c r="MD190" s="39"/>
      <c r="ME190" s="39"/>
      <c r="MF190" s="39"/>
      <c r="MG190" s="39"/>
      <c r="MH190" s="39"/>
      <c r="MI190" s="39"/>
      <c r="MJ190" s="39"/>
      <c r="MK190" s="39"/>
      <c r="ML190" s="39"/>
      <c r="MM190" s="39"/>
      <c r="MN190" s="39"/>
      <c r="MO190" s="39"/>
      <c r="MP190" s="39"/>
      <c r="MQ190" s="39"/>
      <c r="MR190" s="39"/>
      <c r="MS190" s="39"/>
      <c r="MT190" s="39"/>
      <c r="MU190" s="39"/>
      <c r="MV190" s="39"/>
      <c r="MW190" s="39"/>
      <c r="MX190" s="39"/>
      <c r="MY190" s="39"/>
      <c r="MZ190" s="39"/>
      <c r="NA190" s="39"/>
      <c r="NB190" s="39"/>
      <c r="NC190" s="39"/>
      <c r="ND190" s="39"/>
      <c r="NE190" s="39"/>
      <c r="NF190" s="39"/>
      <c r="NG190" s="39"/>
      <c r="NH190" s="39"/>
      <c r="NI190" s="39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/>
      <c r="NT190" s="39"/>
      <c r="NU190" s="39"/>
      <c r="NV190" s="39"/>
      <c r="NW190" s="39"/>
      <c r="NX190" s="39"/>
      <c r="NY190" s="39"/>
      <c r="NZ190" s="39"/>
      <c r="OA190" s="39"/>
      <c r="OB190" s="39"/>
      <c r="OC190" s="39"/>
      <c r="OD190" s="39"/>
      <c r="OE190" s="39"/>
      <c r="OF190" s="39"/>
      <c r="OG190" s="39"/>
      <c r="OH190" s="39"/>
      <c r="OI190" s="39"/>
      <c r="OJ190" s="39"/>
      <c r="OK190" s="39"/>
      <c r="OL190" s="39"/>
      <c r="OM190" s="39"/>
      <c r="ON190" s="39"/>
      <c r="OO190" s="39"/>
      <c r="OP190" s="39"/>
      <c r="OQ190" s="39"/>
      <c r="OR190" s="39"/>
      <c r="OS190" s="39"/>
      <c r="OT190" s="39"/>
      <c r="OU190" s="39"/>
      <c r="OV190" s="39"/>
      <c r="OW190" s="39"/>
      <c r="OX190" s="39"/>
      <c r="OY190" s="39"/>
      <c r="OZ190" s="39"/>
      <c r="PA190" s="39"/>
      <c r="PB190" s="39"/>
      <c r="PC190" s="39"/>
      <c r="PD190" s="39"/>
      <c r="PE190" s="39"/>
      <c r="PF190" s="39"/>
      <c r="PG190" s="39"/>
      <c r="PH190" s="39"/>
      <c r="PI190" s="39"/>
      <c r="PJ190" s="39"/>
      <c r="PK190" s="39"/>
      <c r="PL190" s="39"/>
      <c r="PM190" s="39"/>
      <c r="PN190" s="39"/>
      <c r="PO190" s="39"/>
      <c r="PP190" s="39"/>
      <c r="PQ190" s="39"/>
      <c r="PR190" s="39"/>
      <c r="PS190" s="39"/>
      <c r="PT190" s="39"/>
      <c r="PU190" s="39"/>
      <c r="PV190" s="39"/>
      <c r="PW190" s="39"/>
      <c r="PX190" s="39"/>
      <c r="PY190" s="39"/>
      <c r="PZ190" s="39"/>
      <c r="QA190" s="39"/>
      <c r="QB190" s="39"/>
      <c r="QC190" s="39"/>
      <c r="QD190" s="39"/>
      <c r="QE190" s="39"/>
      <c r="QF190" s="39"/>
      <c r="QG190" s="39"/>
      <c r="QH190" s="39"/>
      <c r="QI190" s="39"/>
      <c r="QJ190" s="39"/>
      <c r="QK190" s="39"/>
      <c r="QL190" s="39"/>
      <c r="QM190" s="39"/>
      <c r="QN190" s="39"/>
      <c r="QO190" s="39"/>
      <c r="QP190" s="39"/>
      <c r="QQ190" s="39"/>
      <c r="QR190" s="39"/>
      <c r="QS190" s="39"/>
      <c r="QT190" s="39"/>
      <c r="QU190" s="39"/>
      <c r="QV190" s="39"/>
      <c r="QW190" s="39"/>
      <c r="QX190" s="39"/>
      <c r="QY190" s="39"/>
      <c r="QZ190" s="39"/>
      <c r="RA190" s="39"/>
      <c r="RB190" s="39"/>
      <c r="RC190" s="39"/>
      <c r="RD190" s="39"/>
      <c r="RE190" s="39"/>
      <c r="RF190" s="39"/>
      <c r="RG190" s="39"/>
      <c r="RH190" s="39"/>
      <c r="RI190" s="39"/>
      <c r="RJ190" s="39"/>
      <c r="RK190" s="39"/>
      <c r="RL190" s="39"/>
      <c r="RM190" s="39"/>
      <c r="RN190" s="39"/>
      <c r="RO190" s="39"/>
      <c r="RP190" s="39"/>
      <c r="RQ190" s="39"/>
      <c r="RR190" s="39"/>
      <c r="RS190" s="39"/>
      <c r="RT190" s="39"/>
      <c r="RU190" s="39"/>
      <c r="RV190" s="39"/>
      <c r="RW190" s="39"/>
      <c r="RX190" s="39"/>
      <c r="RY190" s="39"/>
      <c r="RZ190" s="39"/>
      <c r="SA190" s="39"/>
      <c r="SB190" s="39"/>
      <c r="SC190" s="39"/>
      <c r="SD190" s="39"/>
      <c r="SE190" s="39"/>
      <c r="SF190" s="39"/>
      <c r="SG190" s="39"/>
      <c r="SH190" s="39"/>
      <c r="SI190" s="39"/>
      <c r="SJ190" s="39"/>
      <c r="SK190" s="39"/>
      <c r="SL190" s="39"/>
      <c r="SM190" s="39"/>
      <c r="SN190" s="39"/>
      <c r="SO190" s="39"/>
      <c r="SP190" s="39"/>
      <c r="SQ190" s="39"/>
      <c r="SR190" s="39"/>
      <c r="SS190" s="39"/>
      <c r="ST190" s="39"/>
      <c r="SU190" s="39"/>
      <c r="SV190" s="39"/>
      <c r="SW190" s="39"/>
      <c r="SX190" s="39"/>
      <c r="SY190" s="39"/>
      <c r="SZ190" s="39"/>
      <c r="TA190" s="39"/>
      <c r="TB190" s="39"/>
      <c r="TC190" s="39"/>
      <c r="TD190" s="39"/>
      <c r="TE190" s="39"/>
      <c r="TF190" s="39"/>
      <c r="TG190" s="39"/>
      <c r="TH190" s="39"/>
      <c r="TI190" s="39"/>
    </row>
    <row r="191" spans="1:529" s="40" customFormat="1" ht="45" x14ac:dyDescent="0.25">
      <c r="A191" s="73"/>
      <c r="B191" s="72"/>
      <c r="C191" s="72"/>
      <c r="D191" s="33" t="s">
        <v>450</v>
      </c>
      <c r="E191" s="65">
        <f>E208</f>
        <v>0</v>
      </c>
      <c r="F191" s="65">
        <f t="shared" ref="F191:P191" si="88">F208</f>
        <v>0</v>
      </c>
      <c r="G191" s="65">
        <f t="shared" si="88"/>
        <v>0</v>
      </c>
      <c r="H191" s="65">
        <f t="shared" si="88"/>
        <v>0</v>
      </c>
      <c r="I191" s="65">
        <f t="shared" si="88"/>
        <v>0</v>
      </c>
      <c r="J191" s="65">
        <f t="shared" si="88"/>
        <v>937420.38</v>
      </c>
      <c r="K191" s="65">
        <f t="shared" si="88"/>
        <v>937420.38</v>
      </c>
      <c r="L191" s="65">
        <f t="shared" si="88"/>
        <v>0</v>
      </c>
      <c r="M191" s="65">
        <f t="shared" si="88"/>
        <v>0</v>
      </c>
      <c r="N191" s="65">
        <f t="shared" si="88"/>
        <v>0</v>
      </c>
      <c r="O191" s="65">
        <f t="shared" si="88"/>
        <v>937420.38</v>
      </c>
      <c r="P191" s="65">
        <f t="shared" si="88"/>
        <v>937420.38</v>
      </c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  <c r="IX191" s="39"/>
      <c r="IY191" s="39"/>
      <c r="IZ191" s="39"/>
      <c r="JA191" s="39"/>
      <c r="JB191" s="39"/>
      <c r="JC191" s="39"/>
      <c r="JD191" s="39"/>
      <c r="JE191" s="39"/>
      <c r="JF191" s="39"/>
      <c r="JG191" s="39"/>
      <c r="JH191" s="39"/>
      <c r="JI191" s="39"/>
      <c r="JJ191" s="39"/>
      <c r="JK191" s="39"/>
      <c r="JL191" s="39"/>
      <c r="JM191" s="39"/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39"/>
      <c r="KH191" s="39"/>
      <c r="KI191" s="39"/>
      <c r="KJ191" s="39"/>
      <c r="KK191" s="39"/>
      <c r="KL191" s="39"/>
      <c r="KM191" s="39"/>
      <c r="KN191" s="39"/>
      <c r="KO191" s="39"/>
      <c r="KP191" s="39"/>
      <c r="KQ191" s="39"/>
      <c r="KR191" s="39"/>
      <c r="KS191" s="39"/>
      <c r="KT191" s="39"/>
      <c r="KU191" s="39"/>
      <c r="KV191" s="39"/>
      <c r="KW191" s="39"/>
      <c r="KX191" s="39"/>
      <c r="KY191" s="39"/>
      <c r="KZ191" s="39"/>
      <c r="LA191" s="39"/>
      <c r="LB191" s="39"/>
      <c r="LC191" s="39"/>
      <c r="LD191" s="39"/>
      <c r="LE191" s="39"/>
      <c r="LF191" s="39"/>
      <c r="LG191" s="39"/>
      <c r="LH191" s="39"/>
      <c r="LI191" s="39"/>
      <c r="LJ191" s="39"/>
      <c r="LK191" s="39"/>
      <c r="LL191" s="39"/>
      <c r="LM191" s="39"/>
      <c r="LN191" s="39"/>
      <c r="LO191" s="39"/>
      <c r="LP191" s="39"/>
      <c r="LQ191" s="39"/>
      <c r="LR191" s="39"/>
      <c r="LS191" s="39"/>
      <c r="LT191" s="39"/>
      <c r="LU191" s="39"/>
      <c r="LV191" s="39"/>
      <c r="LW191" s="39"/>
      <c r="LX191" s="39"/>
      <c r="LY191" s="39"/>
      <c r="LZ191" s="39"/>
      <c r="MA191" s="39"/>
      <c r="MB191" s="39"/>
      <c r="MC191" s="39"/>
      <c r="MD191" s="39"/>
      <c r="ME191" s="39"/>
      <c r="MF191" s="39"/>
      <c r="MG191" s="39"/>
      <c r="MH191" s="39"/>
      <c r="MI191" s="39"/>
      <c r="MJ191" s="39"/>
      <c r="MK191" s="39"/>
      <c r="ML191" s="39"/>
      <c r="MM191" s="39"/>
      <c r="MN191" s="39"/>
      <c r="MO191" s="39"/>
      <c r="MP191" s="39"/>
      <c r="MQ191" s="39"/>
      <c r="MR191" s="39"/>
      <c r="MS191" s="39"/>
      <c r="MT191" s="39"/>
      <c r="MU191" s="39"/>
      <c r="MV191" s="39"/>
      <c r="MW191" s="39"/>
      <c r="MX191" s="39"/>
      <c r="MY191" s="39"/>
      <c r="MZ191" s="39"/>
      <c r="NA191" s="39"/>
      <c r="NB191" s="39"/>
      <c r="NC191" s="39"/>
      <c r="ND191" s="39"/>
      <c r="NE191" s="39"/>
      <c r="NF191" s="39"/>
      <c r="NG191" s="39"/>
      <c r="NH191" s="39"/>
      <c r="NI191" s="39"/>
      <c r="NJ191" s="39"/>
      <c r="NK191" s="39"/>
      <c r="NL191" s="39"/>
      <c r="NM191" s="39"/>
      <c r="NN191" s="39"/>
      <c r="NO191" s="39"/>
      <c r="NP191" s="39"/>
      <c r="NQ191" s="39"/>
      <c r="NR191" s="39"/>
      <c r="NS191" s="39"/>
      <c r="NT191" s="39"/>
      <c r="NU191" s="39"/>
      <c r="NV191" s="39"/>
      <c r="NW191" s="39"/>
      <c r="NX191" s="39"/>
      <c r="NY191" s="39"/>
      <c r="NZ191" s="39"/>
      <c r="OA191" s="39"/>
      <c r="OB191" s="39"/>
      <c r="OC191" s="39"/>
      <c r="OD191" s="39"/>
      <c r="OE191" s="39"/>
      <c r="OF191" s="39"/>
      <c r="OG191" s="39"/>
      <c r="OH191" s="39"/>
      <c r="OI191" s="39"/>
      <c r="OJ191" s="39"/>
      <c r="OK191" s="39"/>
      <c r="OL191" s="39"/>
      <c r="OM191" s="39"/>
      <c r="ON191" s="39"/>
      <c r="OO191" s="39"/>
      <c r="OP191" s="39"/>
      <c r="OQ191" s="39"/>
      <c r="OR191" s="39"/>
      <c r="OS191" s="39"/>
      <c r="OT191" s="39"/>
      <c r="OU191" s="39"/>
      <c r="OV191" s="39"/>
      <c r="OW191" s="39"/>
      <c r="OX191" s="39"/>
      <c r="OY191" s="39"/>
      <c r="OZ191" s="39"/>
      <c r="PA191" s="39"/>
      <c r="PB191" s="39"/>
      <c r="PC191" s="39"/>
      <c r="PD191" s="39"/>
      <c r="PE191" s="39"/>
      <c r="PF191" s="39"/>
      <c r="PG191" s="39"/>
      <c r="PH191" s="39"/>
      <c r="PI191" s="39"/>
      <c r="PJ191" s="39"/>
      <c r="PK191" s="39"/>
      <c r="PL191" s="39"/>
      <c r="PM191" s="39"/>
      <c r="PN191" s="39"/>
      <c r="PO191" s="39"/>
      <c r="PP191" s="39"/>
      <c r="PQ191" s="39"/>
      <c r="PR191" s="39"/>
      <c r="PS191" s="39"/>
      <c r="PT191" s="39"/>
      <c r="PU191" s="39"/>
      <c r="PV191" s="39"/>
      <c r="PW191" s="39"/>
      <c r="PX191" s="39"/>
      <c r="PY191" s="39"/>
      <c r="PZ191" s="39"/>
      <c r="QA191" s="39"/>
      <c r="QB191" s="39"/>
      <c r="QC191" s="39"/>
      <c r="QD191" s="39"/>
      <c r="QE191" s="39"/>
      <c r="QF191" s="39"/>
      <c r="QG191" s="39"/>
      <c r="QH191" s="39"/>
      <c r="QI191" s="39"/>
      <c r="QJ191" s="39"/>
      <c r="QK191" s="39"/>
      <c r="QL191" s="39"/>
      <c r="QM191" s="39"/>
      <c r="QN191" s="39"/>
      <c r="QO191" s="39"/>
      <c r="QP191" s="39"/>
      <c r="QQ191" s="39"/>
      <c r="QR191" s="39"/>
      <c r="QS191" s="39"/>
      <c r="QT191" s="39"/>
      <c r="QU191" s="39"/>
      <c r="QV191" s="39"/>
      <c r="QW191" s="39"/>
      <c r="QX191" s="39"/>
      <c r="QY191" s="39"/>
      <c r="QZ191" s="39"/>
      <c r="RA191" s="39"/>
      <c r="RB191" s="39"/>
      <c r="RC191" s="39"/>
      <c r="RD191" s="39"/>
      <c r="RE191" s="39"/>
      <c r="RF191" s="39"/>
      <c r="RG191" s="39"/>
      <c r="RH191" s="39"/>
      <c r="RI191" s="39"/>
      <c r="RJ191" s="39"/>
      <c r="RK191" s="39"/>
      <c r="RL191" s="39"/>
      <c r="RM191" s="39"/>
      <c r="RN191" s="39"/>
      <c r="RO191" s="39"/>
      <c r="RP191" s="39"/>
      <c r="RQ191" s="39"/>
      <c r="RR191" s="39"/>
      <c r="RS191" s="39"/>
      <c r="RT191" s="39"/>
      <c r="RU191" s="39"/>
      <c r="RV191" s="39"/>
      <c r="RW191" s="39"/>
      <c r="RX191" s="39"/>
      <c r="RY191" s="39"/>
      <c r="RZ191" s="39"/>
      <c r="SA191" s="39"/>
      <c r="SB191" s="39"/>
      <c r="SC191" s="39"/>
      <c r="SD191" s="39"/>
      <c r="SE191" s="39"/>
      <c r="SF191" s="39"/>
      <c r="SG191" s="39"/>
      <c r="SH191" s="39"/>
      <c r="SI191" s="39"/>
      <c r="SJ191" s="39"/>
      <c r="SK191" s="39"/>
      <c r="SL191" s="39"/>
      <c r="SM191" s="39"/>
      <c r="SN191" s="39"/>
      <c r="SO191" s="39"/>
      <c r="SP191" s="39"/>
      <c r="SQ191" s="39"/>
      <c r="SR191" s="39"/>
      <c r="SS191" s="39"/>
      <c r="ST191" s="39"/>
      <c r="SU191" s="39"/>
      <c r="SV191" s="39"/>
      <c r="SW191" s="39"/>
      <c r="SX191" s="39"/>
      <c r="SY191" s="39"/>
      <c r="SZ191" s="39"/>
      <c r="TA191" s="39"/>
      <c r="TB191" s="39"/>
      <c r="TC191" s="39"/>
      <c r="TD191" s="39"/>
      <c r="TE191" s="39"/>
      <c r="TF191" s="39"/>
      <c r="TG191" s="39"/>
      <c r="TH191" s="39"/>
      <c r="TI191" s="39"/>
    </row>
    <row r="192" spans="1:529" s="40" customFormat="1" ht="96.75" customHeight="1" x14ac:dyDescent="0.25">
      <c r="A192" s="73"/>
      <c r="B192" s="72"/>
      <c r="C192" s="72"/>
      <c r="D192" s="33" t="s">
        <v>459</v>
      </c>
      <c r="E192" s="65">
        <f>E210</f>
        <v>0</v>
      </c>
      <c r="F192" s="65">
        <f t="shared" ref="F192:P192" si="89">F210</f>
        <v>0</v>
      </c>
      <c r="G192" s="65">
        <f t="shared" si="89"/>
        <v>0</v>
      </c>
      <c r="H192" s="65">
        <f t="shared" si="89"/>
        <v>0</v>
      </c>
      <c r="I192" s="65">
        <f t="shared" si="89"/>
        <v>0</v>
      </c>
      <c r="J192" s="65">
        <f t="shared" si="89"/>
        <v>80000000</v>
      </c>
      <c r="K192" s="65">
        <f t="shared" si="89"/>
        <v>0</v>
      </c>
      <c r="L192" s="65">
        <f t="shared" si="89"/>
        <v>80000000</v>
      </c>
      <c r="M192" s="65">
        <f t="shared" si="89"/>
        <v>0</v>
      </c>
      <c r="N192" s="65">
        <f t="shared" si="89"/>
        <v>0</v>
      </c>
      <c r="O192" s="65">
        <f t="shared" si="89"/>
        <v>0</v>
      </c>
      <c r="P192" s="65">
        <f t="shared" si="89"/>
        <v>80000000</v>
      </c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  <c r="IW192" s="39"/>
      <c r="IX192" s="39"/>
      <c r="IY192" s="39"/>
      <c r="IZ192" s="39"/>
      <c r="JA192" s="39"/>
      <c r="JB192" s="39"/>
      <c r="JC192" s="39"/>
      <c r="JD192" s="39"/>
      <c r="JE192" s="39"/>
      <c r="JF192" s="39"/>
      <c r="JG192" s="39"/>
      <c r="JH192" s="39"/>
      <c r="JI192" s="39"/>
      <c r="JJ192" s="39"/>
      <c r="JK192" s="39"/>
      <c r="JL192" s="39"/>
      <c r="JM192" s="39"/>
      <c r="JN192" s="39"/>
      <c r="JO192" s="39"/>
      <c r="JP192" s="39"/>
      <c r="JQ192" s="39"/>
      <c r="JR192" s="39"/>
      <c r="JS192" s="39"/>
      <c r="JT192" s="39"/>
      <c r="JU192" s="39"/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39"/>
      <c r="KH192" s="39"/>
      <c r="KI192" s="39"/>
      <c r="KJ192" s="39"/>
      <c r="KK192" s="39"/>
      <c r="KL192" s="39"/>
      <c r="KM192" s="39"/>
      <c r="KN192" s="39"/>
      <c r="KO192" s="39"/>
      <c r="KP192" s="39"/>
      <c r="KQ192" s="39"/>
      <c r="KR192" s="39"/>
      <c r="KS192" s="39"/>
      <c r="KT192" s="39"/>
      <c r="KU192" s="39"/>
      <c r="KV192" s="39"/>
      <c r="KW192" s="39"/>
      <c r="KX192" s="39"/>
      <c r="KY192" s="39"/>
      <c r="KZ192" s="39"/>
      <c r="LA192" s="39"/>
      <c r="LB192" s="39"/>
      <c r="LC192" s="39"/>
      <c r="LD192" s="39"/>
      <c r="LE192" s="39"/>
      <c r="LF192" s="39"/>
      <c r="LG192" s="39"/>
      <c r="LH192" s="39"/>
      <c r="LI192" s="39"/>
      <c r="LJ192" s="39"/>
      <c r="LK192" s="39"/>
      <c r="LL192" s="39"/>
      <c r="LM192" s="39"/>
      <c r="LN192" s="39"/>
      <c r="LO192" s="39"/>
      <c r="LP192" s="39"/>
      <c r="LQ192" s="39"/>
      <c r="LR192" s="39"/>
      <c r="LS192" s="39"/>
      <c r="LT192" s="39"/>
      <c r="LU192" s="39"/>
      <c r="LV192" s="39"/>
      <c r="LW192" s="39"/>
      <c r="LX192" s="39"/>
      <c r="LY192" s="39"/>
      <c r="LZ192" s="39"/>
      <c r="MA192" s="39"/>
      <c r="MB192" s="39"/>
      <c r="MC192" s="39"/>
      <c r="MD192" s="39"/>
      <c r="ME192" s="39"/>
      <c r="MF192" s="39"/>
      <c r="MG192" s="39"/>
      <c r="MH192" s="39"/>
      <c r="MI192" s="39"/>
      <c r="MJ192" s="39"/>
      <c r="MK192" s="39"/>
      <c r="ML192" s="39"/>
      <c r="MM192" s="39"/>
      <c r="MN192" s="39"/>
      <c r="MO192" s="39"/>
      <c r="MP192" s="39"/>
      <c r="MQ192" s="39"/>
      <c r="MR192" s="39"/>
      <c r="MS192" s="39"/>
      <c r="MT192" s="39"/>
      <c r="MU192" s="39"/>
      <c r="MV192" s="39"/>
      <c r="MW192" s="39"/>
      <c r="MX192" s="39"/>
      <c r="MY192" s="39"/>
      <c r="MZ192" s="39"/>
      <c r="NA192" s="39"/>
      <c r="NB192" s="39"/>
      <c r="NC192" s="39"/>
      <c r="ND192" s="39"/>
      <c r="NE192" s="39"/>
      <c r="NF192" s="39"/>
      <c r="NG192" s="39"/>
      <c r="NH192" s="39"/>
      <c r="NI192" s="39"/>
      <c r="NJ192" s="39"/>
      <c r="NK192" s="39"/>
      <c r="NL192" s="39"/>
      <c r="NM192" s="39"/>
      <c r="NN192" s="39"/>
      <c r="NO192" s="39"/>
      <c r="NP192" s="39"/>
      <c r="NQ192" s="39"/>
      <c r="NR192" s="39"/>
      <c r="NS192" s="39"/>
      <c r="NT192" s="39"/>
      <c r="NU192" s="39"/>
      <c r="NV192" s="39"/>
      <c r="NW192" s="39"/>
      <c r="NX192" s="39"/>
      <c r="NY192" s="39"/>
      <c r="NZ192" s="39"/>
      <c r="OA192" s="39"/>
      <c r="OB192" s="39"/>
      <c r="OC192" s="39"/>
      <c r="OD192" s="39"/>
      <c r="OE192" s="39"/>
      <c r="OF192" s="39"/>
      <c r="OG192" s="39"/>
      <c r="OH192" s="39"/>
      <c r="OI192" s="39"/>
      <c r="OJ192" s="39"/>
      <c r="OK192" s="39"/>
      <c r="OL192" s="39"/>
      <c r="OM192" s="39"/>
      <c r="ON192" s="39"/>
      <c r="OO192" s="39"/>
      <c r="OP192" s="39"/>
      <c r="OQ192" s="39"/>
      <c r="OR192" s="39"/>
      <c r="OS192" s="39"/>
      <c r="OT192" s="39"/>
      <c r="OU192" s="39"/>
      <c r="OV192" s="39"/>
      <c r="OW192" s="39"/>
      <c r="OX192" s="39"/>
      <c r="OY192" s="39"/>
      <c r="OZ192" s="39"/>
      <c r="PA192" s="39"/>
      <c r="PB192" s="39"/>
      <c r="PC192" s="39"/>
      <c r="PD192" s="39"/>
      <c r="PE192" s="39"/>
      <c r="PF192" s="39"/>
      <c r="PG192" s="39"/>
      <c r="PH192" s="39"/>
      <c r="PI192" s="39"/>
      <c r="PJ192" s="39"/>
      <c r="PK192" s="39"/>
      <c r="PL192" s="39"/>
      <c r="PM192" s="39"/>
      <c r="PN192" s="39"/>
      <c r="PO192" s="39"/>
      <c r="PP192" s="39"/>
      <c r="PQ192" s="39"/>
      <c r="PR192" s="39"/>
      <c r="PS192" s="39"/>
      <c r="PT192" s="39"/>
      <c r="PU192" s="39"/>
      <c r="PV192" s="39"/>
      <c r="PW192" s="39"/>
      <c r="PX192" s="39"/>
      <c r="PY192" s="39"/>
      <c r="PZ192" s="39"/>
      <c r="QA192" s="39"/>
      <c r="QB192" s="39"/>
      <c r="QC192" s="39"/>
      <c r="QD192" s="39"/>
      <c r="QE192" s="39"/>
      <c r="QF192" s="39"/>
      <c r="QG192" s="39"/>
      <c r="QH192" s="39"/>
      <c r="QI192" s="39"/>
      <c r="QJ192" s="39"/>
      <c r="QK192" s="39"/>
      <c r="QL192" s="39"/>
      <c r="QM192" s="39"/>
      <c r="QN192" s="39"/>
      <c r="QO192" s="39"/>
      <c r="QP192" s="39"/>
      <c r="QQ192" s="39"/>
      <c r="QR192" s="39"/>
      <c r="QS192" s="39"/>
      <c r="QT192" s="39"/>
      <c r="QU192" s="39"/>
      <c r="QV192" s="39"/>
      <c r="QW192" s="39"/>
      <c r="QX192" s="39"/>
      <c r="QY192" s="39"/>
      <c r="QZ192" s="39"/>
      <c r="RA192" s="39"/>
      <c r="RB192" s="39"/>
      <c r="RC192" s="39"/>
      <c r="RD192" s="39"/>
      <c r="RE192" s="39"/>
      <c r="RF192" s="39"/>
      <c r="RG192" s="39"/>
      <c r="RH192" s="39"/>
      <c r="RI192" s="39"/>
      <c r="RJ192" s="39"/>
      <c r="RK192" s="39"/>
      <c r="RL192" s="39"/>
      <c r="RM192" s="39"/>
      <c r="RN192" s="39"/>
      <c r="RO192" s="39"/>
      <c r="RP192" s="39"/>
      <c r="RQ192" s="39"/>
      <c r="RR192" s="39"/>
      <c r="RS192" s="39"/>
      <c r="RT192" s="39"/>
      <c r="RU192" s="39"/>
      <c r="RV192" s="39"/>
      <c r="RW192" s="39"/>
      <c r="RX192" s="39"/>
      <c r="RY192" s="39"/>
      <c r="RZ192" s="39"/>
      <c r="SA192" s="39"/>
      <c r="SB192" s="39"/>
      <c r="SC192" s="39"/>
      <c r="SD192" s="39"/>
      <c r="SE192" s="39"/>
      <c r="SF192" s="39"/>
      <c r="SG192" s="39"/>
      <c r="SH192" s="39"/>
      <c r="SI192" s="39"/>
      <c r="SJ192" s="39"/>
      <c r="SK192" s="39"/>
      <c r="SL192" s="39"/>
      <c r="SM192" s="39"/>
      <c r="SN192" s="39"/>
      <c r="SO192" s="39"/>
      <c r="SP192" s="39"/>
      <c r="SQ192" s="39"/>
      <c r="SR192" s="39"/>
      <c r="SS192" s="39"/>
      <c r="ST192" s="39"/>
      <c r="SU192" s="39"/>
      <c r="SV192" s="39"/>
      <c r="SW192" s="39"/>
      <c r="SX192" s="39"/>
      <c r="SY192" s="39"/>
      <c r="SZ192" s="39"/>
      <c r="TA192" s="39"/>
      <c r="TB192" s="39"/>
      <c r="TC192" s="39"/>
      <c r="TD192" s="39"/>
      <c r="TE192" s="39"/>
      <c r="TF192" s="39"/>
      <c r="TG192" s="39"/>
      <c r="TH192" s="39"/>
      <c r="TI192" s="39"/>
    </row>
    <row r="193" spans="1:529" s="23" customFormat="1" ht="48.75" customHeight="1" x14ac:dyDescent="0.25">
      <c r="A193" s="43" t="s">
        <v>213</v>
      </c>
      <c r="B193" s="44" t="str">
        <f>'дод 4'!A20</f>
        <v>0160</v>
      </c>
      <c r="C193" s="44" t="str">
        <f>'дод 4'!B20</f>
        <v>0111</v>
      </c>
      <c r="D193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93" s="66">
        <f t="shared" ref="E193:E218" si="90">F193+I193</f>
        <v>13538500</v>
      </c>
      <c r="F193" s="66">
        <f>13873900+90800-678700+244800-29000+15600+21100</f>
        <v>13538500</v>
      </c>
      <c r="G193" s="66">
        <f>10990800-556300-23800</f>
        <v>10410700</v>
      </c>
      <c r="H193" s="66">
        <v>164000</v>
      </c>
      <c r="I193" s="66"/>
      <c r="J193" s="66">
        <f>L193+O193</f>
        <v>0</v>
      </c>
      <c r="K193" s="66"/>
      <c r="L193" s="66"/>
      <c r="M193" s="66"/>
      <c r="N193" s="66"/>
      <c r="O193" s="66"/>
      <c r="P193" s="66">
        <f t="shared" ref="P193:P218" si="91">E193+J193</f>
        <v>13538500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23" customFormat="1" ht="19.5" customHeight="1" x14ac:dyDescent="0.25">
      <c r="A194" s="52" t="s">
        <v>330</v>
      </c>
      <c r="B194" s="45" t="str">
        <f>'дод 4'!A105</f>
        <v>3210</v>
      </c>
      <c r="C194" s="45" t="str">
        <f>'дод 4'!B105</f>
        <v>1050</v>
      </c>
      <c r="D194" s="22" t="str">
        <f>'дод 4'!C105</f>
        <v>Організація та проведення громадських робіт</v>
      </c>
      <c r="E194" s="66">
        <f t="shared" si="90"/>
        <v>109000</v>
      </c>
      <c r="F194" s="66">
        <f>400000-150000-141000</f>
        <v>109000</v>
      </c>
      <c r="G194" s="66"/>
      <c r="H194" s="66"/>
      <c r="I194" s="66"/>
      <c r="J194" s="66">
        <f t="shared" ref="J194:J218" si="92">L194+O194</f>
        <v>0</v>
      </c>
      <c r="K194" s="66"/>
      <c r="L194" s="66"/>
      <c r="M194" s="66"/>
      <c r="N194" s="66"/>
      <c r="O194" s="66"/>
      <c r="P194" s="66">
        <f t="shared" si="91"/>
        <v>109000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</row>
    <row r="195" spans="1:529" s="23" customFormat="1" ht="20.25" customHeight="1" x14ac:dyDescent="0.25">
      <c r="A195" s="43" t="s">
        <v>214</v>
      </c>
      <c r="B195" s="44" t="str">
        <f>'дод 4'!A126</f>
        <v>6011</v>
      </c>
      <c r="C195" s="44" t="str">
        <f>'дод 4'!B126</f>
        <v>0610</v>
      </c>
      <c r="D195" s="24" t="str">
        <f>'дод 4'!C126</f>
        <v>Експлуатація та технічне обслуговування житлового фонду</v>
      </c>
      <c r="E195" s="66">
        <f t="shared" si="90"/>
        <v>0</v>
      </c>
      <c r="F195" s="66"/>
      <c r="G195" s="66"/>
      <c r="H195" s="66"/>
      <c r="I195" s="66"/>
      <c r="J195" s="66">
        <f t="shared" si="92"/>
        <v>14111660.360000001</v>
      </c>
      <c r="K195" s="66">
        <f>12179152.23+468786.13-23000+739862+349321+59359+110080-49200+247300</f>
        <v>14081660.360000001</v>
      </c>
      <c r="L195" s="66"/>
      <c r="M195" s="66"/>
      <c r="N195" s="66"/>
      <c r="O195" s="66">
        <f>12209152.23+468786.13-23000+739862+349321+59359+110080-49200+247300</f>
        <v>14111660.360000001</v>
      </c>
      <c r="P195" s="66">
        <f t="shared" si="91"/>
        <v>14111660.360000001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</row>
    <row r="196" spans="1:529" s="23" customFormat="1" ht="33" customHeight="1" x14ac:dyDescent="0.25">
      <c r="A196" s="43" t="s">
        <v>215</v>
      </c>
      <c r="B196" s="44" t="str">
        <f>'дод 4'!A127</f>
        <v>6013</v>
      </c>
      <c r="C196" s="44" t="str">
        <f>'дод 4'!B127</f>
        <v>0620</v>
      </c>
      <c r="D196" s="24" t="str">
        <f>'дод 4'!C127</f>
        <v>Забезпечення діяльності водопровідно-каналізаційного господарства</v>
      </c>
      <c r="E196" s="66">
        <f t="shared" si="90"/>
        <v>40959857.380000003</v>
      </c>
      <c r="F196" s="66">
        <f>775000-350000+80000+185000-30142.62</f>
        <v>659857.38</v>
      </c>
      <c r="G196" s="66"/>
      <c r="H196" s="66"/>
      <c r="I196" s="66">
        <f>30150000+350000+8000000+1800000</f>
        <v>40300000</v>
      </c>
      <c r="J196" s="66">
        <f t="shared" si="92"/>
        <v>3452635.62</v>
      </c>
      <c r="K196" s="66">
        <f>1700000+20000+1000+1000000+30142.62+701493</f>
        <v>3452635.62</v>
      </c>
      <c r="L196" s="66"/>
      <c r="M196" s="66"/>
      <c r="N196" s="66"/>
      <c r="O196" s="66">
        <f>1700000+20000+1000+1000000+30142.62+701493</f>
        <v>3452635.62</v>
      </c>
      <c r="P196" s="66">
        <f t="shared" si="91"/>
        <v>44412493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</row>
    <row r="197" spans="1:529" s="23" customFormat="1" ht="23.25" customHeight="1" x14ac:dyDescent="0.25">
      <c r="A197" s="43" t="s">
        <v>281</v>
      </c>
      <c r="B197" s="44" t="str">
        <f>'дод 4'!A128</f>
        <v>6015</v>
      </c>
      <c r="C197" s="44" t="str">
        <f>'дод 4'!B128</f>
        <v>0620</v>
      </c>
      <c r="D197" s="24" t="str">
        <f>'дод 4'!C128</f>
        <v>Забезпечення надійної та безперебійної експлуатації ліфтів</v>
      </c>
      <c r="E197" s="66">
        <f t="shared" si="90"/>
        <v>133887</v>
      </c>
      <c r="F197" s="66">
        <f>200000-6113-60000</f>
        <v>133887</v>
      </c>
      <c r="G197" s="66"/>
      <c r="H197" s="66"/>
      <c r="I197" s="66"/>
      <c r="J197" s="66">
        <f t="shared" si="92"/>
        <v>15188290.529999999</v>
      </c>
      <c r="K197" s="66">
        <f>15000000+9-1500000-405560.17+164000+100000-935318+935318+91181.7+670000-27000+1600000-437340-6920-110080</f>
        <v>15138290.529999999</v>
      </c>
      <c r="L197" s="66"/>
      <c r="M197" s="66"/>
      <c r="N197" s="66"/>
      <c r="O197" s="66">
        <f>15000000+50000+9-1500000-405560.17+164000+100000-935318+935318+91181.7+670000-27000+1600000-437340-6920-110080</f>
        <v>15188290.529999999</v>
      </c>
      <c r="P197" s="66">
        <f t="shared" si="91"/>
        <v>15322177.529999999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</row>
    <row r="198" spans="1:529" s="23" customFormat="1" ht="32.25" customHeight="1" x14ac:dyDescent="0.25">
      <c r="A198" s="43" t="s">
        <v>284</v>
      </c>
      <c r="B198" s="44" t="str">
        <f>'дод 4'!A129</f>
        <v>6017</v>
      </c>
      <c r="C198" s="44" t="str">
        <f>'дод 4'!B129</f>
        <v>0620</v>
      </c>
      <c r="D198" s="24" t="str">
        <f>'дод 4'!C129</f>
        <v>Інша діяльність, пов’язана з експлуатацією об’єктів житлово-комунального господарства</v>
      </c>
      <c r="E198" s="66">
        <f t="shared" si="90"/>
        <v>100000</v>
      </c>
      <c r="F198" s="66">
        <f>100000+1500000-1500000</f>
        <v>100000</v>
      </c>
      <c r="G198" s="66"/>
      <c r="H198" s="66"/>
      <c r="I198" s="66"/>
      <c r="J198" s="66">
        <f t="shared" si="92"/>
        <v>0</v>
      </c>
      <c r="K198" s="66"/>
      <c r="L198" s="66"/>
      <c r="M198" s="66"/>
      <c r="N198" s="66"/>
      <c r="O198" s="66"/>
      <c r="P198" s="66">
        <f t="shared" si="91"/>
        <v>100000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23" customFormat="1" ht="45" x14ac:dyDescent="0.25">
      <c r="A199" s="43" t="s">
        <v>216</v>
      </c>
      <c r="B199" s="44" t="str">
        <f>'дод 4'!A130</f>
        <v>6020</v>
      </c>
      <c r="C199" s="44" t="str">
        <f>'дод 4'!B130</f>
        <v>0620</v>
      </c>
      <c r="D199" s="24" t="str">
        <f>'дод 4'!C130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9" s="66">
        <f t="shared" si="90"/>
        <v>2605232</v>
      </c>
      <c r="F199" s="66"/>
      <c r="G199" s="66"/>
      <c r="H199" s="66"/>
      <c r="I199" s="66">
        <f>2595232+2000000+10000-2000000</f>
        <v>2605232</v>
      </c>
      <c r="J199" s="66">
        <f t="shared" si="92"/>
        <v>2000000</v>
      </c>
      <c r="K199" s="66">
        <f>2000000-2000000+2000000</f>
        <v>2000000</v>
      </c>
      <c r="L199" s="66"/>
      <c r="M199" s="66"/>
      <c r="N199" s="66"/>
      <c r="O199" s="66">
        <f>2000000-2000000+2000000</f>
        <v>2000000</v>
      </c>
      <c r="P199" s="66">
        <f t="shared" si="91"/>
        <v>4605232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21.75" customHeight="1" x14ac:dyDescent="0.25">
      <c r="A200" s="43" t="s">
        <v>217</v>
      </c>
      <c r="B200" s="44" t="str">
        <f>'дод 4'!A131</f>
        <v>6030</v>
      </c>
      <c r="C200" s="44" t="str">
        <f>'дод 4'!B131</f>
        <v>0620</v>
      </c>
      <c r="D200" s="24" t="str">
        <f>'дод 4'!C131</f>
        <v>Організація благоустрою населених пунктів</v>
      </c>
      <c r="E200" s="66">
        <f t="shared" si="90"/>
        <v>204021950.50999999</v>
      </c>
      <c r="F200" s="66">
        <f>196751729.57+143920+326100-9000+1049000+141000-14000+46600+42000+340000+260000+98700+3000-25836+471500+300000+820000+3103833+6920-195000+49200+499405+4905-192026.06</f>
        <v>204021950.50999999</v>
      </c>
      <c r="G200" s="66"/>
      <c r="H200" s="66">
        <f>28121706+34500+172000</f>
        <v>28328206</v>
      </c>
      <c r="I200" s="66"/>
      <c r="J200" s="66">
        <f t="shared" si="92"/>
        <v>60633385.149999999</v>
      </c>
      <c r="K200" s="66">
        <f>58971116.15+23000+9000+3000+1227174+14000-340000+248279-1500000-260000-49700+3500000-300000-1800000+287516+600000</f>
        <v>60633385.149999999</v>
      </c>
      <c r="L200" s="68"/>
      <c r="M200" s="66"/>
      <c r="N200" s="66"/>
      <c r="O200" s="66">
        <f>58971116.15+23000+9000+3000+1227174+14000-340000+248279-1500000-260000-49700+3500000-300000-1800000+287516+600000</f>
        <v>60633385.149999999</v>
      </c>
      <c r="P200" s="66">
        <f t="shared" si="91"/>
        <v>264655335.66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31.5" customHeight="1" x14ac:dyDescent="0.25">
      <c r="A201" s="43" t="s">
        <v>274</v>
      </c>
      <c r="B201" s="44" t="str">
        <f>'дод 4'!A134</f>
        <v>6090</v>
      </c>
      <c r="C201" s="44" t="str">
        <f>'дод 4'!B134</f>
        <v>0640</v>
      </c>
      <c r="D201" s="24" t="str">
        <f>'дод 4'!C134</f>
        <v>Інша діяльність у сфері житлово-комунального господарства</v>
      </c>
      <c r="E201" s="66">
        <f t="shared" si="90"/>
        <v>3449752.3200000008</v>
      </c>
      <c r="F201" s="66">
        <f>8907408.39+75000-2387670.13-55400-199000-5000-300800-49000-3000-40000+25836-2753043+195000-14905+50026.06</f>
        <v>3445452.3200000008</v>
      </c>
      <c r="G201" s="66"/>
      <c r="H201" s="66">
        <v>42400</v>
      </c>
      <c r="I201" s="66">
        <v>4300</v>
      </c>
      <c r="J201" s="66">
        <f t="shared" si="92"/>
        <v>505708.78999999911</v>
      </c>
      <c r="K201" s="66">
        <f>21793738-10545638.97-1288734.74-6359655.5-305000-2494000-295000</f>
        <v>505708.78999999911</v>
      </c>
      <c r="L201" s="66"/>
      <c r="M201" s="66"/>
      <c r="N201" s="66"/>
      <c r="O201" s="66">
        <f>21793738-10545638.97-1288734.74-6359655.5-305000-2494000-295000</f>
        <v>505708.78999999911</v>
      </c>
      <c r="P201" s="66">
        <f t="shared" si="91"/>
        <v>3955461.11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22.5" customHeight="1" x14ac:dyDescent="0.25">
      <c r="A202" s="43" t="s">
        <v>293</v>
      </c>
      <c r="B202" s="44" t="str">
        <f>'дод 4'!A143</f>
        <v>7310</v>
      </c>
      <c r="C202" s="44" t="str">
        <f>'дод 4'!B143</f>
        <v>0443</v>
      </c>
      <c r="D202" s="24" t="str">
        <f>'дод 4'!C143</f>
        <v>Будівництво об'єктів житлово-комунального господарства</v>
      </c>
      <c r="E202" s="66">
        <f t="shared" si="90"/>
        <v>0</v>
      </c>
      <c r="F202" s="66"/>
      <c r="G202" s="66"/>
      <c r="H202" s="66"/>
      <c r="I202" s="66"/>
      <c r="J202" s="66">
        <f t="shared" si="92"/>
        <v>8507216.7599999998</v>
      </c>
      <c r="K202" s="66">
        <f>9490697.76+40000+188019-471500-240000-500000</f>
        <v>8507216.7599999998</v>
      </c>
      <c r="L202" s="66"/>
      <c r="M202" s="66"/>
      <c r="N202" s="66"/>
      <c r="O202" s="66">
        <f>9490697.76+40000+188019-471500-240000-500000</f>
        <v>8507216.7599999998</v>
      </c>
      <c r="P202" s="66">
        <f t="shared" si="91"/>
        <v>8507216.7599999998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20.25" customHeight="1" x14ac:dyDescent="0.25">
      <c r="A203" s="43" t="s">
        <v>295</v>
      </c>
      <c r="B203" s="44" t="str">
        <f>'дод 4'!A148</f>
        <v>7330</v>
      </c>
      <c r="C203" s="44" t="str">
        <f>'дод 4'!B148</f>
        <v>0443</v>
      </c>
      <c r="D203" s="24" t="str">
        <f>'дод 4'!C148</f>
        <v>Будівництво інших об'єктів комунальної власності</v>
      </c>
      <c r="E203" s="66">
        <f t="shared" si="90"/>
        <v>0</v>
      </c>
      <c r="F203" s="66"/>
      <c r="G203" s="66"/>
      <c r="H203" s="66"/>
      <c r="I203" s="66"/>
      <c r="J203" s="66">
        <f t="shared" si="92"/>
        <v>7780966.7699999996</v>
      </c>
      <c r="K203" s="66">
        <f>13180966.77-1145000+130000-3500000-1180000+295000</f>
        <v>7780966.7699999996</v>
      </c>
      <c r="L203" s="66"/>
      <c r="M203" s="66"/>
      <c r="N203" s="66"/>
      <c r="O203" s="66">
        <f>13180966.77-1145000+130000-3500000-1180000+295000</f>
        <v>7780966.7699999996</v>
      </c>
      <c r="P203" s="66">
        <f t="shared" si="91"/>
        <v>7780966.7699999996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23" customFormat="1" ht="21.75" customHeight="1" x14ac:dyDescent="0.25">
      <c r="A204" s="43" t="s">
        <v>218</v>
      </c>
      <c r="B204" s="44">
        <v>7340</v>
      </c>
      <c r="C204" s="44" t="str">
        <f>'дод 4'!B147</f>
        <v>0443</v>
      </c>
      <c r="D204" s="24" t="str">
        <f>'дод 4'!C149</f>
        <v>Проектування, реставрація та охорона пам'яток архітектури</v>
      </c>
      <c r="E204" s="66">
        <f t="shared" ref="E204" si="93">F204+I204</f>
        <v>0</v>
      </c>
      <c r="F204" s="66"/>
      <c r="G204" s="66"/>
      <c r="H204" s="66"/>
      <c r="I204" s="66"/>
      <c r="J204" s="66">
        <f t="shared" ref="J204" si="94">L204+O204</f>
        <v>3000000</v>
      </c>
      <c r="K204" s="66">
        <v>3000000</v>
      </c>
      <c r="L204" s="66"/>
      <c r="M204" s="66"/>
      <c r="N204" s="66"/>
      <c r="O204" s="66">
        <v>3000000</v>
      </c>
      <c r="P204" s="66">
        <f t="shared" ref="P204" si="95">E204+J204</f>
        <v>3000000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  <c r="LB204" s="26"/>
      <c r="LC204" s="26"/>
      <c r="LD204" s="26"/>
      <c r="LE204" s="26"/>
      <c r="LF204" s="26"/>
      <c r="LG204" s="26"/>
      <c r="LH204" s="26"/>
      <c r="LI204" s="26"/>
      <c r="LJ204" s="26"/>
      <c r="LK204" s="26"/>
      <c r="LL204" s="26"/>
      <c r="LM204" s="26"/>
      <c r="LN204" s="26"/>
      <c r="LO204" s="26"/>
      <c r="LP204" s="26"/>
      <c r="LQ204" s="26"/>
      <c r="LR204" s="26"/>
      <c r="LS204" s="26"/>
      <c r="LT204" s="26"/>
      <c r="LU204" s="26"/>
      <c r="LV204" s="26"/>
      <c r="LW204" s="26"/>
      <c r="LX204" s="26"/>
      <c r="LY204" s="26"/>
      <c r="LZ204" s="26"/>
      <c r="MA204" s="26"/>
      <c r="MB204" s="26"/>
      <c r="MC204" s="26"/>
      <c r="MD204" s="26"/>
      <c r="ME204" s="26"/>
      <c r="MF204" s="26"/>
      <c r="MG204" s="26"/>
      <c r="MH204" s="26"/>
      <c r="MI204" s="26"/>
      <c r="MJ204" s="26"/>
      <c r="MK204" s="26"/>
      <c r="ML204" s="26"/>
      <c r="MM204" s="26"/>
      <c r="MN204" s="26"/>
      <c r="MO204" s="26"/>
      <c r="MP204" s="26"/>
      <c r="MQ204" s="26"/>
      <c r="MR204" s="26"/>
      <c r="MS204" s="26"/>
      <c r="MT204" s="26"/>
      <c r="MU204" s="26"/>
      <c r="MV204" s="26"/>
      <c r="MW204" s="26"/>
      <c r="MX204" s="26"/>
      <c r="MY204" s="26"/>
      <c r="MZ204" s="26"/>
      <c r="NA204" s="26"/>
      <c r="NB204" s="26"/>
      <c r="NC204" s="26"/>
      <c r="ND204" s="26"/>
      <c r="NE204" s="26"/>
      <c r="NF204" s="26"/>
      <c r="NG204" s="26"/>
      <c r="NH204" s="26"/>
      <c r="NI204" s="26"/>
      <c r="NJ204" s="26"/>
      <c r="NK204" s="26"/>
      <c r="NL204" s="26"/>
      <c r="NM204" s="26"/>
      <c r="NN204" s="26"/>
      <c r="NO204" s="26"/>
      <c r="NP204" s="26"/>
      <c r="NQ204" s="26"/>
      <c r="NR204" s="26"/>
      <c r="NS204" s="26"/>
      <c r="NT204" s="26"/>
      <c r="NU204" s="26"/>
      <c r="NV204" s="26"/>
      <c r="NW204" s="26"/>
      <c r="NX204" s="26"/>
      <c r="NY204" s="26"/>
      <c r="NZ204" s="26"/>
      <c r="OA204" s="26"/>
      <c r="OB204" s="26"/>
      <c r="OC204" s="26"/>
      <c r="OD204" s="26"/>
      <c r="OE204" s="26"/>
      <c r="OF204" s="26"/>
      <c r="OG204" s="26"/>
      <c r="OH204" s="26"/>
      <c r="OI204" s="26"/>
      <c r="OJ204" s="26"/>
      <c r="OK204" s="26"/>
      <c r="OL204" s="26"/>
      <c r="OM204" s="26"/>
      <c r="ON204" s="26"/>
      <c r="OO204" s="26"/>
      <c r="OP204" s="26"/>
      <c r="OQ204" s="26"/>
      <c r="OR204" s="26"/>
      <c r="OS204" s="26"/>
      <c r="OT204" s="26"/>
      <c r="OU204" s="26"/>
      <c r="OV204" s="26"/>
      <c r="OW204" s="26"/>
      <c r="OX204" s="26"/>
      <c r="OY204" s="26"/>
      <c r="OZ204" s="26"/>
      <c r="PA204" s="26"/>
      <c r="PB204" s="26"/>
      <c r="PC204" s="26"/>
      <c r="PD204" s="26"/>
      <c r="PE204" s="26"/>
      <c r="PF204" s="26"/>
      <c r="PG204" s="26"/>
      <c r="PH204" s="26"/>
      <c r="PI204" s="26"/>
      <c r="PJ204" s="26"/>
      <c r="PK204" s="26"/>
      <c r="PL204" s="26"/>
      <c r="PM204" s="26"/>
      <c r="PN204" s="26"/>
      <c r="PO204" s="26"/>
      <c r="PP204" s="26"/>
      <c r="PQ204" s="26"/>
      <c r="PR204" s="26"/>
      <c r="PS204" s="26"/>
      <c r="PT204" s="26"/>
      <c r="PU204" s="26"/>
      <c r="PV204" s="26"/>
      <c r="PW204" s="26"/>
      <c r="PX204" s="26"/>
      <c r="PY204" s="26"/>
      <c r="PZ204" s="26"/>
      <c r="QA204" s="26"/>
      <c r="QB204" s="26"/>
      <c r="QC204" s="26"/>
      <c r="QD204" s="26"/>
      <c r="QE204" s="26"/>
      <c r="QF204" s="26"/>
      <c r="QG204" s="26"/>
      <c r="QH204" s="26"/>
      <c r="QI204" s="26"/>
      <c r="QJ204" s="26"/>
      <c r="QK204" s="26"/>
      <c r="QL204" s="26"/>
      <c r="QM204" s="26"/>
      <c r="QN204" s="26"/>
      <c r="QO204" s="26"/>
      <c r="QP204" s="26"/>
      <c r="QQ204" s="26"/>
      <c r="QR204" s="26"/>
      <c r="QS204" s="26"/>
      <c r="QT204" s="26"/>
      <c r="QU204" s="26"/>
      <c r="QV204" s="26"/>
      <c r="QW204" s="26"/>
      <c r="QX204" s="26"/>
      <c r="QY204" s="26"/>
      <c r="QZ204" s="26"/>
      <c r="RA204" s="26"/>
      <c r="RB204" s="26"/>
      <c r="RC204" s="26"/>
      <c r="RD204" s="26"/>
      <c r="RE204" s="26"/>
      <c r="RF204" s="26"/>
      <c r="RG204" s="26"/>
      <c r="RH204" s="26"/>
      <c r="RI204" s="26"/>
      <c r="RJ204" s="26"/>
      <c r="RK204" s="26"/>
      <c r="RL204" s="26"/>
      <c r="RM204" s="26"/>
      <c r="RN204" s="26"/>
      <c r="RO204" s="26"/>
      <c r="RP204" s="26"/>
      <c r="RQ204" s="26"/>
      <c r="RR204" s="26"/>
      <c r="RS204" s="26"/>
      <c r="RT204" s="26"/>
      <c r="RU204" s="26"/>
      <c r="RV204" s="26"/>
      <c r="RW204" s="26"/>
      <c r="RX204" s="26"/>
      <c r="RY204" s="26"/>
      <c r="RZ204" s="26"/>
      <c r="SA204" s="26"/>
      <c r="SB204" s="26"/>
      <c r="SC204" s="26"/>
      <c r="SD204" s="26"/>
      <c r="SE204" s="26"/>
      <c r="SF204" s="26"/>
      <c r="SG204" s="26"/>
      <c r="SH204" s="26"/>
      <c r="SI204" s="26"/>
      <c r="SJ204" s="26"/>
      <c r="SK204" s="26"/>
      <c r="SL204" s="26"/>
      <c r="SM204" s="26"/>
      <c r="SN204" s="26"/>
      <c r="SO204" s="26"/>
      <c r="SP204" s="26"/>
      <c r="SQ204" s="26"/>
      <c r="SR204" s="26"/>
      <c r="SS204" s="26"/>
      <c r="ST204" s="26"/>
      <c r="SU204" s="26"/>
      <c r="SV204" s="26"/>
      <c r="SW204" s="26"/>
      <c r="SX204" s="26"/>
      <c r="SY204" s="26"/>
      <c r="SZ204" s="26"/>
      <c r="TA204" s="26"/>
      <c r="TB204" s="26"/>
      <c r="TC204" s="26"/>
      <c r="TD204" s="26"/>
      <c r="TE204" s="26"/>
      <c r="TF204" s="26"/>
      <c r="TG204" s="26"/>
      <c r="TH204" s="26"/>
      <c r="TI204" s="26"/>
    </row>
    <row r="205" spans="1:529" s="23" customFormat="1" ht="49.5" customHeight="1" x14ac:dyDescent="0.25">
      <c r="A205" s="43" t="s">
        <v>416</v>
      </c>
      <c r="B205" s="44">
        <f>'дод 4'!A150</f>
        <v>7361</v>
      </c>
      <c r="C205" s="44" t="str">
        <f>'дод 4'!B150</f>
        <v>0490</v>
      </c>
      <c r="D205" s="24" t="str">
        <f>'дод 4'!C150</f>
        <v>Співфінансування інвестиційних проектів, що реалізуються за рахунок коштів державного фонду регіонального розвитку</v>
      </c>
      <c r="E205" s="66">
        <f t="shared" si="90"/>
        <v>0</v>
      </c>
      <c r="F205" s="66"/>
      <c r="G205" s="66"/>
      <c r="H205" s="66"/>
      <c r="I205" s="66"/>
      <c r="J205" s="66">
        <f t="shared" si="92"/>
        <v>1078413</v>
      </c>
      <c r="K205" s="66">
        <f>1386113-307700</f>
        <v>1078413</v>
      </c>
      <c r="L205" s="66"/>
      <c r="M205" s="66"/>
      <c r="N205" s="66"/>
      <c r="O205" s="66">
        <f>1386113-307700</f>
        <v>1078413</v>
      </c>
      <c r="P205" s="66">
        <f t="shared" si="91"/>
        <v>1078413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</row>
    <row r="206" spans="1:529" s="23" customFormat="1" ht="30" x14ac:dyDescent="0.25">
      <c r="A206" s="43">
        <v>1217362</v>
      </c>
      <c r="B206" s="44">
        <f>'дод 4'!A151</f>
        <v>7362</v>
      </c>
      <c r="C206" s="44" t="str">
        <f>'дод 4'!B151</f>
        <v>0490</v>
      </c>
      <c r="D206" s="24" t="str">
        <f>'дод 4'!C151</f>
        <v>Виконання інвестиційних проектів в рамках підтримки розвитку об'єднаних територіальних громад</v>
      </c>
      <c r="E206" s="66">
        <f t="shared" si="90"/>
        <v>0</v>
      </c>
      <c r="F206" s="66"/>
      <c r="G206" s="66"/>
      <c r="H206" s="66"/>
      <c r="I206" s="66"/>
      <c r="J206" s="66">
        <f t="shared" si="92"/>
        <v>75600</v>
      </c>
      <c r="K206" s="66">
        <v>75600</v>
      </c>
      <c r="L206" s="66"/>
      <c r="M206" s="66"/>
      <c r="N206" s="66"/>
      <c r="O206" s="66">
        <v>75600</v>
      </c>
      <c r="P206" s="66">
        <f t="shared" si="91"/>
        <v>75600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  <c r="JK206" s="26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6"/>
      <c r="KK206" s="26"/>
      <c r="KL206" s="26"/>
      <c r="KM206" s="26"/>
      <c r="KN206" s="26"/>
      <c r="KO206" s="26"/>
      <c r="KP206" s="26"/>
      <c r="KQ206" s="26"/>
      <c r="KR206" s="26"/>
      <c r="KS206" s="26"/>
      <c r="KT206" s="26"/>
      <c r="KU206" s="26"/>
      <c r="KV206" s="26"/>
      <c r="KW206" s="26"/>
      <c r="KX206" s="26"/>
      <c r="KY206" s="26"/>
      <c r="KZ206" s="26"/>
      <c r="LA206" s="26"/>
      <c r="LB206" s="26"/>
      <c r="LC206" s="26"/>
      <c r="LD206" s="26"/>
      <c r="LE206" s="26"/>
      <c r="LF206" s="26"/>
      <c r="LG206" s="26"/>
      <c r="LH206" s="26"/>
      <c r="LI206" s="26"/>
      <c r="LJ206" s="26"/>
      <c r="LK206" s="26"/>
      <c r="LL206" s="26"/>
      <c r="LM206" s="26"/>
      <c r="LN206" s="26"/>
      <c r="LO206" s="26"/>
      <c r="LP206" s="26"/>
      <c r="LQ206" s="26"/>
      <c r="LR206" s="26"/>
      <c r="LS206" s="26"/>
      <c r="LT206" s="26"/>
      <c r="LU206" s="26"/>
      <c r="LV206" s="26"/>
      <c r="LW206" s="26"/>
      <c r="LX206" s="26"/>
      <c r="LY206" s="26"/>
      <c r="LZ206" s="26"/>
      <c r="MA206" s="26"/>
      <c r="MB206" s="26"/>
      <c r="MC206" s="26"/>
      <c r="MD206" s="26"/>
      <c r="ME206" s="26"/>
      <c r="MF206" s="26"/>
      <c r="MG206" s="26"/>
      <c r="MH206" s="26"/>
      <c r="MI206" s="26"/>
      <c r="MJ206" s="26"/>
      <c r="MK206" s="26"/>
      <c r="ML206" s="26"/>
      <c r="MM206" s="26"/>
      <c r="MN206" s="26"/>
      <c r="MO206" s="26"/>
      <c r="MP206" s="26"/>
      <c r="MQ206" s="26"/>
      <c r="MR206" s="26"/>
      <c r="MS206" s="26"/>
      <c r="MT206" s="26"/>
      <c r="MU206" s="26"/>
      <c r="MV206" s="26"/>
      <c r="MW206" s="26"/>
      <c r="MX206" s="26"/>
      <c r="MY206" s="26"/>
      <c r="MZ206" s="26"/>
      <c r="NA206" s="26"/>
      <c r="NB206" s="26"/>
      <c r="NC206" s="26"/>
      <c r="ND206" s="26"/>
      <c r="NE206" s="26"/>
      <c r="NF206" s="26"/>
      <c r="NG206" s="26"/>
      <c r="NH206" s="26"/>
      <c r="NI206" s="26"/>
      <c r="NJ206" s="26"/>
      <c r="NK206" s="26"/>
      <c r="NL206" s="26"/>
      <c r="NM206" s="26"/>
      <c r="NN206" s="26"/>
      <c r="NO206" s="26"/>
      <c r="NP206" s="26"/>
      <c r="NQ206" s="26"/>
      <c r="NR206" s="26"/>
      <c r="NS206" s="26"/>
      <c r="NT206" s="26"/>
      <c r="NU206" s="26"/>
      <c r="NV206" s="26"/>
      <c r="NW206" s="26"/>
      <c r="NX206" s="26"/>
      <c r="NY206" s="26"/>
      <c r="NZ206" s="26"/>
      <c r="OA206" s="26"/>
      <c r="OB206" s="26"/>
      <c r="OC206" s="26"/>
      <c r="OD206" s="26"/>
      <c r="OE206" s="26"/>
      <c r="OF206" s="26"/>
      <c r="OG206" s="26"/>
      <c r="OH206" s="26"/>
      <c r="OI206" s="26"/>
      <c r="OJ206" s="26"/>
      <c r="OK206" s="26"/>
      <c r="OL206" s="26"/>
      <c r="OM206" s="26"/>
      <c r="ON206" s="26"/>
      <c r="OO206" s="26"/>
      <c r="OP206" s="26"/>
      <c r="OQ206" s="26"/>
      <c r="OR206" s="26"/>
      <c r="OS206" s="26"/>
      <c r="OT206" s="26"/>
      <c r="OU206" s="26"/>
      <c r="OV206" s="26"/>
      <c r="OW206" s="26"/>
      <c r="OX206" s="26"/>
      <c r="OY206" s="26"/>
      <c r="OZ206" s="26"/>
      <c r="PA206" s="26"/>
      <c r="PB206" s="26"/>
      <c r="PC206" s="26"/>
      <c r="PD206" s="26"/>
      <c r="PE206" s="26"/>
      <c r="PF206" s="26"/>
      <c r="PG206" s="26"/>
      <c r="PH206" s="26"/>
      <c r="PI206" s="26"/>
      <c r="PJ206" s="26"/>
      <c r="PK206" s="26"/>
      <c r="PL206" s="26"/>
      <c r="PM206" s="26"/>
      <c r="PN206" s="26"/>
      <c r="PO206" s="26"/>
      <c r="PP206" s="26"/>
      <c r="PQ206" s="26"/>
      <c r="PR206" s="26"/>
      <c r="PS206" s="26"/>
      <c r="PT206" s="26"/>
      <c r="PU206" s="26"/>
      <c r="PV206" s="26"/>
      <c r="PW206" s="26"/>
      <c r="PX206" s="26"/>
      <c r="PY206" s="26"/>
      <c r="PZ206" s="26"/>
      <c r="QA206" s="26"/>
      <c r="QB206" s="26"/>
      <c r="QC206" s="26"/>
      <c r="QD206" s="26"/>
      <c r="QE206" s="26"/>
      <c r="QF206" s="26"/>
      <c r="QG206" s="26"/>
      <c r="QH206" s="26"/>
      <c r="QI206" s="26"/>
      <c r="QJ206" s="26"/>
      <c r="QK206" s="26"/>
      <c r="QL206" s="26"/>
      <c r="QM206" s="26"/>
      <c r="QN206" s="26"/>
      <c r="QO206" s="26"/>
      <c r="QP206" s="26"/>
      <c r="QQ206" s="26"/>
      <c r="QR206" s="26"/>
      <c r="QS206" s="26"/>
      <c r="QT206" s="26"/>
      <c r="QU206" s="26"/>
      <c r="QV206" s="26"/>
      <c r="QW206" s="26"/>
      <c r="QX206" s="26"/>
      <c r="QY206" s="26"/>
      <c r="QZ206" s="26"/>
      <c r="RA206" s="26"/>
      <c r="RB206" s="26"/>
      <c r="RC206" s="26"/>
      <c r="RD206" s="26"/>
      <c r="RE206" s="26"/>
      <c r="RF206" s="26"/>
      <c r="RG206" s="26"/>
      <c r="RH206" s="26"/>
      <c r="RI206" s="26"/>
      <c r="RJ206" s="26"/>
      <c r="RK206" s="26"/>
      <c r="RL206" s="26"/>
      <c r="RM206" s="26"/>
      <c r="RN206" s="26"/>
      <c r="RO206" s="26"/>
      <c r="RP206" s="26"/>
      <c r="RQ206" s="26"/>
      <c r="RR206" s="26"/>
      <c r="RS206" s="26"/>
      <c r="RT206" s="26"/>
      <c r="RU206" s="26"/>
      <c r="RV206" s="26"/>
      <c r="RW206" s="26"/>
      <c r="RX206" s="26"/>
      <c r="RY206" s="26"/>
      <c r="RZ206" s="26"/>
      <c r="SA206" s="26"/>
      <c r="SB206" s="26"/>
      <c r="SC206" s="26"/>
      <c r="SD206" s="26"/>
      <c r="SE206" s="26"/>
      <c r="SF206" s="26"/>
      <c r="SG206" s="26"/>
      <c r="SH206" s="26"/>
      <c r="SI206" s="26"/>
      <c r="SJ206" s="26"/>
      <c r="SK206" s="26"/>
      <c r="SL206" s="26"/>
      <c r="SM206" s="26"/>
      <c r="SN206" s="26"/>
      <c r="SO206" s="26"/>
      <c r="SP206" s="26"/>
      <c r="SQ206" s="26"/>
      <c r="SR206" s="26"/>
      <c r="SS206" s="26"/>
      <c r="ST206" s="26"/>
      <c r="SU206" s="26"/>
      <c r="SV206" s="26"/>
      <c r="SW206" s="26"/>
      <c r="SX206" s="26"/>
      <c r="SY206" s="26"/>
      <c r="SZ206" s="26"/>
      <c r="TA206" s="26"/>
      <c r="TB206" s="26"/>
      <c r="TC206" s="26"/>
      <c r="TD206" s="26"/>
      <c r="TE206" s="26"/>
      <c r="TF206" s="26"/>
      <c r="TG206" s="26"/>
      <c r="TH206" s="26"/>
      <c r="TI206" s="26"/>
    </row>
    <row r="207" spans="1:529" s="23" customFormat="1" ht="45" x14ac:dyDescent="0.25">
      <c r="A207" s="43" t="s">
        <v>412</v>
      </c>
      <c r="B207" s="44">
        <v>7363</v>
      </c>
      <c r="C207" s="99" t="s">
        <v>89</v>
      </c>
      <c r="D207" s="22" t="s">
        <v>461</v>
      </c>
      <c r="E207" s="66">
        <f t="shared" si="90"/>
        <v>0</v>
      </c>
      <c r="F207" s="66"/>
      <c r="G207" s="66"/>
      <c r="H207" s="66"/>
      <c r="I207" s="66"/>
      <c r="J207" s="66">
        <f t="shared" si="92"/>
        <v>956186.69000000006</v>
      </c>
      <c r="K207" s="66">
        <f>18766.31+937420.38</f>
        <v>956186.69000000006</v>
      </c>
      <c r="L207" s="66"/>
      <c r="M207" s="66"/>
      <c r="N207" s="66"/>
      <c r="O207" s="66">
        <f>18766.31+937420.38</f>
        <v>956186.69000000006</v>
      </c>
      <c r="P207" s="66">
        <f t="shared" si="91"/>
        <v>956186.69000000006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  <c r="JK207" s="26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6"/>
      <c r="KK207" s="26"/>
      <c r="KL207" s="26"/>
      <c r="KM207" s="26"/>
      <c r="KN207" s="26"/>
      <c r="KO207" s="26"/>
      <c r="KP207" s="26"/>
      <c r="KQ207" s="26"/>
      <c r="KR207" s="26"/>
      <c r="KS207" s="26"/>
      <c r="KT207" s="26"/>
      <c r="KU207" s="26"/>
      <c r="KV207" s="26"/>
      <c r="KW207" s="26"/>
      <c r="KX207" s="26"/>
      <c r="KY207" s="26"/>
      <c r="KZ207" s="26"/>
      <c r="LA207" s="26"/>
      <c r="LB207" s="26"/>
      <c r="LC207" s="26"/>
      <c r="LD207" s="26"/>
      <c r="LE207" s="26"/>
      <c r="LF207" s="26"/>
      <c r="LG207" s="26"/>
      <c r="LH207" s="26"/>
      <c r="LI207" s="26"/>
      <c r="LJ207" s="26"/>
      <c r="LK207" s="26"/>
      <c r="LL207" s="26"/>
      <c r="LM207" s="26"/>
      <c r="LN207" s="26"/>
      <c r="LO207" s="26"/>
      <c r="LP207" s="26"/>
      <c r="LQ207" s="26"/>
      <c r="LR207" s="26"/>
      <c r="LS207" s="26"/>
      <c r="LT207" s="26"/>
      <c r="LU207" s="26"/>
      <c r="LV207" s="26"/>
      <c r="LW207" s="26"/>
      <c r="LX207" s="26"/>
      <c r="LY207" s="26"/>
      <c r="LZ207" s="26"/>
      <c r="MA207" s="26"/>
      <c r="MB207" s="26"/>
      <c r="MC207" s="26"/>
      <c r="MD207" s="26"/>
      <c r="ME207" s="26"/>
      <c r="MF207" s="26"/>
      <c r="MG207" s="26"/>
      <c r="MH207" s="26"/>
      <c r="MI207" s="26"/>
      <c r="MJ207" s="26"/>
      <c r="MK207" s="26"/>
      <c r="ML207" s="26"/>
      <c r="MM207" s="26"/>
      <c r="MN207" s="26"/>
      <c r="MO207" s="26"/>
      <c r="MP207" s="26"/>
      <c r="MQ207" s="26"/>
      <c r="MR207" s="26"/>
      <c r="MS207" s="26"/>
      <c r="MT207" s="26"/>
      <c r="MU207" s="26"/>
      <c r="MV207" s="26"/>
      <c r="MW207" s="26"/>
      <c r="MX207" s="26"/>
      <c r="MY207" s="26"/>
      <c r="MZ207" s="26"/>
      <c r="NA207" s="26"/>
      <c r="NB207" s="26"/>
      <c r="NC207" s="26"/>
      <c r="ND207" s="26"/>
      <c r="NE207" s="26"/>
      <c r="NF207" s="26"/>
      <c r="NG207" s="26"/>
      <c r="NH207" s="26"/>
      <c r="NI207" s="26"/>
      <c r="NJ207" s="26"/>
      <c r="NK207" s="26"/>
      <c r="NL207" s="26"/>
      <c r="NM207" s="26"/>
      <c r="NN207" s="26"/>
      <c r="NO207" s="26"/>
      <c r="NP207" s="26"/>
      <c r="NQ207" s="26"/>
      <c r="NR207" s="26"/>
      <c r="NS207" s="26"/>
      <c r="NT207" s="26"/>
      <c r="NU207" s="26"/>
      <c r="NV207" s="26"/>
      <c r="NW207" s="26"/>
      <c r="NX207" s="26"/>
      <c r="NY207" s="26"/>
      <c r="NZ207" s="26"/>
      <c r="OA207" s="26"/>
      <c r="OB207" s="26"/>
      <c r="OC207" s="26"/>
      <c r="OD207" s="26"/>
      <c r="OE207" s="26"/>
      <c r="OF207" s="26"/>
      <c r="OG207" s="26"/>
      <c r="OH207" s="26"/>
      <c r="OI207" s="26"/>
      <c r="OJ207" s="26"/>
      <c r="OK207" s="26"/>
      <c r="OL207" s="26"/>
      <c r="OM207" s="26"/>
      <c r="ON207" s="26"/>
      <c r="OO207" s="26"/>
      <c r="OP207" s="26"/>
      <c r="OQ207" s="26"/>
      <c r="OR207" s="26"/>
      <c r="OS207" s="26"/>
      <c r="OT207" s="26"/>
      <c r="OU207" s="26"/>
      <c r="OV207" s="26"/>
      <c r="OW207" s="26"/>
      <c r="OX207" s="26"/>
      <c r="OY207" s="26"/>
      <c r="OZ207" s="26"/>
      <c r="PA207" s="26"/>
      <c r="PB207" s="26"/>
      <c r="PC207" s="26"/>
      <c r="PD207" s="26"/>
      <c r="PE207" s="26"/>
      <c r="PF207" s="26"/>
      <c r="PG207" s="26"/>
      <c r="PH207" s="26"/>
      <c r="PI207" s="26"/>
      <c r="PJ207" s="26"/>
      <c r="PK207" s="26"/>
      <c r="PL207" s="26"/>
      <c r="PM207" s="26"/>
      <c r="PN207" s="26"/>
      <c r="PO207" s="26"/>
      <c r="PP207" s="26"/>
      <c r="PQ207" s="26"/>
      <c r="PR207" s="26"/>
      <c r="PS207" s="26"/>
      <c r="PT207" s="26"/>
      <c r="PU207" s="26"/>
      <c r="PV207" s="26"/>
      <c r="PW207" s="26"/>
      <c r="PX207" s="26"/>
      <c r="PY207" s="26"/>
      <c r="PZ207" s="26"/>
      <c r="QA207" s="26"/>
      <c r="QB207" s="26"/>
      <c r="QC207" s="26"/>
      <c r="QD207" s="26"/>
      <c r="QE207" s="26"/>
      <c r="QF207" s="26"/>
      <c r="QG207" s="26"/>
      <c r="QH207" s="26"/>
      <c r="QI207" s="26"/>
      <c r="QJ207" s="26"/>
      <c r="QK207" s="26"/>
      <c r="QL207" s="26"/>
      <c r="QM207" s="26"/>
      <c r="QN207" s="26"/>
      <c r="QO207" s="26"/>
      <c r="QP207" s="26"/>
      <c r="QQ207" s="26"/>
      <c r="QR207" s="26"/>
      <c r="QS207" s="26"/>
      <c r="QT207" s="26"/>
      <c r="QU207" s="26"/>
      <c r="QV207" s="26"/>
      <c r="QW207" s="26"/>
      <c r="QX207" s="26"/>
      <c r="QY207" s="26"/>
      <c r="QZ207" s="26"/>
      <c r="RA207" s="26"/>
      <c r="RB207" s="26"/>
      <c r="RC207" s="26"/>
      <c r="RD207" s="26"/>
      <c r="RE207" s="26"/>
      <c r="RF207" s="26"/>
      <c r="RG207" s="26"/>
      <c r="RH207" s="26"/>
      <c r="RI207" s="26"/>
      <c r="RJ207" s="26"/>
      <c r="RK207" s="26"/>
      <c r="RL207" s="26"/>
      <c r="RM207" s="26"/>
      <c r="RN207" s="26"/>
      <c r="RO207" s="26"/>
      <c r="RP207" s="26"/>
      <c r="RQ207" s="26"/>
      <c r="RR207" s="26"/>
      <c r="RS207" s="26"/>
      <c r="RT207" s="26"/>
      <c r="RU207" s="26"/>
      <c r="RV207" s="26"/>
      <c r="RW207" s="26"/>
      <c r="RX207" s="26"/>
      <c r="RY207" s="26"/>
      <c r="RZ207" s="26"/>
      <c r="SA207" s="26"/>
      <c r="SB207" s="26"/>
      <c r="SC207" s="26"/>
      <c r="SD207" s="26"/>
      <c r="SE207" s="26"/>
      <c r="SF207" s="26"/>
      <c r="SG207" s="26"/>
      <c r="SH207" s="26"/>
      <c r="SI207" s="26"/>
      <c r="SJ207" s="26"/>
      <c r="SK207" s="26"/>
      <c r="SL207" s="26"/>
      <c r="SM207" s="26"/>
      <c r="SN207" s="26"/>
      <c r="SO207" s="26"/>
      <c r="SP207" s="26"/>
      <c r="SQ207" s="26"/>
      <c r="SR207" s="26"/>
      <c r="SS207" s="26"/>
      <c r="ST207" s="26"/>
      <c r="SU207" s="26"/>
      <c r="SV207" s="26"/>
      <c r="SW207" s="26"/>
      <c r="SX207" s="26"/>
      <c r="SY207" s="26"/>
      <c r="SZ207" s="26"/>
      <c r="TA207" s="26"/>
      <c r="TB207" s="26"/>
      <c r="TC207" s="26"/>
      <c r="TD207" s="26"/>
      <c r="TE207" s="26"/>
      <c r="TF207" s="26"/>
      <c r="TG207" s="26"/>
      <c r="TH207" s="26"/>
      <c r="TI207" s="26"/>
    </row>
    <row r="208" spans="1:529" s="27" customFormat="1" ht="45" x14ac:dyDescent="0.25">
      <c r="A208" s="140"/>
      <c r="B208" s="141"/>
      <c r="C208" s="141"/>
      <c r="D208" s="138" t="s">
        <v>450</v>
      </c>
      <c r="E208" s="139">
        <f t="shared" si="90"/>
        <v>0</v>
      </c>
      <c r="F208" s="139"/>
      <c r="G208" s="139"/>
      <c r="H208" s="139"/>
      <c r="I208" s="139"/>
      <c r="J208" s="139">
        <f t="shared" si="92"/>
        <v>937420.38</v>
      </c>
      <c r="K208" s="139">
        <v>937420.38</v>
      </c>
      <c r="L208" s="139"/>
      <c r="M208" s="139"/>
      <c r="N208" s="139"/>
      <c r="O208" s="139">
        <v>937420.38</v>
      </c>
      <c r="P208" s="139">
        <f t="shared" si="91"/>
        <v>937420.38</v>
      </c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36"/>
      <c r="IO208" s="36"/>
      <c r="IP208" s="36"/>
      <c r="IQ208" s="36"/>
      <c r="IR208" s="36"/>
      <c r="IS208" s="36"/>
      <c r="IT208" s="36"/>
      <c r="IU208" s="36"/>
      <c r="IV208" s="36"/>
      <c r="IW208" s="36"/>
      <c r="IX208" s="36"/>
      <c r="IY208" s="36"/>
      <c r="IZ208" s="36"/>
      <c r="JA208" s="36"/>
      <c r="JB208" s="36"/>
      <c r="JC208" s="36"/>
      <c r="JD208" s="36"/>
      <c r="JE208" s="36"/>
      <c r="JF208" s="36"/>
      <c r="JG208" s="36"/>
      <c r="JH208" s="36"/>
      <c r="JI208" s="36"/>
      <c r="JJ208" s="36"/>
      <c r="JK208" s="36"/>
      <c r="JL208" s="36"/>
      <c r="JM208" s="36"/>
      <c r="JN208" s="36"/>
      <c r="JO208" s="36"/>
      <c r="JP208" s="36"/>
      <c r="JQ208" s="36"/>
      <c r="JR208" s="36"/>
      <c r="JS208" s="36"/>
      <c r="JT208" s="36"/>
      <c r="JU208" s="36"/>
      <c r="JV208" s="36"/>
      <c r="JW208" s="36"/>
      <c r="JX208" s="36"/>
      <c r="JY208" s="36"/>
      <c r="JZ208" s="36"/>
      <c r="KA208" s="36"/>
      <c r="KB208" s="36"/>
      <c r="KC208" s="36"/>
      <c r="KD208" s="36"/>
      <c r="KE208" s="36"/>
      <c r="KF208" s="36"/>
      <c r="KG208" s="36"/>
      <c r="KH208" s="36"/>
      <c r="KI208" s="36"/>
      <c r="KJ208" s="36"/>
      <c r="KK208" s="36"/>
      <c r="KL208" s="36"/>
      <c r="KM208" s="36"/>
      <c r="KN208" s="36"/>
      <c r="KO208" s="36"/>
      <c r="KP208" s="36"/>
      <c r="KQ208" s="36"/>
      <c r="KR208" s="36"/>
      <c r="KS208" s="36"/>
      <c r="KT208" s="36"/>
      <c r="KU208" s="36"/>
      <c r="KV208" s="36"/>
      <c r="KW208" s="36"/>
      <c r="KX208" s="36"/>
      <c r="KY208" s="36"/>
      <c r="KZ208" s="36"/>
      <c r="LA208" s="36"/>
      <c r="LB208" s="36"/>
      <c r="LC208" s="36"/>
      <c r="LD208" s="36"/>
      <c r="LE208" s="36"/>
      <c r="LF208" s="36"/>
      <c r="LG208" s="36"/>
      <c r="LH208" s="36"/>
      <c r="LI208" s="36"/>
      <c r="LJ208" s="36"/>
      <c r="LK208" s="36"/>
      <c r="LL208" s="36"/>
      <c r="LM208" s="36"/>
      <c r="LN208" s="36"/>
      <c r="LO208" s="36"/>
      <c r="LP208" s="36"/>
      <c r="LQ208" s="36"/>
      <c r="LR208" s="36"/>
      <c r="LS208" s="36"/>
      <c r="LT208" s="36"/>
      <c r="LU208" s="36"/>
      <c r="LV208" s="36"/>
      <c r="LW208" s="36"/>
      <c r="LX208" s="36"/>
      <c r="LY208" s="36"/>
      <c r="LZ208" s="36"/>
      <c r="MA208" s="36"/>
      <c r="MB208" s="36"/>
      <c r="MC208" s="36"/>
      <c r="MD208" s="36"/>
      <c r="ME208" s="36"/>
      <c r="MF208" s="36"/>
      <c r="MG208" s="36"/>
      <c r="MH208" s="36"/>
      <c r="MI208" s="36"/>
      <c r="MJ208" s="36"/>
      <c r="MK208" s="36"/>
      <c r="ML208" s="36"/>
      <c r="MM208" s="36"/>
      <c r="MN208" s="36"/>
      <c r="MO208" s="36"/>
      <c r="MP208" s="36"/>
      <c r="MQ208" s="36"/>
      <c r="MR208" s="36"/>
      <c r="MS208" s="36"/>
      <c r="MT208" s="36"/>
      <c r="MU208" s="36"/>
      <c r="MV208" s="36"/>
      <c r="MW208" s="36"/>
      <c r="MX208" s="36"/>
      <c r="MY208" s="36"/>
      <c r="MZ208" s="36"/>
      <c r="NA208" s="36"/>
      <c r="NB208" s="36"/>
      <c r="NC208" s="36"/>
      <c r="ND208" s="36"/>
      <c r="NE208" s="36"/>
      <c r="NF208" s="36"/>
      <c r="NG208" s="36"/>
      <c r="NH208" s="36"/>
      <c r="NI208" s="36"/>
      <c r="NJ208" s="36"/>
      <c r="NK208" s="36"/>
      <c r="NL208" s="36"/>
      <c r="NM208" s="36"/>
      <c r="NN208" s="36"/>
      <c r="NO208" s="36"/>
      <c r="NP208" s="36"/>
      <c r="NQ208" s="36"/>
      <c r="NR208" s="36"/>
      <c r="NS208" s="36"/>
      <c r="NT208" s="36"/>
      <c r="NU208" s="36"/>
      <c r="NV208" s="36"/>
      <c r="NW208" s="36"/>
      <c r="NX208" s="36"/>
      <c r="NY208" s="36"/>
      <c r="NZ208" s="36"/>
      <c r="OA208" s="36"/>
      <c r="OB208" s="36"/>
      <c r="OC208" s="36"/>
      <c r="OD208" s="36"/>
      <c r="OE208" s="36"/>
      <c r="OF208" s="36"/>
      <c r="OG208" s="36"/>
      <c r="OH208" s="36"/>
      <c r="OI208" s="36"/>
      <c r="OJ208" s="36"/>
      <c r="OK208" s="36"/>
      <c r="OL208" s="36"/>
      <c r="OM208" s="36"/>
      <c r="ON208" s="36"/>
      <c r="OO208" s="36"/>
      <c r="OP208" s="36"/>
      <c r="OQ208" s="36"/>
      <c r="OR208" s="36"/>
      <c r="OS208" s="36"/>
      <c r="OT208" s="36"/>
      <c r="OU208" s="36"/>
      <c r="OV208" s="36"/>
      <c r="OW208" s="36"/>
      <c r="OX208" s="36"/>
      <c r="OY208" s="36"/>
      <c r="OZ208" s="36"/>
      <c r="PA208" s="36"/>
      <c r="PB208" s="36"/>
      <c r="PC208" s="36"/>
      <c r="PD208" s="36"/>
      <c r="PE208" s="36"/>
      <c r="PF208" s="36"/>
      <c r="PG208" s="36"/>
      <c r="PH208" s="36"/>
      <c r="PI208" s="36"/>
      <c r="PJ208" s="36"/>
      <c r="PK208" s="36"/>
      <c r="PL208" s="36"/>
      <c r="PM208" s="36"/>
      <c r="PN208" s="36"/>
      <c r="PO208" s="36"/>
      <c r="PP208" s="36"/>
      <c r="PQ208" s="36"/>
      <c r="PR208" s="36"/>
      <c r="PS208" s="36"/>
      <c r="PT208" s="36"/>
      <c r="PU208" s="36"/>
      <c r="PV208" s="36"/>
      <c r="PW208" s="36"/>
      <c r="PX208" s="36"/>
      <c r="PY208" s="36"/>
      <c r="PZ208" s="36"/>
      <c r="QA208" s="36"/>
      <c r="QB208" s="36"/>
      <c r="QC208" s="36"/>
      <c r="QD208" s="36"/>
      <c r="QE208" s="36"/>
      <c r="QF208" s="36"/>
      <c r="QG208" s="36"/>
      <c r="QH208" s="36"/>
      <c r="QI208" s="36"/>
      <c r="QJ208" s="36"/>
      <c r="QK208" s="36"/>
      <c r="QL208" s="36"/>
      <c r="QM208" s="36"/>
      <c r="QN208" s="36"/>
      <c r="QO208" s="36"/>
      <c r="QP208" s="36"/>
      <c r="QQ208" s="36"/>
      <c r="QR208" s="36"/>
      <c r="QS208" s="36"/>
      <c r="QT208" s="36"/>
      <c r="QU208" s="36"/>
      <c r="QV208" s="36"/>
      <c r="QW208" s="36"/>
      <c r="QX208" s="36"/>
      <c r="QY208" s="36"/>
      <c r="QZ208" s="36"/>
      <c r="RA208" s="36"/>
      <c r="RB208" s="36"/>
      <c r="RC208" s="36"/>
      <c r="RD208" s="36"/>
      <c r="RE208" s="36"/>
      <c r="RF208" s="36"/>
      <c r="RG208" s="36"/>
      <c r="RH208" s="36"/>
      <c r="RI208" s="36"/>
      <c r="RJ208" s="36"/>
      <c r="RK208" s="36"/>
      <c r="RL208" s="36"/>
      <c r="RM208" s="36"/>
      <c r="RN208" s="36"/>
      <c r="RO208" s="36"/>
      <c r="RP208" s="36"/>
      <c r="RQ208" s="36"/>
      <c r="RR208" s="36"/>
      <c r="RS208" s="36"/>
      <c r="RT208" s="36"/>
      <c r="RU208" s="36"/>
      <c r="RV208" s="36"/>
      <c r="RW208" s="36"/>
      <c r="RX208" s="36"/>
      <c r="RY208" s="36"/>
      <c r="RZ208" s="36"/>
      <c r="SA208" s="36"/>
      <c r="SB208" s="36"/>
      <c r="SC208" s="36"/>
      <c r="SD208" s="36"/>
      <c r="SE208" s="36"/>
      <c r="SF208" s="36"/>
      <c r="SG208" s="36"/>
      <c r="SH208" s="36"/>
      <c r="SI208" s="36"/>
      <c r="SJ208" s="36"/>
      <c r="SK208" s="36"/>
      <c r="SL208" s="36"/>
      <c r="SM208" s="36"/>
      <c r="SN208" s="36"/>
      <c r="SO208" s="36"/>
      <c r="SP208" s="36"/>
      <c r="SQ208" s="36"/>
      <c r="SR208" s="36"/>
      <c r="SS208" s="36"/>
      <c r="ST208" s="36"/>
      <c r="SU208" s="36"/>
      <c r="SV208" s="36"/>
      <c r="SW208" s="36"/>
      <c r="SX208" s="36"/>
      <c r="SY208" s="36"/>
      <c r="SZ208" s="36"/>
      <c r="TA208" s="36"/>
      <c r="TB208" s="36"/>
      <c r="TC208" s="36"/>
      <c r="TD208" s="36"/>
      <c r="TE208" s="36"/>
      <c r="TF208" s="36"/>
      <c r="TG208" s="36"/>
      <c r="TH208" s="36"/>
      <c r="TI208" s="36"/>
    </row>
    <row r="209" spans="1:529" s="23" customFormat="1" ht="47.25" customHeight="1" x14ac:dyDescent="0.25">
      <c r="A209" s="43" t="s">
        <v>421</v>
      </c>
      <c r="B209" s="44">
        <f>'дод 4'!A160</f>
        <v>7462</v>
      </c>
      <c r="C209" s="43" t="s">
        <v>463</v>
      </c>
      <c r="D209" s="74" t="str">
        <f>'дод 4'!C160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09" s="66">
        <f t="shared" ref="E209:E211" si="96">F209+I209</f>
        <v>0</v>
      </c>
      <c r="F209" s="66"/>
      <c r="G209" s="66"/>
      <c r="H209" s="66"/>
      <c r="I209" s="66"/>
      <c r="J209" s="66">
        <f t="shared" ref="J209:J211" si="97">L209+O209</f>
        <v>80000000</v>
      </c>
      <c r="K209" s="66"/>
      <c r="L209" s="66">
        <v>80000000</v>
      </c>
      <c r="M209" s="66"/>
      <c r="N209" s="66"/>
      <c r="O209" s="66"/>
      <c r="P209" s="66">
        <f t="shared" ref="P209:P211" si="98">E209+J209</f>
        <v>80000000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  <c r="LB209" s="26"/>
      <c r="LC209" s="26"/>
      <c r="LD209" s="26"/>
      <c r="LE209" s="26"/>
      <c r="LF209" s="26"/>
      <c r="LG209" s="26"/>
      <c r="LH209" s="26"/>
      <c r="LI209" s="26"/>
      <c r="LJ209" s="26"/>
      <c r="LK209" s="26"/>
      <c r="LL209" s="26"/>
      <c r="LM209" s="26"/>
      <c r="LN209" s="26"/>
      <c r="LO209" s="26"/>
      <c r="LP209" s="26"/>
      <c r="LQ209" s="26"/>
      <c r="LR209" s="26"/>
      <c r="LS209" s="26"/>
      <c r="LT209" s="26"/>
      <c r="LU209" s="26"/>
      <c r="LV209" s="26"/>
      <c r="LW209" s="26"/>
      <c r="LX209" s="26"/>
      <c r="LY209" s="26"/>
      <c r="LZ209" s="26"/>
      <c r="MA209" s="26"/>
      <c r="MB209" s="26"/>
      <c r="MC209" s="26"/>
      <c r="MD209" s="26"/>
      <c r="ME209" s="26"/>
      <c r="MF209" s="26"/>
      <c r="MG209" s="26"/>
      <c r="MH209" s="26"/>
      <c r="MI209" s="26"/>
      <c r="MJ209" s="26"/>
      <c r="MK209" s="26"/>
      <c r="ML209" s="26"/>
      <c r="MM209" s="26"/>
      <c r="MN209" s="26"/>
      <c r="MO209" s="26"/>
      <c r="MP209" s="26"/>
      <c r="MQ209" s="26"/>
      <c r="MR209" s="26"/>
      <c r="MS209" s="26"/>
      <c r="MT209" s="26"/>
      <c r="MU209" s="26"/>
      <c r="MV209" s="26"/>
      <c r="MW209" s="26"/>
      <c r="MX209" s="26"/>
      <c r="MY209" s="26"/>
      <c r="MZ209" s="26"/>
      <c r="NA209" s="26"/>
      <c r="NB209" s="26"/>
      <c r="NC209" s="26"/>
      <c r="ND209" s="26"/>
      <c r="NE209" s="26"/>
      <c r="NF209" s="26"/>
      <c r="NG209" s="26"/>
      <c r="NH209" s="26"/>
      <c r="NI209" s="26"/>
      <c r="NJ209" s="26"/>
      <c r="NK209" s="26"/>
      <c r="NL209" s="26"/>
      <c r="NM209" s="26"/>
      <c r="NN209" s="26"/>
      <c r="NO209" s="26"/>
      <c r="NP209" s="26"/>
      <c r="NQ209" s="26"/>
      <c r="NR209" s="26"/>
      <c r="NS209" s="26"/>
      <c r="NT209" s="26"/>
      <c r="NU209" s="26"/>
      <c r="NV209" s="26"/>
      <c r="NW209" s="26"/>
      <c r="NX209" s="26"/>
      <c r="NY209" s="26"/>
      <c r="NZ209" s="26"/>
      <c r="OA209" s="26"/>
      <c r="OB209" s="26"/>
      <c r="OC209" s="26"/>
      <c r="OD209" s="26"/>
      <c r="OE209" s="26"/>
      <c r="OF209" s="26"/>
      <c r="OG209" s="26"/>
      <c r="OH209" s="26"/>
      <c r="OI209" s="26"/>
      <c r="OJ209" s="26"/>
      <c r="OK209" s="26"/>
      <c r="OL209" s="26"/>
      <c r="OM209" s="26"/>
      <c r="ON209" s="26"/>
      <c r="OO209" s="26"/>
      <c r="OP209" s="26"/>
      <c r="OQ209" s="26"/>
      <c r="OR209" s="26"/>
      <c r="OS209" s="26"/>
      <c r="OT209" s="26"/>
      <c r="OU209" s="26"/>
      <c r="OV209" s="26"/>
      <c r="OW209" s="26"/>
      <c r="OX209" s="26"/>
      <c r="OY209" s="26"/>
      <c r="OZ209" s="26"/>
      <c r="PA209" s="26"/>
      <c r="PB209" s="26"/>
      <c r="PC209" s="26"/>
      <c r="PD209" s="26"/>
      <c r="PE209" s="26"/>
      <c r="PF209" s="26"/>
      <c r="PG209" s="26"/>
      <c r="PH209" s="26"/>
      <c r="PI209" s="26"/>
      <c r="PJ209" s="26"/>
      <c r="PK209" s="26"/>
      <c r="PL209" s="26"/>
      <c r="PM209" s="26"/>
      <c r="PN209" s="26"/>
      <c r="PO209" s="26"/>
      <c r="PP209" s="26"/>
      <c r="PQ209" s="26"/>
      <c r="PR209" s="26"/>
      <c r="PS209" s="26"/>
      <c r="PT209" s="26"/>
      <c r="PU209" s="26"/>
      <c r="PV209" s="26"/>
      <c r="PW209" s="26"/>
      <c r="PX209" s="26"/>
      <c r="PY209" s="26"/>
      <c r="PZ209" s="26"/>
      <c r="QA209" s="26"/>
      <c r="QB209" s="26"/>
      <c r="QC209" s="26"/>
      <c r="QD209" s="26"/>
      <c r="QE209" s="26"/>
      <c r="QF209" s="26"/>
      <c r="QG209" s="26"/>
      <c r="QH209" s="26"/>
      <c r="QI209" s="26"/>
      <c r="QJ209" s="26"/>
      <c r="QK209" s="26"/>
      <c r="QL209" s="26"/>
      <c r="QM209" s="26"/>
      <c r="QN209" s="26"/>
      <c r="QO209" s="26"/>
      <c r="QP209" s="26"/>
      <c r="QQ209" s="26"/>
      <c r="QR209" s="26"/>
      <c r="QS209" s="26"/>
      <c r="QT209" s="26"/>
      <c r="QU209" s="26"/>
      <c r="QV209" s="26"/>
      <c r="QW209" s="26"/>
      <c r="QX209" s="26"/>
      <c r="QY209" s="26"/>
      <c r="QZ209" s="26"/>
      <c r="RA209" s="26"/>
      <c r="RB209" s="26"/>
      <c r="RC209" s="26"/>
      <c r="RD209" s="26"/>
      <c r="RE209" s="26"/>
      <c r="RF209" s="26"/>
      <c r="RG209" s="26"/>
      <c r="RH209" s="26"/>
      <c r="RI209" s="26"/>
      <c r="RJ209" s="26"/>
      <c r="RK209" s="26"/>
      <c r="RL209" s="26"/>
      <c r="RM209" s="26"/>
      <c r="RN209" s="26"/>
      <c r="RO209" s="26"/>
      <c r="RP209" s="26"/>
      <c r="RQ209" s="26"/>
      <c r="RR209" s="26"/>
      <c r="RS209" s="26"/>
      <c r="RT209" s="26"/>
      <c r="RU209" s="26"/>
      <c r="RV209" s="26"/>
      <c r="RW209" s="26"/>
      <c r="RX209" s="26"/>
      <c r="RY209" s="26"/>
      <c r="RZ209" s="26"/>
      <c r="SA209" s="26"/>
      <c r="SB209" s="26"/>
      <c r="SC209" s="26"/>
      <c r="SD209" s="26"/>
      <c r="SE209" s="26"/>
      <c r="SF209" s="26"/>
      <c r="SG209" s="26"/>
      <c r="SH209" s="26"/>
      <c r="SI209" s="26"/>
      <c r="SJ209" s="26"/>
      <c r="SK209" s="26"/>
      <c r="SL209" s="26"/>
      <c r="SM209" s="26"/>
      <c r="SN209" s="26"/>
      <c r="SO209" s="26"/>
      <c r="SP209" s="26"/>
      <c r="SQ209" s="26"/>
      <c r="SR209" s="26"/>
      <c r="SS209" s="26"/>
      <c r="ST209" s="26"/>
      <c r="SU209" s="26"/>
      <c r="SV209" s="26"/>
      <c r="SW209" s="26"/>
      <c r="SX209" s="26"/>
      <c r="SY209" s="26"/>
      <c r="SZ209" s="26"/>
      <c r="TA209" s="26"/>
      <c r="TB209" s="26"/>
      <c r="TC209" s="26"/>
      <c r="TD209" s="26"/>
      <c r="TE209" s="26"/>
      <c r="TF209" s="26"/>
      <c r="TG209" s="26"/>
      <c r="TH209" s="26"/>
      <c r="TI209" s="26"/>
    </row>
    <row r="210" spans="1:529" s="27" customFormat="1" ht="95.25" customHeight="1" x14ac:dyDescent="0.25">
      <c r="A210" s="140"/>
      <c r="B210" s="141"/>
      <c r="C210" s="141"/>
      <c r="D210" s="138" t="s">
        <v>459</v>
      </c>
      <c r="E210" s="139">
        <f t="shared" si="96"/>
        <v>0</v>
      </c>
      <c r="F210" s="139"/>
      <c r="G210" s="139"/>
      <c r="H210" s="139"/>
      <c r="I210" s="139"/>
      <c r="J210" s="139">
        <f t="shared" si="97"/>
        <v>80000000</v>
      </c>
      <c r="K210" s="139"/>
      <c r="L210" s="139">
        <v>80000000</v>
      </c>
      <c r="M210" s="139"/>
      <c r="N210" s="139"/>
      <c r="O210" s="139"/>
      <c r="P210" s="139">
        <f t="shared" si="98"/>
        <v>80000000</v>
      </c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36"/>
      <c r="IR210" s="36"/>
      <c r="IS210" s="36"/>
      <c r="IT210" s="36"/>
      <c r="IU210" s="36"/>
      <c r="IV210" s="36"/>
      <c r="IW210" s="36"/>
      <c r="IX210" s="36"/>
      <c r="IY210" s="36"/>
      <c r="IZ210" s="36"/>
      <c r="JA210" s="36"/>
      <c r="JB210" s="36"/>
      <c r="JC210" s="36"/>
      <c r="JD210" s="36"/>
      <c r="JE210" s="36"/>
      <c r="JF210" s="36"/>
      <c r="JG210" s="36"/>
      <c r="JH210" s="36"/>
      <c r="JI210" s="36"/>
      <c r="JJ210" s="36"/>
      <c r="JK210" s="36"/>
      <c r="JL210" s="36"/>
      <c r="JM210" s="36"/>
      <c r="JN210" s="36"/>
      <c r="JO210" s="36"/>
      <c r="JP210" s="36"/>
      <c r="JQ210" s="36"/>
      <c r="JR210" s="36"/>
      <c r="JS210" s="36"/>
      <c r="JT210" s="36"/>
      <c r="JU210" s="36"/>
      <c r="JV210" s="36"/>
      <c r="JW210" s="36"/>
      <c r="JX210" s="36"/>
      <c r="JY210" s="36"/>
      <c r="JZ210" s="36"/>
      <c r="KA210" s="36"/>
      <c r="KB210" s="36"/>
      <c r="KC210" s="36"/>
      <c r="KD210" s="36"/>
      <c r="KE210" s="36"/>
      <c r="KF210" s="36"/>
      <c r="KG210" s="36"/>
      <c r="KH210" s="36"/>
      <c r="KI210" s="36"/>
      <c r="KJ210" s="36"/>
      <c r="KK210" s="36"/>
      <c r="KL210" s="36"/>
      <c r="KM210" s="36"/>
      <c r="KN210" s="36"/>
      <c r="KO210" s="36"/>
      <c r="KP210" s="36"/>
      <c r="KQ210" s="36"/>
      <c r="KR210" s="36"/>
      <c r="KS210" s="36"/>
      <c r="KT210" s="36"/>
      <c r="KU210" s="36"/>
      <c r="KV210" s="36"/>
      <c r="KW210" s="36"/>
      <c r="KX210" s="36"/>
      <c r="KY210" s="36"/>
      <c r="KZ210" s="36"/>
      <c r="LA210" s="36"/>
      <c r="LB210" s="36"/>
      <c r="LC210" s="36"/>
      <c r="LD210" s="36"/>
      <c r="LE210" s="36"/>
      <c r="LF210" s="36"/>
      <c r="LG210" s="36"/>
      <c r="LH210" s="36"/>
      <c r="LI210" s="36"/>
      <c r="LJ210" s="36"/>
      <c r="LK210" s="36"/>
      <c r="LL210" s="36"/>
      <c r="LM210" s="36"/>
      <c r="LN210" s="36"/>
      <c r="LO210" s="36"/>
      <c r="LP210" s="36"/>
      <c r="LQ210" s="36"/>
      <c r="LR210" s="36"/>
      <c r="LS210" s="36"/>
      <c r="LT210" s="36"/>
      <c r="LU210" s="36"/>
      <c r="LV210" s="36"/>
      <c r="LW210" s="36"/>
      <c r="LX210" s="36"/>
      <c r="LY210" s="36"/>
      <c r="LZ210" s="36"/>
      <c r="MA210" s="36"/>
      <c r="MB210" s="36"/>
      <c r="MC210" s="36"/>
      <c r="MD210" s="36"/>
      <c r="ME210" s="36"/>
      <c r="MF210" s="36"/>
      <c r="MG210" s="36"/>
      <c r="MH210" s="36"/>
      <c r="MI210" s="36"/>
      <c r="MJ210" s="36"/>
      <c r="MK210" s="36"/>
      <c r="ML210" s="36"/>
      <c r="MM210" s="36"/>
      <c r="MN210" s="36"/>
      <c r="MO210" s="36"/>
      <c r="MP210" s="36"/>
      <c r="MQ210" s="36"/>
      <c r="MR210" s="36"/>
      <c r="MS210" s="36"/>
      <c r="MT210" s="36"/>
      <c r="MU210" s="36"/>
      <c r="MV210" s="36"/>
      <c r="MW210" s="36"/>
      <c r="MX210" s="36"/>
      <c r="MY210" s="36"/>
      <c r="MZ210" s="36"/>
      <c r="NA210" s="36"/>
      <c r="NB210" s="36"/>
      <c r="NC210" s="36"/>
      <c r="ND210" s="36"/>
      <c r="NE210" s="36"/>
      <c r="NF210" s="36"/>
      <c r="NG210" s="36"/>
      <c r="NH210" s="36"/>
      <c r="NI210" s="36"/>
      <c r="NJ210" s="36"/>
      <c r="NK210" s="36"/>
      <c r="NL210" s="36"/>
      <c r="NM210" s="36"/>
      <c r="NN210" s="36"/>
      <c r="NO210" s="36"/>
      <c r="NP210" s="36"/>
      <c r="NQ210" s="36"/>
      <c r="NR210" s="36"/>
      <c r="NS210" s="36"/>
      <c r="NT210" s="36"/>
      <c r="NU210" s="36"/>
      <c r="NV210" s="36"/>
      <c r="NW210" s="36"/>
      <c r="NX210" s="36"/>
      <c r="NY210" s="36"/>
      <c r="NZ210" s="36"/>
      <c r="OA210" s="36"/>
      <c r="OB210" s="36"/>
      <c r="OC210" s="36"/>
      <c r="OD210" s="36"/>
      <c r="OE210" s="36"/>
      <c r="OF210" s="36"/>
      <c r="OG210" s="36"/>
      <c r="OH210" s="36"/>
      <c r="OI210" s="36"/>
      <c r="OJ210" s="36"/>
      <c r="OK210" s="36"/>
      <c r="OL210" s="36"/>
      <c r="OM210" s="36"/>
      <c r="ON210" s="36"/>
      <c r="OO210" s="36"/>
      <c r="OP210" s="36"/>
      <c r="OQ210" s="36"/>
      <c r="OR210" s="36"/>
      <c r="OS210" s="36"/>
      <c r="OT210" s="36"/>
      <c r="OU210" s="36"/>
      <c r="OV210" s="36"/>
      <c r="OW210" s="36"/>
      <c r="OX210" s="36"/>
      <c r="OY210" s="36"/>
      <c r="OZ210" s="36"/>
      <c r="PA210" s="36"/>
      <c r="PB210" s="36"/>
      <c r="PC210" s="36"/>
      <c r="PD210" s="36"/>
      <c r="PE210" s="36"/>
      <c r="PF210" s="36"/>
      <c r="PG210" s="36"/>
      <c r="PH210" s="36"/>
      <c r="PI210" s="36"/>
      <c r="PJ210" s="36"/>
      <c r="PK210" s="36"/>
      <c r="PL210" s="36"/>
      <c r="PM210" s="36"/>
      <c r="PN210" s="36"/>
      <c r="PO210" s="36"/>
      <c r="PP210" s="36"/>
      <c r="PQ210" s="36"/>
      <c r="PR210" s="36"/>
      <c r="PS210" s="36"/>
      <c r="PT210" s="36"/>
      <c r="PU210" s="36"/>
      <c r="PV210" s="36"/>
      <c r="PW210" s="36"/>
      <c r="PX210" s="36"/>
      <c r="PY210" s="36"/>
      <c r="PZ210" s="36"/>
      <c r="QA210" s="36"/>
      <c r="QB210" s="36"/>
      <c r="QC210" s="36"/>
      <c r="QD210" s="36"/>
      <c r="QE210" s="36"/>
      <c r="QF210" s="36"/>
      <c r="QG210" s="36"/>
      <c r="QH210" s="36"/>
      <c r="QI210" s="36"/>
      <c r="QJ210" s="36"/>
      <c r="QK210" s="36"/>
      <c r="QL210" s="36"/>
      <c r="QM210" s="36"/>
      <c r="QN210" s="36"/>
      <c r="QO210" s="36"/>
      <c r="QP210" s="36"/>
      <c r="QQ210" s="36"/>
      <c r="QR210" s="36"/>
      <c r="QS210" s="36"/>
      <c r="QT210" s="36"/>
      <c r="QU210" s="36"/>
      <c r="QV210" s="36"/>
      <c r="QW210" s="36"/>
      <c r="QX210" s="36"/>
      <c r="QY210" s="36"/>
      <c r="QZ210" s="36"/>
      <c r="RA210" s="36"/>
      <c r="RB210" s="36"/>
      <c r="RC210" s="36"/>
      <c r="RD210" s="36"/>
      <c r="RE210" s="36"/>
      <c r="RF210" s="36"/>
      <c r="RG210" s="36"/>
      <c r="RH210" s="36"/>
      <c r="RI210" s="36"/>
      <c r="RJ210" s="36"/>
      <c r="RK210" s="36"/>
      <c r="RL210" s="36"/>
      <c r="RM210" s="36"/>
      <c r="RN210" s="36"/>
      <c r="RO210" s="36"/>
      <c r="RP210" s="36"/>
      <c r="RQ210" s="36"/>
      <c r="RR210" s="36"/>
      <c r="RS210" s="36"/>
      <c r="RT210" s="36"/>
      <c r="RU210" s="36"/>
      <c r="RV210" s="36"/>
      <c r="RW210" s="36"/>
      <c r="RX210" s="36"/>
      <c r="RY210" s="36"/>
      <c r="RZ210" s="36"/>
      <c r="SA210" s="36"/>
      <c r="SB210" s="36"/>
      <c r="SC210" s="36"/>
      <c r="SD210" s="36"/>
      <c r="SE210" s="36"/>
      <c r="SF210" s="36"/>
      <c r="SG210" s="36"/>
      <c r="SH210" s="36"/>
      <c r="SI210" s="36"/>
      <c r="SJ210" s="36"/>
      <c r="SK210" s="36"/>
      <c r="SL210" s="36"/>
      <c r="SM210" s="36"/>
      <c r="SN210" s="36"/>
      <c r="SO210" s="36"/>
      <c r="SP210" s="36"/>
      <c r="SQ210" s="36"/>
      <c r="SR210" s="36"/>
      <c r="SS210" s="36"/>
      <c r="ST210" s="36"/>
      <c r="SU210" s="36"/>
      <c r="SV210" s="36"/>
      <c r="SW210" s="36"/>
      <c r="SX210" s="36"/>
      <c r="SY210" s="36"/>
      <c r="SZ210" s="36"/>
      <c r="TA210" s="36"/>
      <c r="TB210" s="36"/>
      <c r="TC210" s="36"/>
      <c r="TD210" s="36"/>
      <c r="TE210" s="36"/>
      <c r="TF210" s="36"/>
      <c r="TG210" s="36"/>
      <c r="TH210" s="36"/>
      <c r="TI210" s="36"/>
    </row>
    <row r="211" spans="1:529" s="27" customFormat="1" ht="25.5" customHeight="1" x14ac:dyDescent="0.25">
      <c r="A211" s="43" t="s">
        <v>520</v>
      </c>
      <c r="B211" s="44">
        <v>7530</v>
      </c>
      <c r="C211" s="43" t="s">
        <v>258</v>
      </c>
      <c r="D211" s="131" t="s">
        <v>256</v>
      </c>
      <c r="E211" s="66">
        <f t="shared" si="96"/>
        <v>49600</v>
      </c>
      <c r="F211" s="66">
        <f>49600+650000-650000</f>
        <v>49600</v>
      </c>
      <c r="G211" s="139"/>
      <c r="H211" s="139"/>
      <c r="I211" s="139"/>
      <c r="J211" s="66">
        <f t="shared" si="97"/>
        <v>650000</v>
      </c>
      <c r="K211" s="66">
        <f>650000-650000+650000</f>
        <v>650000</v>
      </c>
      <c r="L211" s="66"/>
      <c r="M211" s="66"/>
      <c r="N211" s="66"/>
      <c r="O211" s="66">
        <f>650000-650000+650000</f>
        <v>650000</v>
      </c>
      <c r="P211" s="66">
        <f t="shared" si="98"/>
        <v>699600</v>
      </c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36"/>
      <c r="IO211" s="36"/>
      <c r="IP211" s="36"/>
      <c r="IQ211" s="36"/>
      <c r="IR211" s="36"/>
      <c r="IS211" s="36"/>
      <c r="IT211" s="36"/>
      <c r="IU211" s="36"/>
      <c r="IV211" s="36"/>
      <c r="IW211" s="36"/>
      <c r="IX211" s="36"/>
      <c r="IY211" s="36"/>
      <c r="IZ211" s="36"/>
      <c r="JA211" s="36"/>
      <c r="JB211" s="36"/>
      <c r="JC211" s="36"/>
      <c r="JD211" s="36"/>
      <c r="JE211" s="36"/>
      <c r="JF211" s="36"/>
      <c r="JG211" s="36"/>
      <c r="JH211" s="36"/>
      <c r="JI211" s="36"/>
      <c r="JJ211" s="36"/>
      <c r="JK211" s="36"/>
      <c r="JL211" s="36"/>
      <c r="JM211" s="36"/>
      <c r="JN211" s="36"/>
      <c r="JO211" s="36"/>
      <c r="JP211" s="36"/>
      <c r="JQ211" s="36"/>
      <c r="JR211" s="36"/>
      <c r="JS211" s="36"/>
      <c r="JT211" s="36"/>
      <c r="JU211" s="36"/>
      <c r="JV211" s="36"/>
      <c r="JW211" s="36"/>
      <c r="JX211" s="36"/>
      <c r="JY211" s="36"/>
      <c r="JZ211" s="36"/>
      <c r="KA211" s="36"/>
      <c r="KB211" s="36"/>
      <c r="KC211" s="36"/>
      <c r="KD211" s="36"/>
      <c r="KE211" s="36"/>
      <c r="KF211" s="36"/>
      <c r="KG211" s="36"/>
      <c r="KH211" s="36"/>
      <c r="KI211" s="36"/>
      <c r="KJ211" s="36"/>
      <c r="KK211" s="36"/>
      <c r="KL211" s="36"/>
      <c r="KM211" s="36"/>
      <c r="KN211" s="36"/>
      <c r="KO211" s="36"/>
      <c r="KP211" s="36"/>
      <c r="KQ211" s="36"/>
      <c r="KR211" s="36"/>
      <c r="KS211" s="36"/>
      <c r="KT211" s="36"/>
      <c r="KU211" s="36"/>
      <c r="KV211" s="36"/>
      <c r="KW211" s="36"/>
      <c r="KX211" s="36"/>
      <c r="KY211" s="36"/>
      <c r="KZ211" s="36"/>
      <c r="LA211" s="36"/>
      <c r="LB211" s="36"/>
      <c r="LC211" s="36"/>
      <c r="LD211" s="36"/>
      <c r="LE211" s="36"/>
      <c r="LF211" s="36"/>
      <c r="LG211" s="36"/>
      <c r="LH211" s="36"/>
      <c r="LI211" s="36"/>
      <c r="LJ211" s="36"/>
      <c r="LK211" s="36"/>
      <c r="LL211" s="36"/>
      <c r="LM211" s="36"/>
      <c r="LN211" s="36"/>
      <c r="LO211" s="36"/>
      <c r="LP211" s="36"/>
      <c r="LQ211" s="36"/>
      <c r="LR211" s="36"/>
      <c r="LS211" s="36"/>
      <c r="LT211" s="36"/>
      <c r="LU211" s="36"/>
      <c r="LV211" s="36"/>
      <c r="LW211" s="36"/>
      <c r="LX211" s="36"/>
      <c r="LY211" s="36"/>
      <c r="LZ211" s="36"/>
      <c r="MA211" s="36"/>
      <c r="MB211" s="36"/>
      <c r="MC211" s="36"/>
      <c r="MD211" s="36"/>
      <c r="ME211" s="36"/>
      <c r="MF211" s="36"/>
      <c r="MG211" s="36"/>
      <c r="MH211" s="36"/>
      <c r="MI211" s="36"/>
      <c r="MJ211" s="36"/>
      <c r="MK211" s="36"/>
      <c r="ML211" s="36"/>
      <c r="MM211" s="36"/>
      <c r="MN211" s="36"/>
      <c r="MO211" s="36"/>
      <c r="MP211" s="36"/>
      <c r="MQ211" s="36"/>
      <c r="MR211" s="36"/>
      <c r="MS211" s="36"/>
      <c r="MT211" s="36"/>
      <c r="MU211" s="36"/>
      <c r="MV211" s="36"/>
      <c r="MW211" s="36"/>
      <c r="MX211" s="36"/>
      <c r="MY211" s="36"/>
      <c r="MZ211" s="36"/>
      <c r="NA211" s="36"/>
      <c r="NB211" s="36"/>
      <c r="NC211" s="36"/>
      <c r="ND211" s="36"/>
      <c r="NE211" s="36"/>
      <c r="NF211" s="36"/>
      <c r="NG211" s="36"/>
      <c r="NH211" s="36"/>
      <c r="NI211" s="36"/>
      <c r="NJ211" s="36"/>
      <c r="NK211" s="36"/>
      <c r="NL211" s="36"/>
      <c r="NM211" s="36"/>
      <c r="NN211" s="36"/>
      <c r="NO211" s="36"/>
      <c r="NP211" s="36"/>
      <c r="NQ211" s="36"/>
      <c r="NR211" s="36"/>
      <c r="NS211" s="36"/>
      <c r="NT211" s="36"/>
      <c r="NU211" s="36"/>
      <c r="NV211" s="36"/>
      <c r="NW211" s="36"/>
      <c r="NX211" s="36"/>
      <c r="NY211" s="36"/>
      <c r="NZ211" s="36"/>
      <c r="OA211" s="36"/>
      <c r="OB211" s="36"/>
      <c r="OC211" s="36"/>
      <c r="OD211" s="36"/>
      <c r="OE211" s="36"/>
      <c r="OF211" s="36"/>
      <c r="OG211" s="36"/>
      <c r="OH211" s="36"/>
      <c r="OI211" s="36"/>
      <c r="OJ211" s="36"/>
      <c r="OK211" s="36"/>
      <c r="OL211" s="36"/>
      <c r="OM211" s="36"/>
      <c r="ON211" s="36"/>
      <c r="OO211" s="36"/>
      <c r="OP211" s="36"/>
      <c r="OQ211" s="36"/>
      <c r="OR211" s="36"/>
      <c r="OS211" s="36"/>
      <c r="OT211" s="36"/>
      <c r="OU211" s="36"/>
      <c r="OV211" s="36"/>
      <c r="OW211" s="36"/>
      <c r="OX211" s="36"/>
      <c r="OY211" s="36"/>
      <c r="OZ211" s="36"/>
      <c r="PA211" s="36"/>
      <c r="PB211" s="36"/>
      <c r="PC211" s="36"/>
      <c r="PD211" s="36"/>
      <c r="PE211" s="36"/>
      <c r="PF211" s="36"/>
      <c r="PG211" s="36"/>
      <c r="PH211" s="36"/>
      <c r="PI211" s="36"/>
      <c r="PJ211" s="36"/>
      <c r="PK211" s="36"/>
      <c r="PL211" s="36"/>
      <c r="PM211" s="36"/>
      <c r="PN211" s="36"/>
      <c r="PO211" s="36"/>
      <c r="PP211" s="36"/>
      <c r="PQ211" s="36"/>
      <c r="PR211" s="36"/>
      <c r="PS211" s="36"/>
      <c r="PT211" s="36"/>
      <c r="PU211" s="36"/>
      <c r="PV211" s="36"/>
      <c r="PW211" s="36"/>
      <c r="PX211" s="36"/>
      <c r="PY211" s="36"/>
      <c r="PZ211" s="36"/>
      <c r="QA211" s="36"/>
      <c r="QB211" s="36"/>
      <c r="QC211" s="36"/>
      <c r="QD211" s="36"/>
      <c r="QE211" s="36"/>
      <c r="QF211" s="36"/>
      <c r="QG211" s="36"/>
      <c r="QH211" s="36"/>
      <c r="QI211" s="36"/>
      <c r="QJ211" s="36"/>
      <c r="QK211" s="36"/>
      <c r="QL211" s="36"/>
      <c r="QM211" s="36"/>
      <c r="QN211" s="36"/>
      <c r="QO211" s="36"/>
      <c r="QP211" s="36"/>
      <c r="QQ211" s="36"/>
      <c r="QR211" s="36"/>
      <c r="QS211" s="36"/>
      <c r="QT211" s="36"/>
      <c r="QU211" s="36"/>
      <c r="QV211" s="36"/>
      <c r="QW211" s="36"/>
      <c r="QX211" s="36"/>
      <c r="QY211" s="36"/>
      <c r="QZ211" s="36"/>
      <c r="RA211" s="36"/>
      <c r="RB211" s="36"/>
      <c r="RC211" s="36"/>
      <c r="RD211" s="36"/>
      <c r="RE211" s="36"/>
      <c r="RF211" s="36"/>
      <c r="RG211" s="36"/>
      <c r="RH211" s="36"/>
      <c r="RI211" s="36"/>
      <c r="RJ211" s="36"/>
      <c r="RK211" s="36"/>
      <c r="RL211" s="36"/>
      <c r="RM211" s="36"/>
      <c r="RN211" s="36"/>
      <c r="RO211" s="36"/>
      <c r="RP211" s="36"/>
      <c r="RQ211" s="36"/>
      <c r="RR211" s="36"/>
      <c r="RS211" s="36"/>
      <c r="RT211" s="36"/>
      <c r="RU211" s="36"/>
      <c r="RV211" s="36"/>
      <c r="RW211" s="36"/>
      <c r="RX211" s="36"/>
      <c r="RY211" s="36"/>
      <c r="RZ211" s="36"/>
      <c r="SA211" s="36"/>
      <c r="SB211" s="36"/>
      <c r="SC211" s="36"/>
      <c r="SD211" s="36"/>
      <c r="SE211" s="36"/>
      <c r="SF211" s="36"/>
      <c r="SG211" s="36"/>
      <c r="SH211" s="36"/>
      <c r="SI211" s="36"/>
      <c r="SJ211" s="36"/>
      <c r="SK211" s="36"/>
      <c r="SL211" s="36"/>
      <c r="SM211" s="36"/>
      <c r="SN211" s="36"/>
      <c r="SO211" s="36"/>
      <c r="SP211" s="36"/>
      <c r="SQ211" s="36"/>
      <c r="SR211" s="36"/>
      <c r="SS211" s="36"/>
      <c r="ST211" s="36"/>
      <c r="SU211" s="36"/>
      <c r="SV211" s="36"/>
      <c r="SW211" s="36"/>
      <c r="SX211" s="36"/>
      <c r="SY211" s="36"/>
      <c r="SZ211" s="36"/>
      <c r="TA211" s="36"/>
      <c r="TB211" s="36"/>
      <c r="TC211" s="36"/>
      <c r="TD211" s="36"/>
      <c r="TE211" s="36"/>
      <c r="TF211" s="36"/>
      <c r="TG211" s="36"/>
      <c r="TH211" s="36"/>
      <c r="TI211" s="36"/>
    </row>
    <row r="212" spans="1:529" s="23" customFormat="1" ht="20.25" customHeight="1" x14ac:dyDescent="0.25">
      <c r="A212" s="43" t="s">
        <v>219</v>
      </c>
      <c r="B212" s="44" t="str">
        <f>'дод 4'!A167</f>
        <v>7640</v>
      </c>
      <c r="C212" s="44" t="str">
        <f>'дод 4'!B167</f>
        <v>0470</v>
      </c>
      <c r="D212" s="24" t="s">
        <v>511</v>
      </c>
      <c r="E212" s="66">
        <f t="shared" si="90"/>
        <v>2200000</v>
      </c>
      <c r="F212" s="66">
        <f>750000-250000+200000</f>
        <v>700000</v>
      </c>
      <c r="G212" s="66"/>
      <c r="H212" s="66"/>
      <c r="I212" s="66">
        <f>750000+250000+500000</f>
        <v>1500000</v>
      </c>
      <c r="J212" s="66">
        <f t="shared" si="92"/>
        <v>0</v>
      </c>
      <c r="K212" s="66"/>
      <c r="L212" s="66"/>
      <c r="M212" s="66"/>
      <c r="N212" s="66"/>
      <c r="O212" s="66"/>
      <c r="P212" s="66">
        <f t="shared" si="91"/>
        <v>2200000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  <c r="LB212" s="26"/>
      <c r="LC212" s="26"/>
      <c r="LD212" s="26"/>
      <c r="LE212" s="26"/>
      <c r="LF212" s="26"/>
      <c r="LG212" s="26"/>
      <c r="LH212" s="26"/>
      <c r="LI212" s="26"/>
      <c r="LJ212" s="26"/>
      <c r="LK212" s="26"/>
      <c r="LL212" s="26"/>
      <c r="LM212" s="26"/>
      <c r="LN212" s="26"/>
      <c r="LO212" s="26"/>
      <c r="LP212" s="26"/>
      <c r="LQ212" s="26"/>
      <c r="LR212" s="26"/>
      <c r="LS212" s="26"/>
      <c r="LT212" s="26"/>
      <c r="LU212" s="26"/>
      <c r="LV212" s="26"/>
      <c r="LW212" s="26"/>
      <c r="LX212" s="26"/>
      <c r="LY212" s="26"/>
      <c r="LZ212" s="26"/>
      <c r="MA212" s="26"/>
      <c r="MB212" s="26"/>
      <c r="MC212" s="26"/>
      <c r="MD212" s="26"/>
      <c r="ME212" s="26"/>
      <c r="MF212" s="26"/>
      <c r="MG212" s="26"/>
      <c r="MH212" s="26"/>
      <c r="MI212" s="26"/>
      <c r="MJ212" s="26"/>
      <c r="MK212" s="26"/>
      <c r="ML212" s="26"/>
      <c r="MM212" s="26"/>
      <c r="MN212" s="26"/>
      <c r="MO212" s="26"/>
      <c r="MP212" s="26"/>
      <c r="MQ212" s="26"/>
      <c r="MR212" s="26"/>
      <c r="MS212" s="26"/>
      <c r="MT212" s="26"/>
      <c r="MU212" s="26"/>
      <c r="MV212" s="26"/>
      <c r="MW212" s="26"/>
      <c r="MX212" s="26"/>
      <c r="MY212" s="26"/>
      <c r="MZ212" s="26"/>
      <c r="NA212" s="26"/>
      <c r="NB212" s="26"/>
      <c r="NC212" s="26"/>
      <c r="ND212" s="26"/>
      <c r="NE212" s="26"/>
      <c r="NF212" s="26"/>
      <c r="NG212" s="26"/>
      <c r="NH212" s="26"/>
      <c r="NI212" s="26"/>
      <c r="NJ212" s="26"/>
      <c r="NK212" s="26"/>
      <c r="NL212" s="26"/>
      <c r="NM212" s="26"/>
      <c r="NN212" s="26"/>
      <c r="NO212" s="26"/>
      <c r="NP212" s="26"/>
      <c r="NQ212" s="26"/>
      <c r="NR212" s="26"/>
      <c r="NS212" s="26"/>
      <c r="NT212" s="26"/>
      <c r="NU212" s="26"/>
      <c r="NV212" s="26"/>
      <c r="NW212" s="26"/>
      <c r="NX212" s="26"/>
      <c r="NY212" s="26"/>
      <c r="NZ212" s="26"/>
      <c r="OA212" s="26"/>
      <c r="OB212" s="26"/>
      <c r="OC212" s="26"/>
      <c r="OD212" s="26"/>
      <c r="OE212" s="26"/>
      <c r="OF212" s="26"/>
      <c r="OG212" s="26"/>
      <c r="OH212" s="26"/>
      <c r="OI212" s="26"/>
      <c r="OJ212" s="26"/>
      <c r="OK212" s="26"/>
      <c r="OL212" s="26"/>
      <c r="OM212" s="26"/>
      <c r="ON212" s="26"/>
      <c r="OO212" s="26"/>
      <c r="OP212" s="26"/>
      <c r="OQ212" s="26"/>
      <c r="OR212" s="26"/>
      <c r="OS212" s="26"/>
      <c r="OT212" s="26"/>
      <c r="OU212" s="26"/>
      <c r="OV212" s="26"/>
      <c r="OW212" s="26"/>
      <c r="OX212" s="26"/>
      <c r="OY212" s="26"/>
      <c r="OZ212" s="26"/>
      <c r="PA212" s="26"/>
      <c r="PB212" s="26"/>
      <c r="PC212" s="26"/>
      <c r="PD212" s="26"/>
      <c r="PE212" s="26"/>
      <c r="PF212" s="26"/>
      <c r="PG212" s="26"/>
      <c r="PH212" s="26"/>
      <c r="PI212" s="26"/>
      <c r="PJ212" s="26"/>
      <c r="PK212" s="26"/>
      <c r="PL212" s="26"/>
      <c r="PM212" s="26"/>
      <c r="PN212" s="26"/>
      <c r="PO212" s="26"/>
      <c r="PP212" s="26"/>
      <c r="PQ212" s="26"/>
      <c r="PR212" s="26"/>
      <c r="PS212" s="26"/>
      <c r="PT212" s="26"/>
      <c r="PU212" s="26"/>
      <c r="PV212" s="26"/>
      <c r="PW212" s="26"/>
      <c r="PX212" s="26"/>
      <c r="PY212" s="26"/>
      <c r="PZ212" s="26"/>
      <c r="QA212" s="26"/>
      <c r="QB212" s="26"/>
      <c r="QC212" s="26"/>
      <c r="QD212" s="26"/>
      <c r="QE212" s="26"/>
      <c r="QF212" s="26"/>
      <c r="QG212" s="26"/>
      <c r="QH212" s="26"/>
      <c r="QI212" s="26"/>
      <c r="QJ212" s="26"/>
      <c r="QK212" s="26"/>
      <c r="QL212" s="26"/>
      <c r="QM212" s="26"/>
      <c r="QN212" s="26"/>
      <c r="QO212" s="26"/>
      <c r="QP212" s="26"/>
      <c r="QQ212" s="26"/>
      <c r="QR212" s="26"/>
      <c r="QS212" s="26"/>
      <c r="QT212" s="26"/>
      <c r="QU212" s="26"/>
      <c r="QV212" s="26"/>
      <c r="QW212" s="26"/>
      <c r="QX212" s="26"/>
      <c r="QY212" s="26"/>
      <c r="QZ212" s="26"/>
      <c r="RA212" s="26"/>
      <c r="RB212" s="26"/>
      <c r="RC212" s="26"/>
      <c r="RD212" s="26"/>
      <c r="RE212" s="26"/>
      <c r="RF212" s="26"/>
      <c r="RG212" s="26"/>
      <c r="RH212" s="26"/>
      <c r="RI212" s="26"/>
      <c r="RJ212" s="26"/>
      <c r="RK212" s="26"/>
      <c r="RL212" s="26"/>
      <c r="RM212" s="26"/>
      <c r="RN212" s="26"/>
      <c r="RO212" s="26"/>
      <c r="RP212" s="26"/>
      <c r="RQ212" s="26"/>
      <c r="RR212" s="26"/>
      <c r="RS212" s="26"/>
      <c r="RT212" s="26"/>
      <c r="RU212" s="26"/>
      <c r="RV212" s="26"/>
      <c r="RW212" s="26"/>
      <c r="RX212" s="26"/>
      <c r="RY212" s="26"/>
      <c r="RZ212" s="26"/>
      <c r="SA212" s="26"/>
      <c r="SB212" s="26"/>
      <c r="SC212" s="26"/>
      <c r="SD212" s="26"/>
      <c r="SE212" s="26"/>
      <c r="SF212" s="26"/>
      <c r="SG212" s="26"/>
      <c r="SH212" s="26"/>
      <c r="SI212" s="26"/>
      <c r="SJ212" s="26"/>
      <c r="SK212" s="26"/>
      <c r="SL212" s="26"/>
      <c r="SM212" s="26"/>
      <c r="SN212" s="26"/>
      <c r="SO212" s="26"/>
      <c r="SP212" s="26"/>
      <c r="SQ212" s="26"/>
      <c r="SR212" s="26"/>
      <c r="SS212" s="26"/>
      <c r="ST212" s="26"/>
      <c r="SU212" s="26"/>
      <c r="SV212" s="26"/>
      <c r="SW212" s="26"/>
      <c r="SX212" s="26"/>
      <c r="SY212" s="26"/>
      <c r="SZ212" s="26"/>
      <c r="TA212" s="26"/>
      <c r="TB212" s="26"/>
      <c r="TC212" s="26"/>
      <c r="TD212" s="26"/>
      <c r="TE212" s="26"/>
      <c r="TF212" s="26"/>
      <c r="TG212" s="26"/>
      <c r="TH212" s="26"/>
      <c r="TI212" s="26"/>
    </row>
    <row r="213" spans="1:529" s="23" customFormat="1" ht="23.25" customHeight="1" x14ac:dyDescent="0.25">
      <c r="A213" s="43" t="s">
        <v>363</v>
      </c>
      <c r="B213" s="44" t="str">
        <f>'дод 4'!A171</f>
        <v>7670</v>
      </c>
      <c r="C213" s="44" t="str">
        <f>'дод 4'!B171</f>
        <v>0490</v>
      </c>
      <c r="D213" s="24" t="str">
        <f>'дод 4'!C171</f>
        <v>Внески до статутного капіталу суб’єктів господарювання</v>
      </c>
      <c r="E213" s="66">
        <f t="shared" si="90"/>
        <v>0</v>
      </c>
      <c r="F213" s="66"/>
      <c r="G213" s="66"/>
      <c r="H213" s="66"/>
      <c r="I213" s="66"/>
      <c r="J213" s="66">
        <f t="shared" si="92"/>
        <v>7042330</v>
      </c>
      <c r="K213" s="66">
        <f>7042330+10000000-10000000</f>
        <v>7042330</v>
      </c>
      <c r="L213" s="66"/>
      <c r="M213" s="66"/>
      <c r="N213" s="66"/>
      <c r="O213" s="66">
        <f>7042330+10000000-10000000</f>
        <v>7042330</v>
      </c>
      <c r="P213" s="66">
        <f t="shared" si="91"/>
        <v>7042330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  <c r="JK213" s="26"/>
      <c r="JL213" s="26"/>
      <c r="JM213" s="26"/>
      <c r="JN213" s="26"/>
      <c r="JO213" s="26"/>
      <c r="JP213" s="26"/>
      <c r="JQ213" s="26"/>
      <c r="JR213" s="26"/>
      <c r="JS213" s="26"/>
      <c r="JT213" s="26"/>
      <c r="JU213" s="26"/>
      <c r="JV213" s="26"/>
      <c r="JW213" s="26"/>
      <c r="JX213" s="26"/>
      <c r="JY213" s="26"/>
      <c r="JZ213" s="26"/>
      <c r="KA213" s="26"/>
      <c r="KB213" s="26"/>
      <c r="KC213" s="26"/>
      <c r="KD213" s="26"/>
      <c r="KE213" s="26"/>
      <c r="KF213" s="26"/>
      <c r="KG213" s="26"/>
      <c r="KH213" s="26"/>
      <c r="KI213" s="26"/>
      <c r="KJ213" s="26"/>
      <c r="KK213" s="26"/>
      <c r="KL213" s="26"/>
      <c r="KM213" s="26"/>
      <c r="KN213" s="26"/>
      <c r="KO213" s="26"/>
      <c r="KP213" s="26"/>
      <c r="KQ213" s="26"/>
      <c r="KR213" s="26"/>
      <c r="KS213" s="26"/>
      <c r="KT213" s="26"/>
      <c r="KU213" s="26"/>
      <c r="KV213" s="26"/>
      <c r="KW213" s="26"/>
      <c r="KX213" s="26"/>
      <c r="KY213" s="26"/>
      <c r="KZ213" s="26"/>
      <c r="LA213" s="26"/>
      <c r="LB213" s="26"/>
      <c r="LC213" s="26"/>
      <c r="LD213" s="26"/>
      <c r="LE213" s="26"/>
      <c r="LF213" s="26"/>
      <c r="LG213" s="26"/>
      <c r="LH213" s="26"/>
      <c r="LI213" s="26"/>
      <c r="LJ213" s="26"/>
      <c r="LK213" s="26"/>
      <c r="LL213" s="26"/>
      <c r="LM213" s="26"/>
      <c r="LN213" s="26"/>
      <c r="LO213" s="26"/>
      <c r="LP213" s="26"/>
      <c r="LQ213" s="26"/>
      <c r="LR213" s="26"/>
      <c r="LS213" s="26"/>
      <c r="LT213" s="26"/>
      <c r="LU213" s="26"/>
      <c r="LV213" s="26"/>
      <c r="LW213" s="26"/>
      <c r="LX213" s="26"/>
      <c r="LY213" s="26"/>
      <c r="LZ213" s="26"/>
      <c r="MA213" s="26"/>
      <c r="MB213" s="26"/>
      <c r="MC213" s="26"/>
      <c r="MD213" s="26"/>
      <c r="ME213" s="26"/>
      <c r="MF213" s="26"/>
      <c r="MG213" s="26"/>
      <c r="MH213" s="26"/>
      <c r="MI213" s="26"/>
      <c r="MJ213" s="26"/>
      <c r="MK213" s="26"/>
      <c r="ML213" s="26"/>
      <c r="MM213" s="26"/>
      <c r="MN213" s="26"/>
      <c r="MO213" s="26"/>
      <c r="MP213" s="26"/>
      <c r="MQ213" s="26"/>
      <c r="MR213" s="26"/>
      <c r="MS213" s="26"/>
      <c r="MT213" s="26"/>
      <c r="MU213" s="26"/>
      <c r="MV213" s="26"/>
      <c r="MW213" s="26"/>
      <c r="MX213" s="26"/>
      <c r="MY213" s="26"/>
      <c r="MZ213" s="26"/>
      <c r="NA213" s="26"/>
      <c r="NB213" s="26"/>
      <c r="NC213" s="26"/>
      <c r="ND213" s="26"/>
      <c r="NE213" s="26"/>
      <c r="NF213" s="26"/>
      <c r="NG213" s="26"/>
      <c r="NH213" s="26"/>
      <c r="NI213" s="26"/>
      <c r="NJ213" s="26"/>
      <c r="NK213" s="26"/>
      <c r="NL213" s="26"/>
      <c r="NM213" s="26"/>
      <c r="NN213" s="26"/>
      <c r="NO213" s="26"/>
      <c r="NP213" s="26"/>
      <c r="NQ213" s="26"/>
      <c r="NR213" s="26"/>
      <c r="NS213" s="26"/>
      <c r="NT213" s="26"/>
      <c r="NU213" s="26"/>
      <c r="NV213" s="26"/>
      <c r="NW213" s="26"/>
      <c r="NX213" s="26"/>
      <c r="NY213" s="26"/>
      <c r="NZ213" s="26"/>
      <c r="OA213" s="26"/>
      <c r="OB213" s="26"/>
      <c r="OC213" s="26"/>
      <c r="OD213" s="26"/>
      <c r="OE213" s="26"/>
      <c r="OF213" s="26"/>
      <c r="OG213" s="26"/>
      <c r="OH213" s="26"/>
      <c r="OI213" s="26"/>
      <c r="OJ213" s="26"/>
      <c r="OK213" s="26"/>
      <c r="OL213" s="26"/>
      <c r="OM213" s="26"/>
      <c r="ON213" s="26"/>
      <c r="OO213" s="26"/>
      <c r="OP213" s="26"/>
      <c r="OQ213" s="26"/>
      <c r="OR213" s="26"/>
      <c r="OS213" s="26"/>
      <c r="OT213" s="26"/>
      <c r="OU213" s="26"/>
      <c r="OV213" s="26"/>
      <c r="OW213" s="26"/>
      <c r="OX213" s="26"/>
      <c r="OY213" s="26"/>
      <c r="OZ213" s="26"/>
      <c r="PA213" s="26"/>
      <c r="PB213" s="26"/>
      <c r="PC213" s="26"/>
      <c r="PD213" s="26"/>
      <c r="PE213" s="26"/>
      <c r="PF213" s="26"/>
      <c r="PG213" s="26"/>
      <c r="PH213" s="26"/>
      <c r="PI213" s="26"/>
      <c r="PJ213" s="26"/>
      <c r="PK213" s="26"/>
      <c r="PL213" s="26"/>
      <c r="PM213" s="26"/>
      <c r="PN213" s="26"/>
      <c r="PO213" s="26"/>
      <c r="PP213" s="26"/>
      <c r="PQ213" s="26"/>
      <c r="PR213" s="26"/>
      <c r="PS213" s="26"/>
      <c r="PT213" s="26"/>
      <c r="PU213" s="26"/>
      <c r="PV213" s="26"/>
      <c r="PW213" s="26"/>
      <c r="PX213" s="26"/>
      <c r="PY213" s="26"/>
      <c r="PZ213" s="26"/>
      <c r="QA213" s="26"/>
      <c r="QB213" s="26"/>
      <c r="QC213" s="26"/>
      <c r="QD213" s="26"/>
      <c r="QE213" s="26"/>
      <c r="QF213" s="26"/>
      <c r="QG213" s="26"/>
      <c r="QH213" s="26"/>
      <c r="QI213" s="26"/>
      <c r="QJ213" s="26"/>
      <c r="QK213" s="26"/>
      <c r="QL213" s="26"/>
      <c r="QM213" s="26"/>
      <c r="QN213" s="26"/>
      <c r="QO213" s="26"/>
      <c r="QP213" s="26"/>
      <c r="QQ213" s="26"/>
      <c r="QR213" s="26"/>
      <c r="QS213" s="26"/>
      <c r="QT213" s="26"/>
      <c r="QU213" s="26"/>
      <c r="QV213" s="26"/>
      <c r="QW213" s="26"/>
      <c r="QX213" s="26"/>
      <c r="QY213" s="26"/>
      <c r="QZ213" s="26"/>
      <c r="RA213" s="26"/>
      <c r="RB213" s="26"/>
      <c r="RC213" s="26"/>
      <c r="RD213" s="26"/>
      <c r="RE213" s="26"/>
      <c r="RF213" s="26"/>
      <c r="RG213" s="26"/>
      <c r="RH213" s="26"/>
      <c r="RI213" s="26"/>
      <c r="RJ213" s="26"/>
      <c r="RK213" s="26"/>
      <c r="RL213" s="26"/>
      <c r="RM213" s="26"/>
      <c r="RN213" s="26"/>
      <c r="RO213" s="26"/>
      <c r="RP213" s="26"/>
      <c r="RQ213" s="26"/>
      <c r="RR213" s="26"/>
      <c r="RS213" s="26"/>
      <c r="RT213" s="26"/>
      <c r="RU213" s="26"/>
      <c r="RV213" s="26"/>
      <c r="RW213" s="26"/>
      <c r="RX213" s="26"/>
      <c r="RY213" s="26"/>
      <c r="RZ213" s="26"/>
      <c r="SA213" s="26"/>
      <c r="SB213" s="26"/>
      <c r="SC213" s="26"/>
      <c r="SD213" s="26"/>
      <c r="SE213" s="26"/>
      <c r="SF213" s="26"/>
      <c r="SG213" s="26"/>
      <c r="SH213" s="26"/>
      <c r="SI213" s="26"/>
      <c r="SJ213" s="26"/>
      <c r="SK213" s="26"/>
      <c r="SL213" s="26"/>
      <c r="SM213" s="26"/>
      <c r="SN213" s="26"/>
      <c r="SO213" s="26"/>
      <c r="SP213" s="26"/>
      <c r="SQ213" s="26"/>
      <c r="SR213" s="26"/>
      <c r="SS213" s="26"/>
      <c r="ST213" s="26"/>
      <c r="SU213" s="26"/>
      <c r="SV213" s="26"/>
      <c r="SW213" s="26"/>
      <c r="SX213" s="26"/>
      <c r="SY213" s="26"/>
      <c r="SZ213" s="26"/>
      <c r="TA213" s="26"/>
      <c r="TB213" s="26"/>
      <c r="TC213" s="26"/>
      <c r="TD213" s="26"/>
      <c r="TE213" s="26"/>
      <c r="TF213" s="26"/>
      <c r="TG213" s="26"/>
      <c r="TH213" s="26"/>
      <c r="TI213" s="26"/>
    </row>
    <row r="214" spans="1:529" s="23" customFormat="1" ht="95.25" customHeight="1" x14ac:dyDescent="0.25">
      <c r="A214" s="52" t="s">
        <v>328</v>
      </c>
      <c r="B214" s="45">
        <v>7691</v>
      </c>
      <c r="C214" s="45" t="s">
        <v>89</v>
      </c>
      <c r="D214" s="22" t="str">
        <f>'дод 4'!C173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4" s="66">
        <f t="shared" si="90"/>
        <v>0</v>
      </c>
      <c r="F214" s="66"/>
      <c r="G214" s="66"/>
      <c r="H214" s="66"/>
      <c r="I214" s="66"/>
      <c r="J214" s="66">
        <f t="shared" si="92"/>
        <v>939190.27</v>
      </c>
      <c r="K214" s="66"/>
      <c r="L214" s="66">
        <f>41000+115890.27</f>
        <v>156890.27000000002</v>
      </c>
      <c r="M214" s="66"/>
      <c r="N214" s="66"/>
      <c r="O214" s="66">
        <f>133200+649100</f>
        <v>782300</v>
      </c>
      <c r="P214" s="66">
        <f t="shared" si="91"/>
        <v>939190.27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  <c r="IW214" s="26"/>
      <c r="IX214" s="26"/>
      <c r="IY214" s="26"/>
      <c r="IZ214" s="26"/>
      <c r="JA214" s="26"/>
      <c r="JB214" s="26"/>
      <c r="JC214" s="26"/>
      <c r="JD214" s="26"/>
      <c r="JE214" s="26"/>
      <c r="JF214" s="26"/>
      <c r="JG214" s="26"/>
      <c r="JH214" s="26"/>
      <c r="JI214" s="26"/>
      <c r="JJ214" s="26"/>
      <c r="JK214" s="26"/>
      <c r="JL214" s="26"/>
      <c r="JM214" s="26"/>
      <c r="JN214" s="26"/>
      <c r="JO214" s="26"/>
      <c r="JP214" s="26"/>
      <c r="JQ214" s="26"/>
      <c r="JR214" s="26"/>
      <c r="JS214" s="26"/>
      <c r="JT214" s="26"/>
      <c r="JU214" s="26"/>
      <c r="JV214" s="26"/>
      <c r="JW214" s="26"/>
      <c r="JX214" s="26"/>
      <c r="JY214" s="26"/>
      <c r="JZ214" s="26"/>
      <c r="KA214" s="26"/>
      <c r="KB214" s="26"/>
      <c r="KC214" s="26"/>
      <c r="KD214" s="26"/>
      <c r="KE214" s="26"/>
      <c r="KF214" s="26"/>
      <c r="KG214" s="26"/>
      <c r="KH214" s="26"/>
      <c r="KI214" s="26"/>
      <c r="KJ214" s="26"/>
      <c r="KK214" s="26"/>
      <c r="KL214" s="26"/>
      <c r="KM214" s="26"/>
      <c r="KN214" s="26"/>
      <c r="KO214" s="26"/>
      <c r="KP214" s="26"/>
      <c r="KQ214" s="26"/>
      <c r="KR214" s="26"/>
      <c r="KS214" s="26"/>
      <c r="KT214" s="26"/>
      <c r="KU214" s="26"/>
      <c r="KV214" s="26"/>
      <c r="KW214" s="26"/>
      <c r="KX214" s="26"/>
      <c r="KY214" s="26"/>
      <c r="KZ214" s="26"/>
      <c r="LA214" s="26"/>
      <c r="LB214" s="26"/>
      <c r="LC214" s="26"/>
      <c r="LD214" s="26"/>
      <c r="LE214" s="26"/>
      <c r="LF214" s="26"/>
      <c r="LG214" s="26"/>
      <c r="LH214" s="26"/>
      <c r="LI214" s="26"/>
      <c r="LJ214" s="26"/>
      <c r="LK214" s="26"/>
      <c r="LL214" s="26"/>
      <c r="LM214" s="26"/>
      <c r="LN214" s="26"/>
      <c r="LO214" s="26"/>
      <c r="LP214" s="26"/>
      <c r="LQ214" s="26"/>
      <c r="LR214" s="26"/>
      <c r="LS214" s="26"/>
      <c r="LT214" s="26"/>
      <c r="LU214" s="26"/>
      <c r="LV214" s="26"/>
      <c r="LW214" s="26"/>
      <c r="LX214" s="26"/>
      <c r="LY214" s="26"/>
      <c r="LZ214" s="26"/>
      <c r="MA214" s="26"/>
      <c r="MB214" s="26"/>
      <c r="MC214" s="26"/>
      <c r="MD214" s="26"/>
      <c r="ME214" s="26"/>
      <c r="MF214" s="26"/>
      <c r="MG214" s="26"/>
      <c r="MH214" s="26"/>
      <c r="MI214" s="26"/>
      <c r="MJ214" s="26"/>
      <c r="MK214" s="26"/>
      <c r="ML214" s="26"/>
      <c r="MM214" s="26"/>
      <c r="MN214" s="26"/>
      <c r="MO214" s="26"/>
      <c r="MP214" s="26"/>
      <c r="MQ214" s="26"/>
      <c r="MR214" s="26"/>
      <c r="MS214" s="26"/>
      <c r="MT214" s="26"/>
      <c r="MU214" s="26"/>
      <c r="MV214" s="26"/>
      <c r="MW214" s="26"/>
      <c r="MX214" s="26"/>
      <c r="MY214" s="26"/>
      <c r="MZ214" s="26"/>
      <c r="NA214" s="26"/>
      <c r="NB214" s="26"/>
      <c r="NC214" s="26"/>
      <c r="ND214" s="26"/>
      <c r="NE214" s="26"/>
      <c r="NF214" s="26"/>
      <c r="NG214" s="26"/>
      <c r="NH214" s="26"/>
      <c r="NI214" s="26"/>
      <c r="NJ214" s="26"/>
      <c r="NK214" s="26"/>
      <c r="NL214" s="26"/>
      <c r="NM214" s="26"/>
      <c r="NN214" s="26"/>
      <c r="NO214" s="26"/>
      <c r="NP214" s="26"/>
      <c r="NQ214" s="26"/>
      <c r="NR214" s="26"/>
      <c r="NS214" s="26"/>
      <c r="NT214" s="26"/>
      <c r="NU214" s="26"/>
      <c r="NV214" s="26"/>
      <c r="NW214" s="26"/>
      <c r="NX214" s="26"/>
      <c r="NY214" s="26"/>
      <c r="NZ214" s="26"/>
      <c r="OA214" s="26"/>
      <c r="OB214" s="26"/>
      <c r="OC214" s="26"/>
      <c r="OD214" s="26"/>
      <c r="OE214" s="26"/>
      <c r="OF214" s="26"/>
      <c r="OG214" s="26"/>
      <c r="OH214" s="26"/>
      <c r="OI214" s="26"/>
      <c r="OJ214" s="26"/>
      <c r="OK214" s="26"/>
      <c r="OL214" s="26"/>
      <c r="OM214" s="26"/>
      <c r="ON214" s="26"/>
      <c r="OO214" s="26"/>
      <c r="OP214" s="26"/>
      <c r="OQ214" s="26"/>
      <c r="OR214" s="26"/>
      <c r="OS214" s="26"/>
      <c r="OT214" s="26"/>
      <c r="OU214" s="26"/>
      <c r="OV214" s="26"/>
      <c r="OW214" s="26"/>
      <c r="OX214" s="26"/>
      <c r="OY214" s="26"/>
      <c r="OZ214" s="26"/>
      <c r="PA214" s="26"/>
      <c r="PB214" s="26"/>
      <c r="PC214" s="26"/>
      <c r="PD214" s="26"/>
      <c r="PE214" s="26"/>
      <c r="PF214" s="26"/>
      <c r="PG214" s="26"/>
      <c r="PH214" s="26"/>
      <c r="PI214" s="26"/>
      <c r="PJ214" s="26"/>
      <c r="PK214" s="26"/>
      <c r="PL214" s="26"/>
      <c r="PM214" s="26"/>
      <c r="PN214" s="26"/>
      <c r="PO214" s="26"/>
      <c r="PP214" s="26"/>
      <c r="PQ214" s="26"/>
      <c r="PR214" s="26"/>
      <c r="PS214" s="26"/>
      <c r="PT214" s="26"/>
      <c r="PU214" s="26"/>
      <c r="PV214" s="26"/>
      <c r="PW214" s="26"/>
      <c r="PX214" s="26"/>
      <c r="PY214" s="26"/>
      <c r="PZ214" s="26"/>
      <c r="QA214" s="26"/>
      <c r="QB214" s="26"/>
      <c r="QC214" s="26"/>
      <c r="QD214" s="26"/>
      <c r="QE214" s="26"/>
      <c r="QF214" s="26"/>
      <c r="QG214" s="26"/>
      <c r="QH214" s="26"/>
      <c r="QI214" s="26"/>
      <c r="QJ214" s="26"/>
      <c r="QK214" s="26"/>
      <c r="QL214" s="26"/>
      <c r="QM214" s="26"/>
      <c r="QN214" s="26"/>
      <c r="QO214" s="26"/>
      <c r="QP214" s="26"/>
      <c r="QQ214" s="26"/>
      <c r="QR214" s="26"/>
      <c r="QS214" s="26"/>
      <c r="QT214" s="26"/>
      <c r="QU214" s="26"/>
      <c r="QV214" s="26"/>
      <c r="QW214" s="26"/>
      <c r="QX214" s="26"/>
      <c r="QY214" s="26"/>
      <c r="QZ214" s="26"/>
      <c r="RA214" s="26"/>
      <c r="RB214" s="26"/>
      <c r="RC214" s="26"/>
      <c r="RD214" s="26"/>
      <c r="RE214" s="26"/>
      <c r="RF214" s="26"/>
      <c r="RG214" s="26"/>
      <c r="RH214" s="26"/>
      <c r="RI214" s="26"/>
      <c r="RJ214" s="26"/>
      <c r="RK214" s="26"/>
      <c r="RL214" s="26"/>
      <c r="RM214" s="26"/>
      <c r="RN214" s="26"/>
      <c r="RO214" s="26"/>
      <c r="RP214" s="26"/>
      <c r="RQ214" s="26"/>
      <c r="RR214" s="26"/>
      <c r="RS214" s="26"/>
      <c r="RT214" s="26"/>
      <c r="RU214" s="26"/>
      <c r="RV214" s="26"/>
      <c r="RW214" s="26"/>
      <c r="RX214" s="26"/>
      <c r="RY214" s="26"/>
      <c r="RZ214" s="26"/>
      <c r="SA214" s="26"/>
      <c r="SB214" s="26"/>
      <c r="SC214" s="26"/>
      <c r="SD214" s="26"/>
      <c r="SE214" s="26"/>
      <c r="SF214" s="26"/>
      <c r="SG214" s="26"/>
      <c r="SH214" s="26"/>
      <c r="SI214" s="26"/>
      <c r="SJ214" s="26"/>
      <c r="SK214" s="26"/>
      <c r="SL214" s="26"/>
      <c r="SM214" s="26"/>
      <c r="SN214" s="26"/>
      <c r="SO214" s="26"/>
      <c r="SP214" s="26"/>
      <c r="SQ214" s="26"/>
      <c r="SR214" s="26"/>
      <c r="SS214" s="26"/>
      <c r="ST214" s="26"/>
      <c r="SU214" s="26"/>
      <c r="SV214" s="26"/>
      <c r="SW214" s="26"/>
      <c r="SX214" s="26"/>
      <c r="SY214" s="26"/>
      <c r="SZ214" s="26"/>
      <c r="TA214" s="26"/>
      <c r="TB214" s="26"/>
      <c r="TC214" s="26"/>
      <c r="TD214" s="26"/>
      <c r="TE214" s="26"/>
      <c r="TF214" s="26"/>
      <c r="TG214" s="26"/>
      <c r="TH214" s="26"/>
      <c r="TI214" s="26"/>
    </row>
    <row r="215" spans="1:529" s="23" customFormat="1" ht="31.5" customHeight="1" x14ac:dyDescent="0.25">
      <c r="A215" s="52" t="s">
        <v>435</v>
      </c>
      <c r="B215" s="45" t="str">
        <f>'дод 4'!A181</f>
        <v>8110</v>
      </c>
      <c r="C215" s="45" t="str">
        <f>'дод 4'!B181</f>
        <v>0320</v>
      </c>
      <c r="D215" s="125" t="str">
        <f>'дод 4'!C181</f>
        <v>Заходи із запобігання та ліквідації надзвичайних ситуацій та наслідків стихійного лиха</v>
      </c>
      <c r="E215" s="66">
        <f t="shared" ref="E215" si="99">F215+I215</f>
        <v>2088318</v>
      </c>
      <c r="F215" s="66">
        <f>1610000+1443000-64682-900000</f>
        <v>2088318</v>
      </c>
      <c r="G215" s="66"/>
      <c r="H215" s="66">
        <v>48000</v>
      </c>
      <c r="I215" s="66"/>
      <c r="J215" s="66">
        <f t="shared" ref="J215" si="100">L215+O215</f>
        <v>0</v>
      </c>
      <c r="K215" s="66"/>
      <c r="L215" s="66"/>
      <c r="M215" s="66"/>
      <c r="N215" s="66"/>
      <c r="O215" s="66"/>
      <c r="P215" s="66">
        <f t="shared" ref="P215" si="101">E215+J215</f>
        <v>2088318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  <c r="JK215" s="26"/>
      <c r="JL215" s="26"/>
      <c r="JM215" s="26"/>
      <c r="JN215" s="26"/>
      <c r="JO215" s="26"/>
      <c r="JP215" s="26"/>
      <c r="JQ215" s="26"/>
      <c r="JR215" s="26"/>
      <c r="JS215" s="26"/>
      <c r="JT215" s="26"/>
      <c r="JU215" s="26"/>
      <c r="JV215" s="26"/>
      <c r="JW215" s="26"/>
      <c r="JX215" s="26"/>
      <c r="JY215" s="26"/>
      <c r="JZ215" s="26"/>
      <c r="KA215" s="26"/>
      <c r="KB215" s="26"/>
      <c r="KC215" s="26"/>
      <c r="KD215" s="26"/>
      <c r="KE215" s="26"/>
      <c r="KF215" s="26"/>
      <c r="KG215" s="26"/>
      <c r="KH215" s="26"/>
      <c r="KI215" s="26"/>
      <c r="KJ215" s="26"/>
      <c r="KK215" s="26"/>
      <c r="KL215" s="26"/>
      <c r="KM215" s="26"/>
      <c r="KN215" s="26"/>
      <c r="KO215" s="26"/>
      <c r="KP215" s="26"/>
      <c r="KQ215" s="26"/>
      <c r="KR215" s="26"/>
      <c r="KS215" s="26"/>
      <c r="KT215" s="26"/>
      <c r="KU215" s="26"/>
      <c r="KV215" s="26"/>
      <c r="KW215" s="26"/>
      <c r="KX215" s="26"/>
      <c r="KY215" s="26"/>
      <c r="KZ215" s="26"/>
      <c r="LA215" s="26"/>
      <c r="LB215" s="26"/>
      <c r="LC215" s="26"/>
      <c r="LD215" s="26"/>
      <c r="LE215" s="26"/>
      <c r="LF215" s="26"/>
      <c r="LG215" s="26"/>
      <c r="LH215" s="26"/>
      <c r="LI215" s="26"/>
      <c r="LJ215" s="26"/>
      <c r="LK215" s="26"/>
      <c r="LL215" s="26"/>
      <c r="LM215" s="26"/>
      <c r="LN215" s="26"/>
      <c r="LO215" s="26"/>
      <c r="LP215" s="26"/>
      <c r="LQ215" s="26"/>
      <c r="LR215" s="26"/>
      <c r="LS215" s="26"/>
      <c r="LT215" s="26"/>
      <c r="LU215" s="26"/>
      <c r="LV215" s="26"/>
      <c r="LW215" s="26"/>
      <c r="LX215" s="26"/>
      <c r="LY215" s="26"/>
      <c r="LZ215" s="26"/>
      <c r="MA215" s="26"/>
      <c r="MB215" s="26"/>
      <c r="MC215" s="26"/>
      <c r="MD215" s="26"/>
      <c r="ME215" s="26"/>
      <c r="MF215" s="26"/>
      <c r="MG215" s="26"/>
      <c r="MH215" s="26"/>
      <c r="MI215" s="26"/>
      <c r="MJ215" s="26"/>
      <c r="MK215" s="26"/>
      <c r="ML215" s="26"/>
      <c r="MM215" s="26"/>
      <c r="MN215" s="26"/>
      <c r="MO215" s="26"/>
      <c r="MP215" s="26"/>
      <c r="MQ215" s="26"/>
      <c r="MR215" s="26"/>
      <c r="MS215" s="26"/>
      <c r="MT215" s="26"/>
      <c r="MU215" s="26"/>
      <c r="MV215" s="26"/>
      <c r="MW215" s="26"/>
      <c r="MX215" s="26"/>
      <c r="MY215" s="26"/>
      <c r="MZ215" s="26"/>
      <c r="NA215" s="26"/>
      <c r="NB215" s="26"/>
      <c r="NC215" s="26"/>
      <c r="ND215" s="26"/>
      <c r="NE215" s="26"/>
      <c r="NF215" s="26"/>
      <c r="NG215" s="26"/>
      <c r="NH215" s="26"/>
      <c r="NI215" s="26"/>
      <c r="NJ215" s="26"/>
      <c r="NK215" s="26"/>
      <c r="NL215" s="26"/>
      <c r="NM215" s="26"/>
      <c r="NN215" s="26"/>
      <c r="NO215" s="26"/>
      <c r="NP215" s="26"/>
      <c r="NQ215" s="26"/>
      <c r="NR215" s="26"/>
      <c r="NS215" s="26"/>
      <c r="NT215" s="26"/>
      <c r="NU215" s="26"/>
      <c r="NV215" s="26"/>
      <c r="NW215" s="26"/>
      <c r="NX215" s="26"/>
      <c r="NY215" s="26"/>
      <c r="NZ215" s="26"/>
      <c r="OA215" s="26"/>
      <c r="OB215" s="26"/>
      <c r="OC215" s="26"/>
      <c r="OD215" s="26"/>
      <c r="OE215" s="26"/>
      <c r="OF215" s="26"/>
      <c r="OG215" s="26"/>
      <c r="OH215" s="26"/>
      <c r="OI215" s="26"/>
      <c r="OJ215" s="26"/>
      <c r="OK215" s="26"/>
      <c r="OL215" s="26"/>
      <c r="OM215" s="26"/>
      <c r="ON215" s="26"/>
      <c r="OO215" s="26"/>
      <c r="OP215" s="26"/>
      <c r="OQ215" s="26"/>
      <c r="OR215" s="26"/>
      <c r="OS215" s="26"/>
      <c r="OT215" s="26"/>
      <c r="OU215" s="26"/>
      <c r="OV215" s="26"/>
      <c r="OW215" s="26"/>
      <c r="OX215" s="26"/>
      <c r="OY215" s="26"/>
      <c r="OZ215" s="26"/>
      <c r="PA215" s="26"/>
      <c r="PB215" s="26"/>
      <c r="PC215" s="26"/>
      <c r="PD215" s="26"/>
      <c r="PE215" s="26"/>
      <c r="PF215" s="26"/>
      <c r="PG215" s="26"/>
      <c r="PH215" s="26"/>
      <c r="PI215" s="26"/>
      <c r="PJ215" s="26"/>
      <c r="PK215" s="26"/>
      <c r="PL215" s="26"/>
      <c r="PM215" s="26"/>
      <c r="PN215" s="26"/>
      <c r="PO215" s="26"/>
      <c r="PP215" s="26"/>
      <c r="PQ215" s="26"/>
      <c r="PR215" s="26"/>
      <c r="PS215" s="26"/>
      <c r="PT215" s="26"/>
      <c r="PU215" s="26"/>
      <c r="PV215" s="26"/>
      <c r="PW215" s="26"/>
      <c r="PX215" s="26"/>
      <c r="PY215" s="26"/>
      <c r="PZ215" s="26"/>
      <c r="QA215" s="26"/>
      <c r="QB215" s="26"/>
      <c r="QC215" s="26"/>
      <c r="QD215" s="26"/>
      <c r="QE215" s="26"/>
      <c r="QF215" s="26"/>
      <c r="QG215" s="26"/>
      <c r="QH215" s="26"/>
      <c r="QI215" s="26"/>
      <c r="QJ215" s="26"/>
      <c r="QK215" s="26"/>
      <c r="QL215" s="26"/>
      <c r="QM215" s="26"/>
      <c r="QN215" s="26"/>
      <c r="QO215" s="26"/>
      <c r="QP215" s="26"/>
      <c r="QQ215" s="26"/>
      <c r="QR215" s="26"/>
      <c r="QS215" s="26"/>
      <c r="QT215" s="26"/>
      <c r="QU215" s="26"/>
      <c r="QV215" s="26"/>
      <c r="QW215" s="26"/>
      <c r="QX215" s="26"/>
      <c r="QY215" s="26"/>
      <c r="QZ215" s="26"/>
      <c r="RA215" s="26"/>
      <c r="RB215" s="26"/>
      <c r="RC215" s="26"/>
      <c r="RD215" s="26"/>
      <c r="RE215" s="26"/>
      <c r="RF215" s="26"/>
      <c r="RG215" s="26"/>
      <c r="RH215" s="26"/>
      <c r="RI215" s="26"/>
      <c r="RJ215" s="26"/>
      <c r="RK215" s="26"/>
      <c r="RL215" s="26"/>
      <c r="RM215" s="26"/>
      <c r="RN215" s="26"/>
      <c r="RO215" s="26"/>
      <c r="RP215" s="26"/>
      <c r="RQ215" s="26"/>
      <c r="RR215" s="26"/>
      <c r="RS215" s="26"/>
      <c r="RT215" s="26"/>
      <c r="RU215" s="26"/>
      <c r="RV215" s="26"/>
      <c r="RW215" s="26"/>
      <c r="RX215" s="26"/>
      <c r="RY215" s="26"/>
      <c r="RZ215" s="26"/>
      <c r="SA215" s="26"/>
      <c r="SB215" s="26"/>
      <c r="SC215" s="26"/>
      <c r="SD215" s="26"/>
      <c r="SE215" s="26"/>
      <c r="SF215" s="26"/>
      <c r="SG215" s="26"/>
      <c r="SH215" s="26"/>
      <c r="SI215" s="26"/>
      <c r="SJ215" s="26"/>
      <c r="SK215" s="26"/>
      <c r="SL215" s="26"/>
      <c r="SM215" s="26"/>
      <c r="SN215" s="26"/>
      <c r="SO215" s="26"/>
      <c r="SP215" s="26"/>
      <c r="SQ215" s="26"/>
      <c r="SR215" s="26"/>
      <c r="SS215" s="26"/>
      <c r="ST215" s="26"/>
      <c r="SU215" s="26"/>
      <c r="SV215" s="26"/>
      <c r="SW215" s="26"/>
      <c r="SX215" s="26"/>
      <c r="SY215" s="26"/>
      <c r="SZ215" s="26"/>
      <c r="TA215" s="26"/>
      <c r="TB215" s="26"/>
      <c r="TC215" s="26"/>
      <c r="TD215" s="26"/>
      <c r="TE215" s="26"/>
      <c r="TF215" s="26"/>
      <c r="TG215" s="26"/>
      <c r="TH215" s="26"/>
      <c r="TI215" s="26"/>
    </row>
    <row r="216" spans="1:529" s="23" customFormat="1" x14ac:dyDescent="0.25">
      <c r="A216" s="52" t="s">
        <v>433</v>
      </c>
      <c r="B216" s="45" t="str">
        <f>'дод 4'!A185</f>
        <v>8230</v>
      </c>
      <c r="C216" s="45" t="str">
        <f>'дод 4'!B185</f>
        <v>0380</v>
      </c>
      <c r="D216" s="125" t="str">
        <f>'дод 4'!C185</f>
        <v>Інші заходи громадського порядку та безпеки</v>
      </c>
      <c r="E216" s="66">
        <f t="shared" ref="E216" si="102">F216+I216</f>
        <v>0</v>
      </c>
      <c r="F216" s="66"/>
      <c r="G216" s="66"/>
      <c r="H216" s="66"/>
      <c r="I216" s="66"/>
      <c r="J216" s="66">
        <f t="shared" ref="J216" si="103">L216+O216</f>
        <v>0</v>
      </c>
      <c r="K216" s="66"/>
      <c r="L216" s="66"/>
      <c r="M216" s="66"/>
      <c r="N216" s="66"/>
      <c r="O216" s="66"/>
      <c r="P216" s="66">
        <f t="shared" ref="P216" si="104">E216+J216</f>
        <v>0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  <c r="IW216" s="26"/>
      <c r="IX216" s="26"/>
      <c r="IY216" s="26"/>
      <c r="IZ216" s="26"/>
      <c r="JA216" s="26"/>
      <c r="JB216" s="26"/>
      <c r="JC216" s="26"/>
      <c r="JD216" s="26"/>
      <c r="JE216" s="26"/>
      <c r="JF216" s="26"/>
      <c r="JG216" s="26"/>
      <c r="JH216" s="26"/>
      <c r="JI216" s="26"/>
      <c r="JJ216" s="26"/>
      <c r="JK216" s="26"/>
      <c r="JL216" s="26"/>
      <c r="JM216" s="26"/>
      <c r="JN216" s="26"/>
      <c r="JO216" s="26"/>
      <c r="JP216" s="26"/>
      <c r="JQ216" s="26"/>
      <c r="JR216" s="26"/>
      <c r="JS216" s="26"/>
      <c r="JT216" s="26"/>
      <c r="JU216" s="26"/>
      <c r="JV216" s="26"/>
      <c r="JW216" s="26"/>
      <c r="JX216" s="26"/>
      <c r="JY216" s="26"/>
      <c r="JZ216" s="26"/>
      <c r="KA216" s="26"/>
      <c r="KB216" s="26"/>
      <c r="KC216" s="26"/>
      <c r="KD216" s="26"/>
      <c r="KE216" s="26"/>
      <c r="KF216" s="26"/>
      <c r="KG216" s="26"/>
      <c r="KH216" s="26"/>
      <c r="KI216" s="26"/>
      <c r="KJ216" s="26"/>
      <c r="KK216" s="26"/>
      <c r="KL216" s="26"/>
      <c r="KM216" s="26"/>
      <c r="KN216" s="26"/>
      <c r="KO216" s="26"/>
      <c r="KP216" s="26"/>
      <c r="KQ216" s="26"/>
      <c r="KR216" s="26"/>
      <c r="KS216" s="26"/>
      <c r="KT216" s="26"/>
      <c r="KU216" s="26"/>
      <c r="KV216" s="26"/>
      <c r="KW216" s="26"/>
      <c r="KX216" s="26"/>
      <c r="KY216" s="26"/>
      <c r="KZ216" s="26"/>
      <c r="LA216" s="26"/>
      <c r="LB216" s="26"/>
      <c r="LC216" s="26"/>
      <c r="LD216" s="26"/>
      <c r="LE216" s="26"/>
      <c r="LF216" s="26"/>
      <c r="LG216" s="26"/>
      <c r="LH216" s="26"/>
      <c r="LI216" s="26"/>
      <c r="LJ216" s="26"/>
      <c r="LK216" s="26"/>
      <c r="LL216" s="26"/>
      <c r="LM216" s="26"/>
      <c r="LN216" s="26"/>
      <c r="LO216" s="26"/>
      <c r="LP216" s="26"/>
      <c r="LQ216" s="26"/>
      <c r="LR216" s="26"/>
      <c r="LS216" s="26"/>
      <c r="LT216" s="26"/>
      <c r="LU216" s="26"/>
      <c r="LV216" s="26"/>
      <c r="LW216" s="26"/>
      <c r="LX216" s="26"/>
      <c r="LY216" s="26"/>
      <c r="LZ216" s="26"/>
      <c r="MA216" s="26"/>
      <c r="MB216" s="26"/>
      <c r="MC216" s="26"/>
      <c r="MD216" s="26"/>
      <c r="ME216" s="26"/>
      <c r="MF216" s="26"/>
      <c r="MG216" s="26"/>
      <c r="MH216" s="26"/>
      <c r="MI216" s="26"/>
      <c r="MJ216" s="26"/>
      <c r="MK216" s="26"/>
      <c r="ML216" s="26"/>
      <c r="MM216" s="26"/>
      <c r="MN216" s="26"/>
      <c r="MO216" s="26"/>
      <c r="MP216" s="26"/>
      <c r="MQ216" s="26"/>
      <c r="MR216" s="26"/>
      <c r="MS216" s="26"/>
      <c r="MT216" s="26"/>
      <c r="MU216" s="26"/>
      <c r="MV216" s="26"/>
      <c r="MW216" s="26"/>
      <c r="MX216" s="26"/>
      <c r="MY216" s="26"/>
      <c r="MZ216" s="26"/>
      <c r="NA216" s="26"/>
      <c r="NB216" s="26"/>
      <c r="NC216" s="26"/>
      <c r="ND216" s="26"/>
      <c r="NE216" s="26"/>
      <c r="NF216" s="26"/>
      <c r="NG216" s="26"/>
      <c r="NH216" s="26"/>
      <c r="NI216" s="26"/>
      <c r="NJ216" s="26"/>
      <c r="NK216" s="26"/>
      <c r="NL216" s="26"/>
      <c r="NM216" s="26"/>
      <c r="NN216" s="26"/>
      <c r="NO216" s="26"/>
      <c r="NP216" s="26"/>
      <c r="NQ216" s="26"/>
      <c r="NR216" s="26"/>
      <c r="NS216" s="26"/>
      <c r="NT216" s="26"/>
      <c r="NU216" s="26"/>
      <c r="NV216" s="26"/>
      <c r="NW216" s="26"/>
      <c r="NX216" s="26"/>
      <c r="NY216" s="26"/>
      <c r="NZ216" s="26"/>
      <c r="OA216" s="26"/>
      <c r="OB216" s="26"/>
      <c r="OC216" s="26"/>
      <c r="OD216" s="26"/>
      <c r="OE216" s="26"/>
      <c r="OF216" s="26"/>
      <c r="OG216" s="26"/>
      <c r="OH216" s="26"/>
      <c r="OI216" s="26"/>
      <c r="OJ216" s="26"/>
      <c r="OK216" s="26"/>
      <c r="OL216" s="26"/>
      <c r="OM216" s="26"/>
      <c r="ON216" s="26"/>
      <c r="OO216" s="26"/>
      <c r="OP216" s="26"/>
      <c r="OQ216" s="26"/>
      <c r="OR216" s="26"/>
      <c r="OS216" s="26"/>
      <c r="OT216" s="26"/>
      <c r="OU216" s="26"/>
      <c r="OV216" s="26"/>
      <c r="OW216" s="26"/>
      <c r="OX216" s="26"/>
      <c r="OY216" s="26"/>
      <c r="OZ216" s="26"/>
      <c r="PA216" s="26"/>
      <c r="PB216" s="26"/>
      <c r="PC216" s="26"/>
      <c r="PD216" s="26"/>
      <c r="PE216" s="26"/>
      <c r="PF216" s="26"/>
      <c r="PG216" s="26"/>
      <c r="PH216" s="26"/>
      <c r="PI216" s="26"/>
      <c r="PJ216" s="26"/>
      <c r="PK216" s="26"/>
      <c r="PL216" s="26"/>
      <c r="PM216" s="26"/>
      <c r="PN216" s="26"/>
      <c r="PO216" s="26"/>
      <c r="PP216" s="26"/>
      <c r="PQ216" s="26"/>
      <c r="PR216" s="26"/>
      <c r="PS216" s="26"/>
      <c r="PT216" s="26"/>
      <c r="PU216" s="26"/>
      <c r="PV216" s="26"/>
      <c r="PW216" s="26"/>
      <c r="PX216" s="26"/>
      <c r="PY216" s="26"/>
      <c r="PZ216" s="26"/>
      <c r="QA216" s="26"/>
      <c r="QB216" s="26"/>
      <c r="QC216" s="26"/>
      <c r="QD216" s="26"/>
      <c r="QE216" s="26"/>
      <c r="QF216" s="26"/>
      <c r="QG216" s="26"/>
      <c r="QH216" s="26"/>
      <c r="QI216" s="26"/>
      <c r="QJ216" s="26"/>
      <c r="QK216" s="26"/>
      <c r="QL216" s="26"/>
      <c r="QM216" s="26"/>
      <c r="QN216" s="26"/>
      <c r="QO216" s="26"/>
      <c r="QP216" s="26"/>
      <c r="QQ216" s="26"/>
      <c r="QR216" s="26"/>
      <c r="QS216" s="26"/>
      <c r="QT216" s="26"/>
      <c r="QU216" s="26"/>
      <c r="QV216" s="26"/>
      <c r="QW216" s="26"/>
      <c r="QX216" s="26"/>
      <c r="QY216" s="26"/>
      <c r="QZ216" s="26"/>
      <c r="RA216" s="26"/>
      <c r="RB216" s="26"/>
      <c r="RC216" s="26"/>
      <c r="RD216" s="26"/>
      <c r="RE216" s="26"/>
      <c r="RF216" s="26"/>
      <c r="RG216" s="26"/>
      <c r="RH216" s="26"/>
      <c r="RI216" s="26"/>
      <c r="RJ216" s="26"/>
      <c r="RK216" s="26"/>
      <c r="RL216" s="26"/>
      <c r="RM216" s="26"/>
      <c r="RN216" s="26"/>
      <c r="RO216" s="26"/>
      <c r="RP216" s="26"/>
      <c r="RQ216" s="26"/>
      <c r="RR216" s="26"/>
      <c r="RS216" s="26"/>
      <c r="RT216" s="26"/>
      <c r="RU216" s="26"/>
      <c r="RV216" s="26"/>
      <c r="RW216" s="26"/>
      <c r="RX216" s="26"/>
      <c r="RY216" s="26"/>
      <c r="RZ216" s="26"/>
      <c r="SA216" s="26"/>
      <c r="SB216" s="26"/>
      <c r="SC216" s="26"/>
      <c r="SD216" s="26"/>
      <c r="SE216" s="26"/>
      <c r="SF216" s="26"/>
      <c r="SG216" s="26"/>
      <c r="SH216" s="26"/>
      <c r="SI216" s="26"/>
      <c r="SJ216" s="26"/>
      <c r="SK216" s="26"/>
      <c r="SL216" s="26"/>
      <c r="SM216" s="26"/>
      <c r="SN216" s="26"/>
      <c r="SO216" s="26"/>
      <c r="SP216" s="26"/>
      <c r="SQ216" s="26"/>
      <c r="SR216" s="26"/>
      <c r="SS216" s="26"/>
      <c r="ST216" s="26"/>
      <c r="SU216" s="26"/>
      <c r="SV216" s="26"/>
      <c r="SW216" s="26"/>
      <c r="SX216" s="26"/>
      <c r="SY216" s="26"/>
      <c r="SZ216" s="26"/>
      <c r="TA216" s="26"/>
      <c r="TB216" s="26"/>
      <c r="TC216" s="26"/>
      <c r="TD216" s="26"/>
      <c r="TE216" s="26"/>
      <c r="TF216" s="26"/>
      <c r="TG216" s="26"/>
      <c r="TH216" s="26"/>
      <c r="TI216" s="26"/>
    </row>
    <row r="217" spans="1:529" s="23" customFormat="1" ht="20.25" customHeight="1" x14ac:dyDescent="0.25">
      <c r="A217" s="43" t="s">
        <v>220</v>
      </c>
      <c r="B217" s="44" t="str">
        <f>'дод 4'!A188</f>
        <v>8340</v>
      </c>
      <c r="C217" s="44" t="str">
        <f>'дод 4'!B188</f>
        <v>0540</v>
      </c>
      <c r="D217" s="24" t="str">
        <f>'дод 4'!C188</f>
        <v>Природоохоронні заходи за рахунок цільових фондів</v>
      </c>
      <c r="E217" s="66">
        <f t="shared" si="90"/>
        <v>0</v>
      </c>
      <c r="F217" s="66"/>
      <c r="G217" s="66"/>
      <c r="H217" s="66"/>
      <c r="I217" s="66"/>
      <c r="J217" s="66">
        <f t="shared" si="92"/>
        <v>5599043.4500000002</v>
      </c>
      <c r="K217" s="66"/>
      <c r="L217" s="66">
        <f>1870000-540000</f>
        <v>1330000</v>
      </c>
      <c r="M217" s="66"/>
      <c r="N217" s="66">
        <f>540000-540000</f>
        <v>0</v>
      </c>
      <c r="O217" s="66">
        <f>1946500+1782543.45+540000</f>
        <v>4269043.45</v>
      </c>
      <c r="P217" s="66">
        <f t="shared" si="91"/>
        <v>5599043.4500000002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  <c r="IW217" s="26"/>
      <c r="IX217" s="26"/>
      <c r="IY217" s="26"/>
      <c r="IZ217" s="26"/>
      <c r="JA217" s="26"/>
      <c r="JB217" s="26"/>
      <c r="JC217" s="26"/>
      <c r="JD217" s="26"/>
      <c r="JE217" s="26"/>
      <c r="JF217" s="26"/>
      <c r="JG217" s="26"/>
      <c r="JH217" s="26"/>
      <c r="JI217" s="26"/>
      <c r="JJ217" s="26"/>
      <c r="JK217" s="26"/>
      <c r="JL217" s="26"/>
      <c r="JM217" s="26"/>
      <c r="JN217" s="26"/>
      <c r="JO217" s="26"/>
      <c r="JP217" s="26"/>
      <c r="JQ217" s="26"/>
      <c r="JR217" s="26"/>
      <c r="JS217" s="26"/>
      <c r="JT217" s="26"/>
      <c r="JU217" s="26"/>
      <c r="JV217" s="26"/>
      <c r="JW217" s="26"/>
      <c r="JX217" s="26"/>
      <c r="JY217" s="26"/>
      <c r="JZ217" s="26"/>
      <c r="KA217" s="26"/>
      <c r="KB217" s="26"/>
      <c r="KC217" s="26"/>
      <c r="KD217" s="26"/>
      <c r="KE217" s="26"/>
      <c r="KF217" s="26"/>
      <c r="KG217" s="26"/>
      <c r="KH217" s="26"/>
      <c r="KI217" s="26"/>
      <c r="KJ217" s="26"/>
      <c r="KK217" s="26"/>
      <c r="KL217" s="26"/>
      <c r="KM217" s="26"/>
      <c r="KN217" s="26"/>
      <c r="KO217" s="26"/>
      <c r="KP217" s="26"/>
      <c r="KQ217" s="26"/>
      <c r="KR217" s="26"/>
      <c r="KS217" s="26"/>
      <c r="KT217" s="26"/>
      <c r="KU217" s="26"/>
      <c r="KV217" s="26"/>
      <c r="KW217" s="26"/>
      <c r="KX217" s="26"/>
      <c r="KY217" s="26"/>
      <c r="KZ217" s="26"/>
      <c r="LA217" s="26"/>
      <c r="LB217" s="26"/>
      <c r="LC217" s="26"/>
      <c r="LD217" s="26"/>
      <c r="LE217" s="26"/>
      <c r="LF217" s="26"/>
      <c r="LG217" s="26"/>
      <c r="LH217" s="26"/>
      <c r="LI217" s="26"/>
      <c r="LJ217" s="26"/>
      <c r="LK217" s="26"/>
      <c r="LL217" s="26"/>
      <c r="LM217" s="26"/>
      <c r="LN217" s="26"/>
      <c r="LO217" s="26"/>
      <c r="LP217" s="26"/>
      <c r="LQ217" s="26"/>
      <c r="LR217" s="26"/>
      <c r="LS217" s="26"/>
      <c r="LT217" s="26"/>
      <c r="LU217" s="26"/>
      <c r="LV217" s="26"/>
      <c r="LW217" s="26"/>
      <c r="LX217" s="26"/>
      <c r="LY217" s="26"/>
      <c r="LZ217" s="26"/>
      <c r="MA217" s="26"/>
      <c r="MB217" s="26"/>
      <c r="MC217" s="26"/>
      <c r="MD217" s="26"/>
      <c r="ME217" s="26"/>
      <c r="MF217" s="26"/>
      <c r="MG217" s="26"/>
      <c r="MH217" s="26"/>
      <c r="MI217" s="26"/>
      <c r="MJ217" s="26"/>
      <c r="MK217" s="26"/>
      <c r="ML217" s="26"/>
      <c r="MM217" s="26"/>
      <c r="MN217" s="26"/>
      <c r="MO217" s="26"/>
      <c r="MP217" s="26"/>
      <c r="MQ217" s="26"/>
      <c r="MR217" s="26"/>
      <c r="MS217" s="26"/>
      <c r="MT217" s="26"/>
      <c r="MU217" s="26"/>
      <c r="MV217" s="26"/>
      <c r="MW217" s="26"/>
      <c r="MX217" s="26"/>
      <c r="MY217" s="26"/>
      <c r="MZ217" s="26"/>
      <c r="NA217" s="26"/>
      <c r="NB217" s="26"/>
      <c r="NC217" s="26"/>
      <c r="ND217" s="26"/>
      <c r="NE217" s="26"/>
      <c r="NF217" s="26"/>
      <c r="NG217" s="26"/>
      <c r="NH217" s="26"/>
      <c r="NI217" s="26"/>
      <c r="NJ217" s="26"/>
      <c r="NK217" s="26"/>
      <c r="NL217" s="26"/>
      <c r="NM217" s="26"/>
      <c r="NN217" s="26"/>
      <c r="NO217" s="26"/>
      <c r="NP217" s="26"/>
      <c r="NQ217" s="26"/>
      <c r="NR217" s="26"/>
      <c r="NS217" s="26"/>
      <c r="NT217" s="26"/>
      <c r="NU217" s="26"/>
      <c r="NV217" s="26"/>
      <c r="NW217" s="26"/>
      <c r="NX217" s="26"/>
      <c r="NY217" s="26"/>
      <c r="NZ217" s="26"/>
      <c r="OA217" s="26"/>
      <c r="OB217" s="26"/>
      <c r="OC217" s="26"/>
      <c r="OD217" s="26"/>
      <c r="OE217" s="26"/>
      <c r="OF217" s="26"/>
      <c r="OG217" s="26"/>
      <c r="OH217" s="26"/>
      <c r="OI217" s="26"/>
      <c r="OJ217" s="26"/>
      <c r="OK217" s="26"/>
      <c r="OL217" s="26"/>
      <c r="OM217" s="26"/>
      <c r="ON217" s="26"/>
      <c r="OO217" s="26"/>
      <c r="OP217" s="26"/>
      <c r="OQ217" s="26"/>
      <c r="OR217" s="26"/>
      <c r="OS217" s="26"/>
      <c r="OT217" s="26"/>
      <c r="OU217" s="26"/>
      <c r="OV217" s="26"/>
      <c r="OW217" s="26"/>
      <c r="OX217" s="26"/>
      <c r="OY217" s="26"/>
      <c r="OZ217" s="26"/>
      <c r="PA217" s="26"/>
      <c r="PB217" s="26"/>
      <c r="PC217" s="26"/>
      <c r="PD217" s="26"/>
      <c r="PE217" s="26"/>
      <c r="PF217" s="26"/>
      <c r="PG217" s="26"/>
      <c r="PH217" s="26"/>
      <c r="PI217" s="26"/>
      <c r="PJ217" s="26"/>
      <c r="PK217" s="26"/>
      <c r="PL217" s="26"/>
      <c r="PM217" s="26"/>
      <c r="PN217" s="26"/>
      <c r="PO217" s="26"/>
      <c r="PP217" s="26"/>
      <c r="PQ217" s="26"/>
      <c r="PR217" s="26"/>
      <c r="PS217" s="26"/>
      <c r="PT217" s="26"/>
      <c r="PU217" s="26"/>
      <c r="PV217" s="26"/>
      <c r="PW217" s="26"/>
      <c r="PX217" s="26"/>
      <c r="PY217" s="26"/>
      <c r="PZ217" s="26"/>
      <c r="QA217" s="26"/>
      <c r="QB217" s="26"/>
      <c r="QC217" s="26"/>
      <c r="QD217" s="26"/>
      <c r="QE217" s="26"/>
      <c r="QF217" s="26"/>
      <c r="QG217" s="26"/>
      <c r="QH217" s="26"/>
      <c r="QI217" s="26"/>
      <c r="QJ217" s="26"/>
      <c r="QK217" s="26"/>
      <c r="QL217" s="26"/>
      <c r="QM217" s="26"/>
      <c r="QN217" s="26"/>
      <c r="QO217" s="26"/>
      <c r="QP217" s="26"/>
      <c r="QQ217" s="26"/>
      <c r="QR217" s="26"/>
      <c r="QS217" s="26"/>
      <c r="QT217" s="26"/>
      <c r="QU217" s="26"/>
      <c r="QV217" s="26"/>
      <c r="QW217" s="26"/>
      <c r="QX217" s="26"/>
      <c r="QY217" s="26"/>
      <c r="QZ217" s="26"/>
      <c r="RA217" s="26"/>
      <c r="RB217" s="26"/>
      <c r="RC217" s="26"/>
      <c r="RD217" s="26"/>
      <c r="RE217" s="26"/>
      <c r="RF217" s="26"/>
      <c r="RG217" s="26"/>
      <c r="RH217" s="26"/>
      <c r="RI217" s="26"/>
      <c r="RJ217" s="26"/>
      <c r="RK217" s="26"/>
      <c r="RL217" s="26"/>
      <c r="RM217" s="26"/>
      <c r="RN217" s="26"/>
      <c r="RO217" s="26"/>
      <c r="RP217" s="26"/>
      <c r="RQ217" s="26"/>
      <c r="RR217" s="26"/>
      <c r="RS217" s="26"/>
      <c r="RT217" s="26"/>
      <c r="RU217" s="26"/>
      <c r="RV217" s="26"/>
      <c r="RW217" s="26"/>
      <c r="RX217" s="26"/>
      <c r="RY217" s="26"/>
      <c r="RZ217" s="26"/>
      <c r="SA217" s="26"/>
      <c r="SB217" s="26"/>
      <c r="SC217" s="26"/>
      <c r="SD217" s="26"/>
      <c r="SE217" s="26"/>
      <c r="SF217" s="26"/>
      <c r="SG217" s="26"/>
      <c r="SH217" s="26"/>
      <c r="SI217" s="26"/>
      <c r="SJ217" s="26"/>
      <c r="SK217" s="26"/>
      <c r="SL217" s="26"/>
      <c r="SM217" s="26"/>
      <c r="SN217" s="26"/>
      <c r="SO217" s="26"/>
      <c r="SP217" s="26"/>
      <c r="SQ217" s="26"/>
      <c r="SR217" s="26"/>
      <c r="SS217" s="26"/>
      <c r="ST217" s="26"/>
      <c r="SU217" s="26"/>
      <c r="SV217" s="26"/>
      <c r="SW217" s="26"/>
      <c r="SX217" s="26"/>
      <c r="SY217" s="26"/>
      <c r="SZ217" s="26"/>
      <c r="TA217" s="26"/>
      <c r="TB217" s="26"/>
      <c r="TC217" s="26"/>
      <c r="TD217" s="26"/>
      <c r="TE217" s="26"/>
      <c r="TF217" s="26"/>
      <c r="TG217" s="26"/>
      <c r="TH217" s="26"/>
      <c r="TI217" s="26"/>
    </row>
    <row r="218" spans="1:529" s="23" customFormat="1" ht="20.25" customHeight="1" x14ac:dyDescent="0.25">
      <c r="A218" s="43" t="s">
        <v>221</v>
      </c>
      <c r="B218" s="44" t="str">
        <f>'дод 4'!A201</f>
        <v>9770</v>
      </c>
      <c r="C218" s="44" t="str">
        <f>'дод 4'!B201</f>
        <v>0180</v>
      </c>
      <c r="D218" s="24" t="str">
        <f>'дод 4'!C201</f>
        <v>Інші субвенції з місцевого бюджету</v>
      </c>
      <c r="E218" s="66">
        <f t="shared" si="90"/>
        <v>368000</v>
      </c>
      <c r="F218" s="66">
        <v>368000</v>
      </c>
      <c r="G218" s="66"/>
      <c r="H218" s="66"/>
      <c r="I218" s="66"/>
      <c r="J218" s="66">
        <f t="shared" si="92"/>
        <v>7632000</v>
      </c>
      <c r="K218" s="66">
        <f>8000000-368000</f>
        <v>7632000</v>
      </c>
      <c r="L218" s="66"/>
      <c r="M218" s="66"/>
      <c r="N218" s="66"/>
      <c r="O218" s="66">
        <f>8000000-368000</f>
        <v>7632000</v>
      </c>
      <c r="P218" s="66">
        <f t="shared" si="91"/>
        <v>8000000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  <c r="IW218" s="26"/>
      <c r="IX218" s="26"/>
      <c r="IY218" s="26"/>
      <c r="IZ218" s="26"/>
      <c r="JA218" s="26"/>
      <c r="JB218" s="26"/>
      <c r="JC218" s="26"/>
      <c r="JD218" s="26"/>
      <c r="JE218" s="26"/>
      <c r="JF218" s="26"/>
      <c r="JG218" s="26"/>
      <c r="JH218" s="26"/>
      <c r="JI218" s="26"/>
      <c r="JJ218" s="26"/>
      <c r="JK218" s="26"/>
      <c r="JL218" s="26"/>
      <c r="JM218" s="26"/>
      <c r="JN218" s="26"/>
      <c r="JO218" s="26"/>
      <c r="JP218" s="26"/>
      <c r="JQ218" s="26"/>
      <c r="JR218" s="26"/>
      <c r="JS218" s="26"/>
      <c r="JT218" s="26"/>
      <c r="JU218" s="26"/>
      <c r="JV218" s="26"/>
      <c r="JW218" s="26"/>
      <c r="JX218" s="26"/>
      <c r="JY218" s="26"/>
      <c r="JZ218" s="26"/>
      <c r="KA218" s="26"/>
      <c r="KB218" s="26"/>
      <c r="KC218" s="26"/>
      <c r="KD218" s="26"/>
      <c r="KE218" s="26"/>
      <c r="KF218" s="26"/>
      <c r="KG218" s="26"/>
      <c r="KH218" s="26"/>
      <c r="KI218" s="26"/>
      <c r="KJ218" s="26"/>
      <c r="KK218" s="26"/>
      <c r="KL218" s="26"/>
      <c r="KM218" s="26"/>
      <c r="KN218" s="26"/>
      <c r="KO218" s="26"/>
      <c r="KP218" s="26"/>
      <c r="KQ218" s="26"/>
      <c r="KR218" s="26"/>
      <c r="KS218" s="26"/>
      <c r="KT218" s="26"/>
      <c r="KU218" s="26"/>
      <c r="KV218" s="26"/>
      <c r="KW218" s="26"/>
      <c r="KX218" s="26"/>
      <c r="KY218" s="26"/>
      <c r="KZ218" s="26"/>
      <c r="LA218" s="26"/>
      <c r="LB218" s="26"/>
      <c r="LC218" s="26"/>
      <c r="LD218" s="26"/>
      <c r="LE218" s="26"/>
      <c r="LF218" s="26"/>
      <c r="LG218" s="26"/>
      <c r="LH218" s="26"/>
      <c r="LI218" s="26"/>
      <c r="LJ218" s="26"/>
      <c r="LK218" s="26"/>
      <c r="LL218" s="26"/>
      <c r="LM218" s="26"/>
      <c r="LN218" s="26"/>
      <c r="LO218" s="26"/>
      <c r="LP218" s="26"/>
      <c r="LQ218" s="26"/>
      <c r="LR218" s="26"/>
      <c r="LS218" s="26"/>
      <c r="LT218" s="26"/>
      <c r="LU218" s="26"/>
      <c r="LV218" s="26"/>
      <c r="LW218" s="26"/>
      <c r="LX218" s="26"/>
      <c r="LY218" s="26"/>
      <c r="LZ218" s="26"/>
      <c r="MA218" s="26"/>
      <c r="MB218" s="26"/>
      <c r="MC218" s="26"/>
      <c r="MD218" s="26"/>
      <c r="ME218" s="26"/>
      <c r="MF218" s="26"/>
      <c r="MG218" s="26"/>
      <c r="MH218" s="26"/>
      <c r="MI218" s="26"/>
      <c r="MJ218" s="26"/>
      <c r="MK218" s="26"/>
      <c r="ML218" s="26"/>
      <c r="MM218" s="26"/>
      <c r="MN218" s="26"/>
      <c r="MO218" s="26"/>
      <c r="MP218" s="26"/>
      <c r="MQ218" s="26"/>
      <c r="MR218" s="26"/>
      <c r="MS218" s="26"/>
      <c r="MT218" s="26"/>
      <c r="MU218" s="26"/>
      <c r="MV218" s="26"/>
      <c r="MW218" s="26"/>
      <c r="MX218" s="26"/>
      <c r="MY218" s="26"/>
      <c r="MZ218" s="26"/>
      <c r="NA218" s="26"/>
      <c r="NB218" s="26"/>
      <c r="NC218" s="26"/>
      <c r="ND218" s="26"/>
      <c r="NE218" s="26"/>
      <c r="NF218" s="26"/>
      <c r="NG218" s="26"/>
      <c r="NH218" s="26"/>
      <c r="NI218" s="26"/>
      <c r="NJ218" s="26"/>
      <c r="NK218" s="26"/>
      <c r="NL218" s="26"/>
      <c r="NM218" s="26"/>
      <c r="NN218" s="26"/>
      <c r="NO218" s="26"/>
      <c r="NP218" s="26"/>
      <c r="NQ218" s="26"/>
      <c r="NR218" s="26"/>
      <c r="NS218" s="26"/>
      <c r="NT218" s="26"/>
      <c r="NU218" s="26"/>
      <c r="NV218" s="26"/>
      <c r="NW218" s="26"/>
      <c r="NX218" s="26"/>
      <c r="NY218" s="26"/>
      <c r="NZ218" s="26"/>
      <c r="OA218" s="26"/>
      <c r="OB218" s="26"/>
      <c r="OC218" s="26"/>
      <c r="OD218" s="26"/>
      <c r="OE218" s="26"/>
      <c r="OF218" s="26"/>
      <c r="OG218" s="26"/>
      <c r="OH218" s="26"/>
      <c r="OI218" s="26"/>
      <c r="OJ218" s="26"/>
      <c r="OK218" s="26"/>
      <c r="OL218" s="26"/>
      <c r="OM218" s="26"/>
      <c r="ON218" s="26"/>
      <c r="OO218" s="26"/>
      <c r="OP218" s="26"/>
      <c r="OQ218" s="26"/>
      <c r="OR218" s="26"/>
      <c r="OS218" s="26"/>
      <c r="OT218" s="26"/>
      <c r="OU218" s="26"/>
      <c r="OV218" s="26"/>
      <c r="OW218" s="26"/>
      <c r="OX218" s="26"/>
      <c r="OY218" s="26"/>
      <c r="OZ218" s="26"/>
      <c r="PA218" s="26"/>
      <c r="PB218" s="26"/>
      <c r="PC218" s="26"/>
      <c r="PD218" s="26"/>
      <c r="PE218" s="26"/>
      <c r="PF218" s="26"/>
      <c r="PG218" s="26"/>
      <c r="PH218" s="26"/>
      <c r="PI218" s="26"/>
      <c r="PJ218" s="26"/>
      <c r="PK218" s="26"/>
      <c r="PL218" s="26"/>
      <c r="PM218" s="26"/>
      <c r="PN218" s="26"/>
      <c r="PO218" s="26"/>
      <c r="PP218" s="26"/>
      <c r="PQ218" s="26"/>
      <c r="PR218" s="26"/>
      <c r="PS218" s="26"/>
      <c r="PT218" s="26"/>
      <c r="PU218" s="26"/>
      <c r="PV218" s="26"/>
      <c r="PW218" s="26"/>
      <c r="PX218" s="26"/>
      <c r="PY218" s="26"/>
      <c r="PZ218" s="26"/>
      <c r="QA218" s="26"/>
      <c r="QB218" s="26"/>
      <c r="QC218" s="26"/>
      <c r="QD218" s="26"/>
      <c r="QE218" s="26"/>
      <c r="QF218" s="26"/>
      <c r="QG218" s="26"/>
      <c r="QH218" s="26"/>
      <c r="QI218" s="26"/>
      <c r="QJ218" s="26"/>
      <c r="QK218" s="26"/>
      <c r="QL218" s="26"/>
      <c r="QM218" s="26"/>
      <c r="QN218" s="26"/>
      <c r="QO218" s="26"/>
      <c r="QP218" s="26"/>
      <c r="QQ218" s="26"/>
      <c r="QR218" s="26"/>
      <c r="QS218" s="26"/>
      <c r="QT218" s="26"/>
      <c r="QU218" s="26"/>
      <c r="QV218" s="26"/>
      <c r="QW218" s="26"/>
      <c r="QX218" s="26"/>
      <c r="QY218" s="26"/>
      <c r="QZ218" s="26"/>
      <c r="RA218" s="26"/>
      <c r="RB218" s="26"/>
      <c r="RC218" s="26"/>
      <c r="RD218" s="26"/>
      <c r="RE218" s="26"/>
      <c r="RF218" s="26"/>
      <c r="RG218" s="26"/>
      <c r="RH218" s="26"/>
      <c r="RI218" s="26"/>
      <c r="RJ218" s="26"/>
      <c r="RK218" s="26"/>
      <c r="RL218" s="26"/>
      <c r="RM218" s="26"/>
      <c r="RN218" s="26"/>
      <c r="RO218" s="26"/>
      <c r="RP218" s="26"/>
      <c r="RQ218" s="26"/>
      <c r="RR218" s="26"/>
      <c r="RS218" s="26"/>
      <c r="RT218" s="26"/>
      <c r="RU218" s="26"/>
      <c r="RV218" s="26"/>
      <c r="RW218" s="26"/>
      <c r="RX218" s="26"/>
      <c r="RY218" s="26"/>
      <c r="RZ218" s="26"/>
      <c r="SA218" s="26"/>
      <c r="SB218" s="26"/>
      <c r="SC218" s="26"/>
      <c r="SD218" s="26"/>
      <c r="SE218" s="26"/>
      <c r="SF218" s="26"/>
      <c r="SG218" s="26"/>
      <c r="SH218" s="26"/>
      <c r="SI218" s="26"/>
      <c r="SJ218" s="26"/>
      <c r="SK218" s="26"/>
      <c r="SL218" s="26"/>
      <c r="SM218" s="26"/>
      <c r="SN218" s="26"/>
      <c r="SO218" s="26"/>
      <c r="SP218" s="26"/>
      <c r="SQ218" s="26"/>
      <c r="SR218" s="26"/>
      <c r="SS218" s="26"/>
      <c r="ST218" s="26"/>
      <c r="SU218" s="26"/>
      <c r="SV218" s="26"/>
      <c r="SW218" s="26"/>
      <c r="SX218" s="26"/>
      <c r="SY218" s="26"/>
      <c r="SZ218" s="26"/>
      <c r="TA218" s="26"/>
      <c r="TB218" s="26"/>
      <c r="TC218" s="26"/>
      <c r="TD218" s="26"/>
      <c r="TE218" s="26"/>
      <c r="TF218" s="26"/>
      <c r="TG218" s="26"/>
      <c r="TH218" s="26"/>
      <c r="TI218" s="26"/>
    </row>
    <row r="219" spans="1:529" s="31" customFormat="1" ht="33.75" customHeight="1" x14ac:dyDescent="0.2">
      <c r="A219" s="174" t="s">
        <v>31</v>
      </c>
      <c r="B219" s="71"/>
      <c r="C219" s="71"/>
      <c r="D219" s="30" t="s">
        <v>38</v>
      </c>
      <c r="E219" s="63">
        <f>E220</f>
        <v>6195500</v>
      </c>
      <c r="F219" s="63">
        <f t="shared" ref="F219:J220" si="105">F220</f>
        <v>6195500</v>
      </c>
      <c r="G219" s="63">
        <f t="shared" si="105"/>
        <v>4779400</v>
      </c>
      <c r="H219" s="63">
        <f t="shared" si="105"/>
        <v>98300</v>
      </c>
      <c r="I219" s="63">
        <f t="shared" si="105"/>
        <v>0</v>
      </c>
      <c r="J219" s="63">
        <f t="shared" si="105"/>
        <v>160000</v>
      </c>
      <c r="K219" s="63">
        <f t="shared" ref="K219:K220" si="106">K220</f>
        <v>160000</v>
      </c>
      <c r="L219" s="63">
        <f t="shared" ref="L219:L220" si="107">L220</f>
        <v>0</v>
      </c>
      <c r="M219" s="63">
        <f t="shared" ref="M219:M220" si="108">M220</f>
        <v>0</v>
      </c>
      <c r="N219" s="63">
        <f t="shared" ref="N219:N220" si="109">N220</f>
        <v>0</v>
      </c>
      <c r="O219" s="63">
        <f t="shared" ref="O219:P220" si="110">O220</f>
        <v>160000</v>
      </c>
      <c r="P219" s="63">
        <f t="shared" si="110"/>
        <v>6355500</v>
      </c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  <c r="IV219" s="38"/>
      <c r="IW219" s="38"/>
      <c r="IX219" s="38"/>
      <c r="IY219" s="38"/>
      <c r="IZ219" s="38"/>
      <c r="JA219" s="38"/>
      <c r="JB219" s="38"/>
      <c r="JC219" s="38"/>
      <c r="JD219" s="38"/>
      <c r="JE219" s="38"/>
      <c r="JF219" s="38"/>
      <c r="JG219" s="38"/>
      <c r="JH219" s="38"/>
      <c r="JI219" s="38"/>
      <c r="JJ219" s="38"/>
      <c r="JK219" s="38"/>
      <c r="JL219" s="38"/>
      <c r="JM219" s="38"/>
      <c r="JN219" s="38"/>
      <c r="JO219" s="38"/>
      <c r="JP219" s="38"/>
      <c r="JQ219" s="38"/>
      <c r="JR219" s="38"/>
      <c r="JS219" s="38"/>
      <c r="JT219" s="38"/>
      <c r="JU219" s="38"/>
      <c r="JV219" s="38"/>
      <c r="JW219" s="38"/>
      <c r="JX219" s="38"/>
      <c r="JY219" s="38"/>
      <c r="JZ219" s="38"/>
      <c r="KA219" s="38"/>
      <c r="KB219" s="38"/>
      <c r="KC219" s="38"/>
      <c r="KD219" s="38"/>
      <c r="KE219" s="38"/>
      <c r="KF219" s="38"/>
      <c r="KG219" s="38"/>
      <c r="KH219" s="38"/>
      <c r="KI219" s="38"/>
      <c r="KJ219" s="38"/>
      <c r="KK219" s="38"/>
      <c r="KL219" s="38"/>
      <c r="KM219" s="38"/>
      <c r="KN219" s="38"/>
      <c r="KO219" s="38"/>
      <c r="KP219" s="38"/>
      <c r="KQ219" s="38"/>
      <c r="KR219" s="38"/>
      <c r="KS219" s="38"/>
      <c r="KT219" s="38"/>
      <c r="KU219" s="38"/>
      <c r="KV219" s="38"/>
      <c r="KW219" s="38"/>
      <c r="KX219" s="38"/>
      <c r="KY219" s="38"/>
      <c r="KZ219" s="38"/>
      <c r="LA219" s="38"/>
      <c r="LB219" s="38"/>
      <c r="LC219" s="38"/>
      <c r="LD219" s="38"/>
      <c r="LE219" s="38"/>
      <c r="LF219" s="38"/>
      <c r="LG219" s="38"/>
      <c r="LH219" s="38"/>
      <c r="LI219" s="38"/>
      <c r="LJ219" s="38"/>
      <c r="LK219" s="38"/>
      <c r="LL219" s="38"/>
      <c r="LM219" s="38"/>
      <c r="LN219" s="38"/>
      <c r="LO219" s="38"/>
      <c r="LP219" s="38"/>
      <c r="LQ219" s="38"/>
      <c r="LR219" s="38"/>
      <c r="LS219" s="38"/>
      <c r="LT219" s="38"/>
      <c r="LU219" s="38"/>
      <c r="LV219" s="38"/>
      <c r="LW219" s="38"/>
      <c r="LX219" s="38"/>
      <c r="LY219" s="38"/>
      <c r="LZ219" s="38"/>
      <c r="MA219" s="38"/>
      <c r="MB219" s="38"/>
      <c r="MC219" s="38"/>
      <c r="MD219" s="38"/>
      <c r="ME219" s="38"/>
      <c r="MF219" s="38"/>
      <c r="MG219" s="38"/>
      <c r="MH219" s="38"/>
      <c r="MI219" s="38"/>
      <c r="MJ219" s="38"/>
      <c r="MK219" s="38"/>
      <c r="ML219" s="38"/>
      <c r="MM219" s="38"/>
      <c r="MN219" s="38"/>
      <c r="MO219" s="38"/>
      <c r="MP219" s="38"/>
      <c r="MQ219" s="38"/>
      <c r="MR219" s="38"/>
      <c r="MS219" s="38"/>
      <c r="MT219" s="38"/>
      <c r="MU219" s="38"/>
      <c r="MV219" s="38"/>
      <c r="MW219" s="38"/>
      <c r="MX219" s="38"/>
      <c r="MY219" s="38"/>
      <c r="MZ219" s="38"/>
      <c r="NA219" s="38"/>
      <c r="NB219" s="38"/>
      <c r="NC219" s="38"/>
      <c r="ND219" s="38"/>
      <c r="NE219" s="38"/>
      <c r="NF219" s="38"/>
      <c r="NG219" s="38"/>
      <c r="NH219" s="38"/>
      <c r="NI219" s="38"/>
      <c r="NJ219" s="38"/>
      <c r="NK219" s="38"/>
      <c r="NL219" s="38"/>
      <c r="NM219" s="38"/>
      <c r="NN219" s="38"/>
      <c r="NO219" s="38"/>
      <c r="NP219" s="38"/>
      <c r="NQ219" s="38"/>
      <c r="NR219" s="38"/>
      <c r="NS219" s="38"/>
      <c r="NT219" s="38"/>
      <c r="NU219" s="38"/>
      <c r="NV219" s="38"/>
      <c r="NW219" s="38"/>
      <c r="NX219" s="38"/>
      <c r="NY219" s="38"/>
      <c r="NZ219" s="38"/>
      <c r="OA219" s="38"/>
      <c r="OB219" s="38"/>
      <c r="OC219" s="38"/>
      <c r="OD219" s="38"/>
      <c r="OE219" s="38"/>
      <c r="OF219" s="38"/>
      <c r="OG219" s="38"/>
      <c r="OH219" s="38"/>
      <c r="OI219" s="38"/>
      <c r="OJ219" s="38"/>
      <c r="OK219" s="38"/>
      <c r="OL219" s="38"/>
      <c r="OM219" s="38"/>
      <c r="ON219" s="38"/>
      <c r="OO219" s="38"/>
      <c r="OP219" s="38"/>
      <c r="OQ219" s="38"/>
      <c r="OR219" s="38"/>
      <c r="OS219" s="38"/>
      <c r="OT219" s="38"/>
      <c r="OU219" s="38"/>
      <c r="OV219" s="38"/>
      <c r="OW219" s="38"/>
      <c r="OX219" s="38"/>
      <c r="OY219" s="38"/>
      <c r="OZ219" s="38"/>
      <c r="PA219" s="38"/>
      <c r="PB219" s="38"/>
      <c r="PC219" s="38"/>
      <c r="PD219" s="38"/>
      <c r="PE219" s="38"/>
      <c r="PF219" s="38"/>
      <c r="PG219" s="38"/>
      <c r="PH219" s="38"/>
      <c r="PI219" s="38"/>
      <c r="PJ219" s="38"/>
      <c r="PK219" s="38"/>
      <c r="PL219" s="38"/>
      <c r="PM219" s="38"/>
      <c r="PN219" s="38"/>
      <c r="PO219" s="38"/>
      <c r="PP219" s="38"/>
      <c r="PQ219" s="38"/>
      <c r="PR219" s="38"/>
      <c r="PS219" s="38"/>
      <c r="PT219" s="38"/>
      <c r="PU219" s="38"/>
      <c r="PV219" s="38"/>
      <c r="PW219" s="38"/>
      <c r="PX219" s="38"/>
      <c r="PY219" s="38"/>
      <c r="PZ219" s="38"/>
      <c r="QA219" s="38"/>
      <c r="QB219" s="38"/>
      <c r="QC219" s="38"/>
      <c r="QD219" s="38"/>
      <c r="QE219" s="38"/>
      <c r="QF219" s="38"/>
      <c r="QG219" s="38"/>
      <c r="QH219" s="38"/>
      <c r="QI219" s="38"/>
      <c r="QJ219" s="38"/>
      <c r="QK219" s="38"/>
      <c r="QL219" s="38"/>
      <c r="QM219" s="38"/>
      <c r="QN219" s="38"/>
      <c r="QO219" s="38"/>
      <c r="QP219" s="38"/>
      <c r="QQ219" s="38"/>
      <c r="QR219" s="38"/>
      <c r="QS219" s="38"/>
      <c r="QT219" s="38"/>
      <c r="QU219" s="38"/>
      <c r="QV219" s="38"/>
      <c r="QW219" s="38"/>
      <c r="QX219" s="38"/>
      <c r="QY219" s="38"/>
      <c r="QZ219" s="38"/>
      <c r="RA219" s="38"/>
      <c r="RB219" s="38"/>
      <c r="RC219" s="38"/>
      <c r="RD219" s="38"/>
      <c r="RE219" s="38"/>
      <c r="RF219" s="38"/>
      <c r="RG219" s="38"/>
      <c r="RH219" s="38"/>
      <c r="RI219" s="38"/>
      <c r="RJ219" s="38"/>
      <c r="RK219" s="38"/>
      <c r="RL219" s="38"/>
      <c r="RM219" s="38"/>
      <c r="RN219" s="38"/>
      <c r="RO219" s="38"/>
      <c r="RP219" s="38"/>
      <c r="RQ219" s="38"/>
      <c r="RR219" s="38"/>
      <c r="RS219" s="38"/>
      <c r="RT219" s="38"/>
      <c r="RU219" s="38"/>
      <c r="RV219" s="38"/>
      <c r="RW219" s="38"/>
      <c r="RX219" s="38"/>
      <c r="RY219" s="38"/>
      <c r="RZ219" s="38"/>
      <c r="SA219" s="38"/>
      <c r="SB219" s="38"/>
      <c r="SC219" s="38"/>
      <c r="SD219" s="38"/>
      <c r="SE219" s="38"/>
      <c r="SF219" s="38"/>
      <c r="SG219" s="38"/>
      <c r="SH219" s="38"/>
      <c r="SI219" s="38"/>
      <c r="SJ219" s="38"/>
      <c r="SK219" s="38"/>
      <c r="SL219" s="38"/>
      <c r="SM219" s="38"/>
      <c r="SN219" s="38"/>
      <c r="SO219" s="38"/>
      <c r="SP219" s="38"/>
      <c r="SQ219" s="38"/>
      <c r="SR219" s="38"/>
      <c r="SS219" s="38"/>
      <c r="ST219" s="38"/>
      <c r="SU219" s="38"/>
      <c r="SV219" s="38"/>
      <c r="SW219" s="38"/>
      <c r="SX219" s="38"/>
      <c r="SY219" s="38"/>
      <c r="SZ219" s="38"/>
      <c r="TA219" s="38"/>
      <c r="TB219" s="38"/>
      <c r="TC219" s="38"/>
      <c r="TD219" s="38"/>
      <c r="TE219" s="38"/>
      <c r="TF219" s="38"/>
      <c r="TG219" s="38"/>
      <c r="TH219" s="38"/>
      <c r="TI219" s="38"/>
    </row>
    <row r="220" spans="1:529" s="40" customFormat="1" ht="36.75" customHeight="1" x14ac:dyDescent="0.25">
      <c r="A220" s="73" t="s">
        <v>126</v>
      </c>
      <c r="B220" s="72"/>
      <c r="C220" s="72"/>
      <c r="D220" s="33" t="s">
        <v>38</v>
      </c>
      <c r="E220" s="65">
        <f>E221</f>
        <v>6195500</v>
      </c>
      <c r="F220" s="65">
        <f t="shared" si="105"/>
        <v>6195500</v>
      </c>
      <c r="G220" s="65">
        <f t="shared" si="105"/>
        <v>4779400</v>
      </c>
      <c r="H220" s="65">
        <f t="shared" si="105"/>
        <v>98300</v>
      </c>
      <c r="I220" s="65">
        <f t="shared" si="105"/>
        <v>0</v>
      </c>
      <c r="J220" s="65">
        <f t="shared" si="105"/>
        <v>160000</v>
      </c>
      <c r="K220" s="65">
        <f t="shared" si="106"/>
        <v>160000</v>
      </c>
      <c r="L220" s="65">
        <f t="shared" si="107"/>
        <v>0</v>
      </c>
      <c r="M220" s="65">
        <f t="shared" si="108"/>
        <v>0</v>
      </c>
      <c r="N220" s="65">
        <f t="shared" si="109"/>
        <v>0</v>
      </c>
      <c r="O220" s="65">
        <f t="shared" si="110"/>
        <v>160000</v>
      </c>
      <c r="P220" s="65">
        <f t="shared" si="110"/>
        <v>6355500</v>
      </c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  <c r="IW220" s="39"/>
      <c r="IX220" s="39"/>
      <c r="IY220" s="39"/>
      <c r="IZ220" s="39"/>
      <c r="JA220" s="39"/>
      <c r="JB220" s="39"/>
      <c r="JC220" s="39"/>
      <c r="JD220" s="39"/>
      <c r="JE220" s="39"/>
      <c r="JF220" s="39"/>
      <c r="JG220" s="39"/>
      <c r="JH220" s="39"/>
      <c r="JI220" s="39"/>
      <c r="JJ220" s="39"/>
      <c r="JK220" s="39"/>
      <c r="JL220" s="39"/>
      <c r="JM220" s="39"/>
      <c r="JN220" s="39"/>
      <c r="JO220" s="39"/>
      <c r="JP220" s="39"/>
      <c r="JQ220" s="39"/>
      <c r="JR220" s="39"/>
      <c r="JS220" s="39"/>
      <c r="JT220" s="39"/>
      <c r="JU220" s="39"/>
      <c r="JV220" s="39"/>
      <c r="JW220" s="39"/>
      <c r="JX220" s="39"/>
      <c r="JY220" s="39"/>
      <c r="JZ220" s="39"/>
      <c r="KA220" s="39"/>
      <c r="KB220" s="39"/>
      <c r="KC220" s="39"/>
      <c r="KD220" s="39"/>
      <c r="KE220" s="39"/>
      <c r="KF220" s="39"/>
      <c r="KG220" s="39"/>
      <c r="KH220" s="39"/>
      <c r="KI220" s="39"/>
      <c r="KJ220" s="39"/>
      <c r="KK220" s="39"/>
      <c r="KL220" s="39"/>
      <c r="KM220" s="39"/>
      <c r="KN220" s="39"/>
      <c r="KO220" s="39"/>
      <c r="KP220" s="39"/>
      <c r="KQ220" s="39"/>
      <c r="KR220" s="39"/>
      <c r="KS220" s="39"/>
      <c r="KT220" s="39"/>
      <c r="KU220" s="39"/>
      <c r="KV220" s="39"/>
      <c r="KW220" s="39"/>
      <c r="KX220" s="39"/>
      <c r="KY220" s="39"/>
      <c r="KZ220" s="39"/>
      <c r="LA220" s="39"/>
      <c r="LB220" s="39"/>
      <c r="LC220" s="39"/>
      <c r="LD220" s="39"/>
      <c r="LE220" s="39"/>
      <c r="LF220" s="39"/>
      <c r="LG220" s="39"/>
      <c r="LH220" s="39"/>
      <c r="LI220" s="39"/>
      <c r="LJ220" s="39"/>
      <c r="LK220" s="39"/>
      <c r="LL220" s="39"/>
      <c r="LM220" s="39"/>
      <c r="LN220" s="39"/>
      <c r="LO220" s="39"/>
      <c r="LP220" s="39"/>
      <c r="LQ220" s="39"/>
      <c r="LR220" s="39"/>
      <c r="LS220" s="39"/>
      <c r="LT220" s="39"/>
      <c r="LU220" s="39"/>
      <c r="LV220" s="39"/>
      <c r="LW220" s="39"/>
      <c r="LX220" s="39"/>
      <c r="LY220" s="39"/>
      <c r="LZ220" s="39"/>
      <c r="MA220" s="39"/>
      <c r="MB220" s="39"/>
      <c r="MC220" s="39"/>
      <c r="MD220" s="39"/>
      <c r="ME220" s="39"/>
      <c r="MF220" s="39"/>
      <c r="MG220" s="39"/>
      <c r="MH220" s="39"/>
      <c r="MI220" s="39"/>
      <c r="MJ220" s="39"/>
      <c r="MK220" s="39"/>
      <c r="ML220" s="39"/>
      <c r="MM220" s="39"/>
      <c r="MN220" s="39"/>
      <c r="MO220" s="39"/>
      <c r="MP220" s="39"/>
      <c r="MQ220" s="39"/>
      <c r="MR220" s="39"/>
      <c r="MS220" s="39"/>
      <c r="MT220" s="39"/>
      <c r="MU220" s="39"/>
      <c r="MV220" s="39"/>
      <c r="MW220" s="39"/>
      <c r="MX220" s="39"/>
      <c r="MY220" s="39"/>
      <c r="MZ220" s="39"/>
      <c r="NA220" s="39"/>
      <c r="NB220" s="39"/>
      <c r="NC220" s="39"/>
      <c r="ND220" s="39"/>
      <c r="NE220" s="39"/>
      <c r="NF220" s="39"/>
      <c r="NG220" s="39"/>
      <c r="NH220" s="39"/>
      <c r="NI220" s="39"/>
      <c r="NJ220" s="39"/>
      <c r="NK220" s="39"/>
      <c r="NL220" s="39"/>
      <c r="NM220" s="39"/>
      <c r="NN220" s="39"/>
      <c r="NO220" s="39"/>
      <c r="NP220" s="39"/>
      <c r="NQ220" s="39"/>
      <c r="NR220" s="39"/>
      <c r="NS220" s="39"/>
      <c r="NT220" s="39"/>
      <c r="NU220" s="39"/>
      <c r="NV220" s="39"/>
      <c r="NW220" s="39"/>
      <c r="NX220" s="39"/>
      <c r="NY220" s="39"/>
      <c r="NZ220" s="39"/>
      <c r="OA220" s="39"/>
      <c r="OB220" s="39"/>
      <c r="OC220" s="39"/>
      <c r="OD220" s="39"/>
      <c r="OE220" s="39"/>
      <c r="OF220" s="39"/>
      <c r="OG220" s="39"/>
      <c r="OH220" s="39"/>
      <c r="OI220" s="39"/>
      <c r="OJ220" s="39"/>
      <c r="OK220" s="39"/>
      <c r="OL220" s="39"/>
      <c r="OM220" s="39"/>
      <c r="ON220" s="39"/>
      <c r="OO220" s="39"/>
      <c r="OP220" s="39"/>
      <c r="OQ220" s="39"/>
      <c r="OR220" s="39"/>
      <c r="OS220" s="39"/>
      <c r="OT220" s="39"/>
      <c r="OU220" s="39"/>
      <c r="OV220" s="39"/>
      <c r="OW220" s="39"/>
      <c r="OX220" s="39"/>
      <c r="OY220" s="39"/>
      <c r="OZ220" s="39"/>
      <c r="PA220" s="39"/>
      <c r="PB220" s="39"/>
      <c r="PC220" s="39"/>
      <c r="PD220" s="39"/>
      <c r="PE220" s="39"/>
      <c r="PF220" s="39"/>
      <c r="PG220" s="39"/>
      <c r="PH220" s="39"/>
      <c r="PI220" s="39"/>
      <c r="PJ220" s="39"/>
      <c r="PK220" s="39"/>
      <c r="PL220" s="39"/>
      <c r="PM220" s="39"/>
      <c r="PN220" s="39"/>
      <c r="PO220" s="39"/>
      <c r="PP220" s="39"/>
      <c r="PQ220" s="39"/>
      <c r="PR220" s="39"/>
      <c r="PS220" s="39"/>
      <c r="PT220" s="39"/>
      <c r="PU220" s="39"/>
      <c r="PV220" s="39"/>
      <c r="PW220" s="39"/>
      <c r="PX220" s="39"/>
      <c r="PY220" s="39"/>
      <c r="PZ220" s="39"/>
      <c r="QA220" s="39"/>
      <c r="QB220" s="39"/>
      <c r="QC220" s="39"/>
      <c r="QD220" s="39"/>
      <c r="QE220" s="39"/>
      <c r="QF220" s="39"/>
      <c r="QG220" s="39"/>
      <c r="QH220" s="39"/>
      <c r="QI220" s="39"/>
      <c r="QJ220" s="39"/>
      <c r="QK220" s="39"/>
      <c r="QL220" s="39"/>
      <c r="QM220" s="39"/>
      <c r="QN220" s="39"/>
      <c r="QO220" s="39"/>
      <c r="QP220" s="39"/>
      <c r="QQ220" s="39"/>
      <c r="QR220" s="39"/>
      <c r="QS220" s="39"/>
      <c r="QT220" s="39"/>
      <c r="QU220" s="39"/>
      <c r="QV220" s="39"/>
      <c r="QW220" s="39"/>
      <c r="QX220" s="39"/>
      <c r="QY220" s="39"/>
      <c r="QZ220" s="39"/>
      <c r="RA220" s="39"/>
      <c r="RB220" s="39"/>
      <c r="RC220" s="39"/>
      <c r="RD220" s="39"/>
      <c r="RE220" s="39"/>
      <c r="RF220" s="39"/>
      <c r="RG220" s="39"/>
      <c r="RH220" s="39"/>
      <c r="RI220" s="39"/>
      <c r="RJ220" s="39"/>
      <c r="RK220" s="39"/>
      <c r="RL220" s="39"/>
      <c r="RM220" s="39"/>
      <c r="RN220" s="39"/>
      <c r="RO220" s="39"/>
      <c r="RP220" s="39"/>
      <c r="RQ220" s="39"/>
      <c r="RR220" s="39"/>
      <c r="RS220" s="39"/>
      <c r="RT220" s="39"/>
      <c r="RU220" s="39"/>
      <c r="RV220" s="39"/>
      <c r="RW220" s="39"/>
      <c r="RX220" s="39"/>
      <c r="RY220" s="39"/>
      <c r="RZ220" s="39"/>
      <c r="SA220" s="39"/>
      <c r="SB220" s="39"/>
      <c r="SC220" s="39"/>
      <c r="SD220" s="39"/>
      <c r="SE220" s="39"/>
      <c r="SF220" s="39"/>
      <c r="SG220" s="39"/>
      <c r="SH220" s="39"/>
      <c r="SI220" s="39"/>
      <c r="SJ220" s="39"/>
      <c r="SK220" s="39"/>
      <c r="SL220" s="39"/>
      <c r="SM220" s="39"/>
      <c r="SN220" s="39"/>
      <c r="SO220" s="39"/>
      <c r="SP220" s="39"/>
      <c r="SQ220" s="39"/>
      <c r="SR220" s="39"/>
      <c r="SS220" s="39"/>
      <c r="ST220" s="39"/>
      <c r="SU220" s="39"/>
      <c r="SV220" s="39"/>
      <c r="SW220" s="39"/>
      <c r="SX220" s="39"/>
      <c r="SY220" s="39"/>
      <c r="SZ220" s="39"/>
      <c r="TA220" s="39"/>
      <c r="TB220" s="39"/>
      <c r="TC220" s="39"/>
      <c r="TD220" s="39"/>
      <c r="TE220" s="39"/>
      <c r="TF220" s="39"/>
      <c r="TG220" s="39"/>
      <c r="TH220" s="39"/>
      <c r="TI220" s="39"/>
    </row>
    <row r="221" spans="1:529" s="23" customFormat="1" ht="45" x14ac:dyDescent="0.25">
      <c r="A221" s="43" t="s">
        <v>0</v>
      </c>
      <c r="B221" s="44" t="str">
        <f>'дод 4'!A20</f>
        <v>0160</v>
      </c>
      <c r="C221" s="44" t="str">
        <f>'дод 4'!B20</f>
        <v>0111</v>
      </c>
      <c r="D22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21" s="66">
        <f>F221+I221</f>
        <v>6195500</v>
      </c>
      <c r="F221" s="66">
        <f>6462800+10100-315400-11500+49500</f>
        <v>6195500</v>
      </c>
      <c r="G221" s="66">
        <f>5047300-258500-9400</f>
        <v>4779400</v>
      </c>
      <c r="H221" s="66">
        <v>98300</v>
      </c>
      <c r="I221" s="66"/>
      <c r="J221" s="66">
        <f>L221+O221</f>
        <v>160000</v>
      </c>
      <c r="K221" s="66">
        <v>160000</v>
      </c>
      <c r="L221" s="66"/>
      <c r="M221" s="66"/>
      <c r="N221" s="66"/>
      <c r="O221" s="66">
        <v>160000</v>
      </c>
      <c r="P221" s="66">
        <f>E221+J221</f>
        <v>6355500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  <c r="IW221" s="26"/>
      <c r="IX221" s="26"/>
      <c r="IY221" s="26"/>
      <c r="IZ221" s="26"/>
      <c r="JA221" s="26"/>
      <c r="JB221" s="26"/>
      <c r="JC221" s="26"/>
      <c r="JD221" s="26"/>
      <c r="JE221" s="26"/>
      <c r="JF221" s="26"/>
      <c r="JG221" s="26"/>
      <c r="JH221" s="26"/>
      <c r="JI221" s="26"/>
      <c r="JJ221" s="26"/>
      <c r="JK221" s="26"/>
      <c r="JL221" s="26"/>
      <c r="JM221" s="26"/>
      <c r="JN221" s="26"/>
      <c r="JO221" s="26"/>
      <c r="JP221" s="26"/>
      <c r="JQ221" s="26"/>
      <c r="JR221" s="26"/>
      <c r="JS221" s="26"/>
      <c r="JT221" s="26"/>
      <c r="JU221" s="26"/>
      <c r="JV221" s="26"/>
      <c r="JW221" s="26"/>
      <c r="JX221" s="26"/>
      <c r="JY221" s="26"/>
      <c r="JZ221" s="26"/>
      <c r="KA221" s="26"/>
      <c r="KB221" s="26"/>
      <c r="KC221" s="26"/>
      <c r="KD221" s="26"/>
      <c r="KE221" s="26"/>
      <c r="KF221" s="26"/>
      <c r="KG221" s="26"/>
      <c r="KH221" s="26"/>
      <c r="KI221" s="26"/>
      <c r="KJ221" s="26"/>
      <c r="KK221" s="26"/>
      <c r="KL221" s="26"/>
      <c r="KM221" s="26"/>
      <c r="KN221" s="26"/>
      <c r="KO221" s="26"/>
      <c r="KP221" s="26"/>
      <c r="KQ221" s="26"/>
      <c r="KR221" s="26"/>
      <c r="KS221" s="26"/>
      <c r="KT221" s="26"/>
      <c r="KU221" s="26"/>
      <c r="KV221" s="26"/>
      <c r="KW221" s="26"/>
      <c r="KX221" s="26"/>
      <c r="KY221" s="26"/>
      <c r="KZ221" s="26"/>
      <c r="LA221" s="26"/>
      <c r="LB221" s="26"/>
      <c r="LC221" s="26"/>
      <c r="LD221" s="26"/>
      <c r="LE221" s="26"/>
      <c r="LF221" s="26"/>
      <c r="LG221" s="26"/>
      <c r="LH221" s="26"/>
      <c r="LI221" s="26"/>
      <c r="LJ221" s="26"/>
      <c r="LK221" s="26"/>
      <c r="LL221" s="26"/>
      <c r="LM221" s="26"/>
      <c r="LN221" s="26"/>
      <c r="LO221" s="26"/>
      <c r="LP221" s="26"/>
      <c r="LQ221" s="26"/>
      <c r="LR221" s="26"/>
      <c r="LS221" s="26"/>
      <c r="LT221" s="26"/>
      <c r="LU221" s="26"/>
      <c r="LV221" s="26"/>
      <c r="LW221" s="26"/>
      <c r="LX221" s="26"/>
      <c r="LY221" s="26"/>
      <c r="LZ221" s="26"/>
      <c r="MA221" s="26"/>
      <c r="MB221" s="26"/>
      <c r="MC221" s="26"/>
      <c r="MD221" s="26"/>
      <c r="ME221" s="26"/>
      <c r="MF221" s="26"/>
      <c r="MG221" s="26"/>
      <c r="MH221" s="26"/>
      <c r="MI221" s="26"/>
      <c r="MJ221" s="26"/>
      <c r="MK221" s="26"/>
      <c r="ML221" s="26"/>
      <c r="MM221" s="26"/>
      <c r="MN221" s="26"/>
      <c r="MO221" s="26"/>
      <c r="MP221" s="26"/>
      <c r="MQ221" s="26"/>
      <c r="MR221" s="26"/>
      <c r="MS221" s="26"/>
      <c r="MT221" s="26"/>
      <c r="MU221" s="26"/>
      <c r="MV221" s="26"/>
      <c r="MW221" s="26"/>
      <c r="MX221" s="26"/>
      <c r="MY221" s="26"/>
      <c r="MZ221" s="26"/>
      <c r="NA221" s="26"/>
      <c r="NB221" s="26"/>
      <c r="NC221" s="26"/>
      <c r="ND221" s="26"/>
      <c r="NE221" s="26"/>
      <c r="NF221" s="26"/>
      <c r="NG221" s="26"/>
      <c r="NH221" s="26"/>
      <c r="NI221" s="26"/>
      <c r="NJ221" s="26"/>
      <c r="NK221" s="26"/>
      <c r="NL221" s="26"/>
      <c r="NM221" s="26"/>
      <c r="NN221" s="26"/>
      <c r="NO221" s="26"/>
      <c r="NP221" s="26"/>
      <c r="NQ221" s="26"/>
      <c r="NR221" s="26"/>
      <c r="NS221" s="26"/>
      <c r="NT221" s="26"/>
      <c r="NU221" s="26"/>
      <c r="NV221" s="26"/>
      <c r="NW221" s="26"/>
      <c r="NX221" s="26"/>
      <c r="NY221" s="26"/>
      <c r="NZ221" s="26"/>
      <c r="OA221" s="26"/>
      <c r="OB221" s="26"/>
      <c r="OC221" s="26"/>
      <c r="OD221" s="26"/>
      <c r="OE221" s="26"/>
      <c r="OF221" s="26"/>
      <c r="OG221" s="26"/>
      <c r="OH221" s="26"/>
      <c r="OI221" s="26"/>
      <c r="OJ221" s="26"/>
      <c r="OK221" s="26"/>
      <c r="OL221" s="26"/>
      <c r="OM221" s="26"/>
      <c r="ON221" s="26"/>
      <c r="OO221" s="26"/>
      <c r="OP221" s="26"/>
      <c r="OQ221" s="26"/>
      <c r="OR221" s="26"/>
      <c r="OS221" s="26"/>
      <c r="OT221" s="26"/>
      <c r="OU221" s="26"/>
      <c r="OV221" s="26"/>
      <c r="OW221" s="26"/>
      <c r="OX221" s="26"/>
      <c r="OY221" s="26"/>
      <c r="OZ221" s="26"/>
      <c r="PA221" s="26"/>
      <c r="PB221" s="26"/>
      <c r="PC221" s="26"/>
      <c r="PD221" s="26"/>
      <c r="PE221" s="26"/>
      <c r="PF221" s="26"/>
      <c r="PG221" s="26"/>
      <c r="PH221" s="26"/>
      <c r="PI221" s="26"/>
      <c r="PJ221" s="26"/>
      <c r="PK221" s="26"/>
      <c r="PL221" s="26"/>
      <c r="PM221" s="26"/>
      <c r="PN221" s="26"/>
      <c r="PO221" s="26"/>
      <c r="PP221" s="26"/>
      <c r="PQ221" s="26"/>
      <c r="PR221" s="26"/>
      <c r="PS221" s="26"/>
      <c r="PT221" s="26"/>
      <c r="PU221" s="26"/>
      <c r="PV221" s="26"/>
      <c r="PW221" s="26"/>
      <c r="PX221" s="26"/>
      <c r="PY221" s="26"/>
      <c r="PZ221" s="26"/>
      <c r="QA221" s="26"/>
      <c r="QB221" s="26"/>
      <c r="QC221" s="26"/>
      <c r="QD221" s="26"/>
      <c r="QE221" s="26"/>
      <c r="QF221" s="26"/>
      <c r="QG221" s="26"/>
      <c r="QH221" s="26"/>
      <c r="QI221" s="26"/>
      <c r="QJ221" s="26"/>
      <c r="QK221" s="26"/>
      <c r="QL221" s="26"/>
      <c r="QM221" s="26"/>
      <c r="QN221" s="26"/>
      <c r="QO221" s="26"/>
      <c r="QP221" s="26"/>
      <c r="QQ221" s="26"/>
      <c r="QR221" s="26"/>
      <c r="QS221" s="26"/>
      <c r="QT221" s="26"/>
      <c r="QU221" s="26"/>
      <c r="QV221" s="26"/>
      <c r="QW221" s="26"/>
      <c r="QX221" s="26"/>
      <c r="QY221" s="26"/>
      <c r="QZ221" s="26"/>
      <c r="RA221" s="26"/>
      <c r="RB221" s="26"/>
      <c r="RC221" s="26"/>
      <c r="RD221" s="26"/>
      <c r="RE221" s="26"/>
      <c r="RF221" s="26"/>
      <c r="RG221" s="26"/>
      <c r="RH221" s="26"/>
      <c r="RI221" s="26"/>
      <c r="RJ221" s="26"/>
      <c r="RK221" s="26"/>
      <c r="RL221" s="26"/>
      <c r="RM221" s="26"/>
      <c r="RN221" s="26"/>
      <c r="RO221" s="26"/>
      <c r="RP221" s="26"/>
      <c r="RQ221" s="26"/>
      <c r="RR221" s="26"/>
      <c r="RS221" s="26"/>
      <c r="RT221" s="26"/>
      <c r="RU221" s="26"/>
      <c r="RV221" s="26"/>
      <c r="RW221" s="26"/>
      <c r="RX221" s="26"/>
      <c r="RY221" s="26"/>
      <c r="RZ221" s="26"/>
      <c r="SA221" s="26"/>
      <c r="SB221" s="26"/>
      <c r="SC221" s="26"/>
      <c r="SD221" s="26"/>
      <c r="SE221" s="26"/>
      <c r="SF221" s="26"/>
      <c r="SG221" s="26"/>
      <c r="SH221" s="26"/>
      <c r="SI221" s="26"/>
      <c r="SJ221" s="26"/>
      <c r="SK221" s="26"/>
      <c r="SL221" s="26"/>
      <c r="SM221" s="26"/>
      <c r="SN221" s="26"/>
      <c r="SO221" s="26"/>
      <c r="SP221" s="26"/>
      <c r="SQ221" s="26"/>
      <c r="SR221" s="26"/>
      <c r="SS221" s="26"/>
      <c r="ST221" s="26"/>
      <c r="SU221" s="26"/>
      <c r="SV221" s="26"/>
      <c r="SW221" s="26"/>
      <c r="SX221" s="26"/>
      <c r="SY221" s="26"/>
      <c r="SZ221" s="26"/>
      <c r="TA221" s="26"/>
      <c r="TB221" s="26"/>
      <c r="TC221" s="26"/>
      <c r="TD221" s="26"/>
      <c r="TE221" s="26"/>
      <c r="TF221" s="26"/>
      <c r="TG221" s="26"/>
      <c r="TH221" s="26"/>
      <c r="TI221" s="26"/>
    </row>
    <row r="222" spans="1:529" s="31" customFormat="1" ht="34.5" customHeight="1" x14ac:dyDescent="0.2">
      <c r="A222" s="174" t="s">
        <v>32</v>
      </c>
      <c r="B222" s="71"/>
      <c r="C222" s="71"/>
      <c r="D222" s="30" t="s">
        <v>37</v>
      </c>
      <c r="E222" s="63">
        <f>E223</f>
        <v>4838843.2</v>
      </c>
      <c r="F222" s="63">
        <f t="shared" ref="F222:J222" si="111">F223</f>
        <v>4753937.2</v>
      </c>
      <c r="G222" s="63">
        <f t="shared" si="111"/>
        <v>2581400</v>
      </c>
      <c r="H222" s="63">
        <f t="shared" si="111"/>
        <v>0</v>
      </c>
      <c r="I222" s="63">
        <f t="shared" si="111"/>
        <v>84906</v>
      </c>
      <c r="J222" s="63">
        <f t="shared" si="111"/>
        <v>221489296.98000002</v>
      </c>
      <c r="K222" s="63">
        <f t="shared" ref="K222" si="112">K223</f>
        <v>207642024.80000001</v>
      </c>
      <c r="L222" s="63">
        <f t="shared" ref="L222" si="113">L223</f>
        <v>3200000</v>
      </c>
      <c r="M222" s="63">
        <f t="shared" ref="M222" si="114">M223</f>
        <v>2348000</v>
      </c>
      <c r="N222" s="63">
        <f t="shared" ref="N222" si="115">N223</f>
        <v>90600</v>
      </c>
      <c r="O222" s="63">
        <f t="shared" ref="O222:P222" si="116">O223</f>
        <v>218289296.98000002</v>
      </c>
      <c r="P222" s="63">
        <f t="shared" si="116"/>
        <v>226328140.18000001</v>
      </c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38"/>
      <c r="IR222" s="38"/>
      <c r="IS222" s="38"/>
      <c r="IT222" s="38"/>
      <c r="IU222" s="38"/>
      <c r="IV222" s="38"/>
      <c r="IW222" s="38"/>
      <c r="IX222" s="38"/>
      <c r="IY222" s="38"/>
      <c r="IZ222" s="38"/>
      <c r="JA222" s="38"/>
      <c r="JB222" s="38"/>
      <c r="JC222" s="38"/>
      <c r="JD222" s="38"/>
      <c r="JE222" s="38"/>
      <c r="JF222" s="38"/>
      <c r="JG222" s="38"/>
      <c r="JH222" s="38"/>
      <c r="JI222" s="38"/>
      <c r="JJ222" s="38"/>
      <c r="JK222" s="38"/>
      <c r="JL222" s="38"/>
      <c r="JM222" s="38"/>
      <c r="JN222" s="38"/>
      <c r="JO222" s="38"/>
      <c r="JP222" s="38"/>
      <c r="JQ222" s="38"/>
      <c r="JR222" s="38"/>
      <c r="JS222" s="38"/>
      <c r="JT222" s="38"/>
      <c r="JU222" s="38"/>
      <c r="JV222" s="38"/>
      <c r="JW222" s="38"/>
      <c r="JX222" s="38"/>
      <c r="JY222" s="38"/>
      <c r="JZ222" s="38"/>
      <c r="KA222" s="38"/>
      <c r="KB222" s="38"/>
      <c r="KC222" s="38"/>
      <c r="KD222" s="38"/>
      <c r="KE222" s="38"/>
      <c r="KF222" s="38"/>
      <c r="KG222" s="38"/>
      <c r="KH222" s="38"/>
      <c r="KI222" s="38"/>
      <c r="KJ222" s="38"/>
      <c r="KK222" s="38"/>
      <c r="KL222" s="38"/>
      <c r="KM222" s="38"/>
      <c r="KN222" s="38"/>
      <c r="KO222" s="38"/>
      <c r="KP222" s="38"/>
      <c r="KQ222" s="38"/>
      <c r="KR222" s="38"/>
      <c r="KS222" s="38"/>
      <c r="KT222" s="38"/>
      <c r="KU222" s="38"/>
      <c r="KV222" s="38"/>
      <c r="KW222" s="38"/>
      <c r="KX222" s="38"/>
      <c r="KY222" s="38"/>
      <c r="KZ222" s="38"/>
      <c r="LA222" s="38"/>
      <c r="LB222" s="38"/>
      <c r="LC222" s="38"/>
      <c r="LD222" s="38"/>
      <c r="LE222" s="38"/>
      <c r="LF222" s="38"/>
      <c r="LG222" s="38"/>
      <c r="LH222" s="38"/>
      <c r="LI222" s="38"/>
      <c r="LJ222" s="38"/>
      <c r="LK222" s="38"/>
      <c r="LL222" s="38"/>
      <c r="LM222" s="38"/>
      <c r="LN222" s="38"/>
      <c r="LO222" s="38"/>
      <c r="LP222" s="38"/>
      <c r="LQ222" s="38"/>
      <c r="LR222" s="38"/>
      <c r="LS222" s="38"/>
      <c r="LT222" s="38"/>
      <c r="LU222" s="38"/>
      <c r="LV222" s="38"/>
      <c r="LW222" s="38"/>
      <c r="LX222" s="38"/>
      <c r="LY222" s="38"/>
      <c r="LZ222" s="38"/>
      <c r="MA222" s="38"/>
      <c r="MB222" s="38"/>
      <c r="MC222" s="38"/>
      <c r="MD222" s="38"/>
      <c r="ME222" s="38"/>
      <c r="MF222" s="38"/>
      <c r="MG222" s="38"/>
      <c r="MH222" s="38"/>
      <c r="MI222" s="38"/>
      <c r="MJ222" s="38"/>
      <c r="MK222" s="38"/>
      <c r="ML222" s="38"/>
      <c r="MM222" s="38"/>
      <c r="MN222" s="38"/>
      <c r="MO222" s="38"/>
      <c r="MP222" s="38"/>
      <c r="MQ222" s="38"/>
      <c r="MR222" s="38"/>
      <c r="MS222" s="38"/>
      <c r="MT222" s="38"/>
      <c r="MU222" s="38"/>
      <c r="MV222" s="38"/>
      <c r="MW222" s="38"/>
      <c r="MX222" s="38"/>
      <c r="MY222" s="38"/>
      <c r="MZ222" s="38"/>
      <c r="NA222" s="38"/>
      <c r="NB222" s="38"/>
      <c r="NC222" s="38"/>
      <c r="ND222" s="38"/>
      <c r="NE222" s="38"/>
      <c r="NF222" s="38"/>
      <c r="NG222" s="38"/>
      <c r="NH222" s="38"/>
      <c r="NI222" s="38"/>
      <c r="NJ222" s="38"/>
      <c r="NK222" s="38"/>
      <c r="NL222" s="38"/>
      <c r="NM222" s="38"/>
      <c r="NN222" s="38"/>
      <c r="NO222" s="38"/>
      <c r="NP222" s="38"/>
      <c r="NQ222" s="38"/>
      <c r="NR222" s="38"/>
      <c r="NS222" s="38"/>
      <c r="NT222" s="38"/>
      <c r="NU222" s="38"/>
      <c r="NV222" s="38"/>
      <c r="NW222" s="38"/>
      <c r="NX222" s="38"/>
      <c r="NY222" s="38"/>
      <c r="NZ222" s="38"/>
      <c r="OA222" s="38"/>
      <c r="OB222" s="38"/>
      <c r="OC222" s="38"/>
      <c r="OD222" s="38"/>
      <c r="OE222" s="38"/>
      <c r="OF222" s="38"/>
      <c r="OG222" s="38"/>
      <c r="OH222" s="38"/>
      <c r="OI222" s="38"/>
      <c r="OJ222" s="38"/>
      <c r="OK222" s="38"/>
      <c r="OL222" s="38"/>
      <c r="OM222" s="38"/>
      <c r="ON222" s="38"/>
      <c r="OO222" s="38"/>
      <c r="OP222" s="38"/>
      <c r="OQ222" s="38"/>
      <c r="OR222" s="38"/>
      <c r="OS222" s="38"/>
      <c r="OT222" s="38"/>
      <c r="OU222" s="38"/>
      <c r="OV222" s="38"/>
      <c r="OW222" s="38"/>
      <c r="OX222" s="38"/>
      <c r="OY222" s="38"/>
      <c r="OZ222" s="38"/>
      <c r="PA222" s="38"/>
      <c r="PB222" s="38"/>
      <c r="PC222" s="38"/>
      <c r="PD222" s="38"/>
      <c r="PE222" s="38"/>
      <c r="PF222" s="38"/>
      <c r="PG222" s="38"/>
      <c r="PH222" s="38"/>
      <c r="PI222" s="38"/>
      <c r="PJ222" s="38"/>
      <c r="PK222" s="38"/>
      <c r="PL222" s="38"/>
      <c r="PM222" s="38"/>
      <c r="PN222" s="38"/>
      <c r="PO222" s="38"/>
      <c r="PP222" s="38"/>
      <c r="PQ222" s="38"/>
      <c r="PR222" s="38"/>
      <c r="PS222" s="38"/>
      <c r="PT222" s="38"/>
      <c r="PU222" s="38"/>
      <c r="PV222" s="38"/>
      <c r="PW222" s="38"/>
      <c r="PX222" s="38"/>
      <c r="PY222" s="38"/>
      <c r="PZ222" s="38"/>
      <c r="QA222" s="38"/>
      <c r="QB222" s="38"/>
      <c r="QC222" s="38"/>
      <c r="QD222" s="38"/>
      <c r="QE222" s="38"/>
      <c r="QF222" s="38"/>
      <c r="QG222" s="38"/>
      <c r="QH222" s="38"/>
      <c r="QI222" s="38"/>
      <c r="QJ222" s="38"/>
      <c r="QK222" s="38"/>
      <c r="QL222" s="38"/>
      <c r="QM222" s="38"/>
      <c r="QN222" s="38"/>
      <c r="QO222" s="38"/>
      <c r="QP222" s="38"/>
      <c r="QQ222" s="38"/>
      <c r="QR222" s="38"/>
      <c r="QS222" s="38"/>
      <c r="QT222" s="38"/>
      <c r="QU222" s="38"/>
      <c r="QV222" s="38"/>
      <c r="QW222" s="38"/>
      <c r="QX222" s="38"/>
      <c r="QY222" s="38"/>
      <c r="QZ222" s="38"/>
      <c r="RA222" s="38"/>
      <c r="RB222" s="38"/>
      <c r="RC222" s="38"/>
      <c r="RD222" s="38"/>
      <c r="RE222" s="38"/>
      <c r="RF222" s="38"/>
      <c r="RG222" s="38"/>
      <c r="RH222" s="38"/>
      <c r="RI222" s="38"/>
      <c r="RJ222" s="38"/>
      <c r="RK222" s="38"/>
      <c r="RL222" s="38"/>
      <c r="RM222" s="38"/>
      <c r="RN222" s="38"/>
      <c r="RO222" s="38"/>
      <c r="RP222" s="38"/>
      <c r="RQ222" s="38"/>
      <c r="RR222" s="38"/>
      <c r="RS222" s="38"/>
      <c r="RT222" s="38"/>
      <c r="RU222" s="38"/>
      <c r="RV222" s="38"/>
      <c r="RW222" s="38"/>
      <c r="RX222" s="38"/>
      <c r="RY222" s="38"/>
      <c r="RZ222" s="38"/>
      <c r="SA222" s="38"/>
      <c r="SB222" s="38"/>
      <c r="SC222" s="38"/>
      <c r="SD222" s="38"/>
      <c r="SE222" s="38"/>
      <c r="SF222" s="38"/>
      <c r="SG222" s="38"/>
      <c r="SH222" s="38"/>
      <c r="SI222" s="38"/>
      <c r="SJ222" s="38"/>
      <c r="SK222" s="38"/>
      <c r="SL222" s="38"/>
      <c r="SM222" s="38"/>
      <c r="SN222" s="38"/>
      <c r="SO222" s="38"/>
      <c r="SP222" s="38"/>
      <c r="SQ222" s="38"/>
      <c r="SR222" s="38"/>
      <c r="SS222" s="38"/>
      <c r="ST222" s="38"/>
      <c r="SU222" s="38"/>
      <c r="SV222" s="38"/>
      <c r="SW222" s="38"/>
      <c r="SX222" s="38"/>
      <c r="SY222" s="38"/>
      <c r="SZ222" s="38"/>
      <c r="TA222" s="38"/>
      <c r="TB222" s="38"/>
      <c r="TC222" s="38"/>
      <c r="TD222" s="38"/>
      <c r="TE222" s="38"/>
      <c r="TF222" s="38"/>
      <c r="TG222" s="38"/>
      <c r="TH222" s="38"/>
      <c r="TI222" s="38"/>
    </row>
    <row r="223" spans="1:529" s="40" customFormat="1" ht="34.5" customHeight="1" x14ac:dyDescent="0.25">
      <c r="A223" s="73" t="s">
        <v>33</v>
      </c>
      <c r="B223" s="72"/>
      <c r="C223" s="72"/>
      <c r="D223" s="33" t="s">
        <v>506</v>
      </c>
      <c r="E223" s="65">
        <f>SUM(E225+E226+E227+E228+E229+E230+E232+E233+E234+E235+E236+E237+E231+E239)</f>
        <v>4838843.2</v>
      </c>
      <c r="F223" s="65">
        <f t="shared" ref="F223:P223" si="117">SUM(F225+F226+F227+F228+F229+F230+F232+F233+F234+F235+F236+F237+F231+F239)</f>
        <v>4753937.2</v>
      </c>
      <c r="G223" s="65">
        <f t="shared" si="117"/>
        <v>2581400</v>
      </c>
      <c r="H223" s="65">
        <f t="shared" si="117"/>
        <v>0</v>
      </c>
      <c r="I223" s="65">
        <f t="shared" si="117"/>
        <v>84906</v>
      </c>
      <c r="J223" s="65">
        <f t="shared" si="117"/>
        <v>221489296.98000002</v>
      </c>
      <c r="K223" s="65">
        <f t="shared" si="117"/>
        <v>207642024.80000001</v>
      </c>
      <c r="L223" s="65">
        <f t="shared" si="117"/>
        <v>3200000</v>
      </c>
      <c r="M223" s="65">
        <f t="shared" si="117"/>
        <v>2348000</v>
      </c>
      <c r="N223" s="65">
        <f t="shared" si="117"/>
        <v>90600</v>
      </c>
      <c r="O223" s="65">
        <f t="shared" si="117"/>
        <v>218289296.98000002</v>
      </c>
      <c r="P223" s="65">
        <f t="shared" si="117"/>
        <v>226328140.18000001</v>
      </c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  <c r="IW223" s="39"/>
      <c r="IX223" s="39"/>
      <c r="IY223" s="39"/>
      <c r="IZ223" s="39"/>
      <c r="JA223" s="39"/>
      <c r="JB223" s="39"/>
      <c r="JC223" s="39"/>
      <c r="JD223" s="39"/>
      <c r="JE223" s="39"/>
      <c r="JF223" s="39"/>
      <c r="JG223" s="39"/>
      <c r="JH223" s="39"/>
      <c r="JI223" s="39"/>
      <c r="JJ223" s="39"/>
      <c r="JK223" s="39"/>
      <c r="JL223" s="39"/>
      <c r="JM223" s="39"/>
      <c r="JN223" s="39"/>
      <c r="JO223" s="39"/>
      <c r="JP223" s="39"/>
      <c r="JQ223" s="39"/>
      <c r="JR223" s="39"/>
      <c r="JS223" s="39"/>
      <c r="JT223" s="39"/>
      <c r="JU223" s="39"/>
      <c r="JV223" s="39"/>
      <c r="JW223" s="39"/>
      <c r="JX223" s="39"/>
      <c r="JY223" s="39"/>
      <c r="JZ223" s="39"/>
      <c r="KA223" s="39"/>
      <c r="KB223" s="39"/>
      <c r="KC223" s="39"/>
      <c r="KD223" s="39"/>
      <c r="KE223" s="39"/>
      <c r="KF223" s="39"/>
      <c r="KG223" s="39"/>
      <c r="KH223" s="39"/>
      <c r="KI223" s="39"/>
      <c r="KJ223" s="39"/>
      <c r="KK223" s="39"/>
      <c r="KL223" s="39"/>
      <c r="KM223" s="39"/>
      <c r="KN223" s="39"/>
      <c r="KO223" s="39"/>
      <c r="KP223" s="39"/>
      <c r="KQ223" s="39"/>
      <c r="KR223" s="39"/>
      <c r="KS223" s="39"/>
      <c r="KT223" s="39"/>
      <c r="KU223" s="39"/>
      <c r="KV223" s="39"/>
      <c r="KW223" s="39"/>
      <c r="KX223" s="39"/>
      <c r="KY223" s="39"/>
      <c r="KZ223" s="39"/>
      <c r="LA223" s="39"/>
      <c r="LB223" s="39"/>
      <c r="LC223" s="39"/>
      <c r="LD223" s="39"/>
      <c r="LE223" s="39"/>
      <c r="LF223" s="39"/>
      <c r="LG223" s="39"/>
      <c r="LH223" s="39"/>
      <c r="LI223" s="39"/>
      <c r="LJ223" s="39"/>
      <c r="LK223" s="39"/>
      <c r="LL223" s="39"/>
      <c r="LM223" s="39"/>
      <c r="LN223" s="39"/>
      <c r="LO223" s="39"/>
      <c r="LP223" s="39"/>
      <c r="LQ223" s="39"/>
      <c r="LR223" s="39"/>
      <c r="LS223" s="39"/>
      <c r="LT223" s="39"/>
      <c r="LU223" s="39"/>
      <c r="LV223" s="39"/>
      <c r="LW223" s="39"/>
      <c r="LX223" s="39"/>
      <c r="LY223" s="39"/>
      <c r="LZ223" s="39"/>
      <c r="MA223" s="39"/>
      <c r="MB223" s="39"/>
      <c r="MC223" s="39"/>
      <c r="MD223" s="39"/>
      <c r="ME223" s="39"/>
      <c r="MF223" s="39"/>
      <c r="MG223" s="39"/>
      <c r="MH223" s="39"/>
      <c r="MI223" s="39"/>
      <c r="MJ223" s="39"/>
      <c r="MK223" s="39"/>
      <c r="ML223" s="39"/>
      <c r="MM223" s="39"/>
      <c r="MN223" s="39"/>
      <c r="MO223" s="39"/>
      <c r="MP223" s="39"/>
      <c r="MQ223" s="39"/>
      <c r="MR223" s="39"/>
      <c r="MS223" s="39"/>
      <c r="MT223" s="39"/>
      <c r="MU223" s="39"/>
      <c r="MV223" s="39"/>
      <c r="MW223" s="39"/>
      <c r="MX223" s="39"/>
      <c r="MY223" s="39"/>
      <c r="MZ223" s="39"/>
      <c r="NA223" s="39"/>
      <c r="NB223" s="39"/>
      <c r="NC223" s="39"/>
      <c r="ND223" s="39"/>
      <c r="NE223" s="39"/>
      <c r="NF223" s="39"/>
      <c r="NG223" s="39"/>
      <c r="NH223" s="39"/>
      <c r="NI223" s="39"/>
      <c r="NJ223" s="39"/>
      <c r="NK223" s="39"/>
      <c r="NL223" s="39"/>
      <c r="NM223" s="39"/>
      <c r="NN223" s="39"/>
      <c r="NO223" s="39"/>
      <c r="NP223" s="39"/>
      <c r="NQ223" s="39"/>
      <c r="NR223" s="39"/>
      <c r="NS223" s="39"/>
      <c r="NT223" s="39"/>
      <c r="NU223" s="39"/>
      <c r="NV223" s="39"/>
      <c r="NW223" s="39"/>
      <c r="NX223" s="39"/>
      <c r="NY223" s="39"/>
      <c r="NZ223" s="39"/>
      <c r="OA223" s="39"/>
      <c r="OB223" s="39"/>
      <c r="OC223" s="39"/>
      <c r="OD223" s="39"/>
      <c r="OE223" s="39"/>
      <c r="OF223" s="39"/>
      <c r="OG223" s="39"/>
      <c r="OH223" s="39"/>
      <c r="OI223" s="39"/>
      <c r="OJ223" s="39"/>
      <c r="OK223" s="39"/>
      <c r="OL223" s="39"/>
      <c r="OM223" s="39"/>
      <c r="ON223" s="39"/>
      <c r="OO223" s="39"/>
      <c r="OP223" s="39"/>
      <c r="OQ223" s="39"/>
      <c r="OR223" s="39"/>
      <c r="OS223" s="39"/>
      <c r="OT223" s="39"/>
      <c r="OU223" s="39"/>
      <c r="OV223" s="39"/>
      <c r="OW223" s="39"/>
      <c r="OX223" s="39"/>
      <c r="OY223" s="39"/>
      <c r="OZ223" s="39"/>
      <c r="PA223" s="39"/>
      <c r="PB223" s="39"/>
      <c r="PC223" s="39"/>
      <c r="PD223" s="39"/>
      <c r="PE223" s="39"/>
      <c r="PF223" s="39"/>
      <c r="PG223" s="39"/>
      <c r="PH223" s="39"/>
      <c r="PI223" s="39"/>
      <c r="PJ223" s="39"/>
      <c r="PK223" s="39"/>
      <c r="PL223" s="39"/>
      <c r="PM223" s="39"/>
      <c r="PN223" s="39"/>
      <c r="PO223" s="39"/>
      <c r="PP223" s="39"/>
      <c r="PQ223" s="39"/>
      <c r="PR223" s="39"/>
      <c r="PS223" s="39"/>
      <c r="PT223" s="39"/>
      <c r="PU223" s="39"/>
      <c r="PV223" s="39"/>
      <c r="PW223" s="39"/>
      <c r="PX223" s="39"/>
      <c r="PY223" s="39"/>
      <c r="PZ223" s="39"/>
      <c r="QA223" s="39"/>
      <c r="QB223" s="39"/>
      <c r="QC223" s="39"/>
      <c r="QD223" s="39"/>
      <c r="QE223" s="39"/>
      <c r="QF223" s="39"/>
      <c r="QG223" s="39"/>
      <c r="QH223" s="39"/>
      <c r="QI223" s="39"/>
      <c r="QJ223" s="39"/>
      <c r="QK223" s="39"/>
      <c r="QL223" s="39"/>
      <c r="QM223" s="39"/>
      <c r="QN223" s="39"/>
      <c r="QO223" s="39"/>
      <c r="QP223" s="39"/>
      <c r="QQ223" s="39"/>
      <c r="QR223" s="39"/>
      <c r="QS223" s="39"/>
      <c r="QT223" s="39"/>
      <c r="QU223" s="39"/>
      <c r="QV223" s="39"/>
      <c r="QW223" s="39"/>
      <c r="QX223" s="39"/>
      <c r="QY223" s="39"/>
      <c r="QZ223" s="39"/>
      <c r="RA223" s="39"/>
      <c r="RB223" s="39"/>
      <c r="RC223" s="39"/>
      <c r="RD223" s="39"/>
      <c r="RE223" s="39"/>
      <c r="RF223" s="39"/>
      <c r="RG223" s="39"/>
      <c r="RH223" s="39"/>
      <c r="RI223" s="39"/>
      <c r="RJ223" s="39"/>
      <c r="RK223" s="39"/>
      <c r="RL223" s="39"/>
      <c r="RM223" s="39"/>
      <c r="RN223" s="39"/>
      <c r="RO223" s="39"/>
      <c r="RP223" s="39"/>
      <c r="RQ223" s="39"/>
      <c r="RR223" s="39"/>
      <c r="RS223" s="39"/>
      <c r="RT223" s="39"/>
      <c r="RU223" s="39"/>
      <c r="RV223" s="39"/>
      <c r="RW223" s="39"/>
      <c r="RX223" s="39"/>
      <c r="RY223" s="39"/>
      <c r="RZ223" s="39"/>
      <c r="SA223" s="39"/>
      <c r="SB223" s="39"/>
      <c r="SC223" s="39"/>
      <c r="SD223" s="39"/>
      <c r="SE223" s="39"/>
      <c r="SF223" s="39"/>
      <c r="SG223" s="39"/>
      <c r="SH223" s="39"/>
      <c r="SI223" s="39"/>
      <c r="SJ223" s="39"/>
      <c r="SK223" s="39"/>
      <c r="SL223" s="39"/>
      <c r="SM223" s="39"/>
      <c r="SN223" s="39"/>
      <c r="SO223" s="39"/>
      <c r="SP223" s="39"/>
      <c r="SQ223" s="39"/>
      <c r="SR223" s="39"/>
      <c r="SS223" s="39"/>
      <c r="ST223" s="39"/>
      <c r="SU223" s="39"/>
      <c r="SV223" s="39"/>
      <c r="SW223" s="39"/>
      <c r="SX223" s="39"/>
      <c r="SY223" s="39"/>
      <c r="SZ223" s="39"/>
      <c r="TA223" s="39"/>
      <c r="TB223" s="39"/>
      <c r="TC223" s="39"/>
      <c r="TD223" s="39"/>
      <c r="TE223" s="39"/>
      <c r="TF223" s="39"/>
      <c r="TG223" s="39"/>
      <c r="TH223" s="39"/>
      <c r="TI223" s="39"/>
    </row>
    <row r="224" spans="1:529" s="40" customFormat="1" ht="17.25" customHeight="1" x14ac:dyDescent="0.25">
      <c r="A224" s="73"/>
      <c r="B224" s="72"/>
      <c r="C224" s="72"/>
      <c r="D224" s="142" t="s">
        <v>505</v>
      </c>
      <c r="E224" s="65">
        <f>E238</f>
        <v>0</v>
      </c>
      <c r="F224" s="65">
        <f t="shared" ref="F224:P224" si="118">F238</f>
        <v>0</v>
      </c>
      <c r="G224" s="65">
        <f t="shared" si="118"/>
        <v>0</v>
      </c>
      <c r="H224" s="65">
        <f t="shared" si="118"/>
        <v>0</v>
      </c>
      <c r="I224" s="65">
        <f t="shared" si="118"/>
        <v>0</v>
      </c>
      <c r="J224" s="65">
        <f t="shared" si="118"/>
        <v>44062207</v>
      </c>
      <c r="K224" s="65">
        <f t="shared" si="118"/>
        <v>44062207</v>
      </c>
      <c r="L224" s="65">
        <f t="shared" si="118"/>
        <v>0</v>
      </c>
      <c r="M224" s="65">
        <f t="shared" si="118"/>
        <v>0</v>
      </c>
      <c r="N224" s="65">
        <f t="shared" si="118"/>
        <v>0</v>
      </c>
      <c r="O224" s="65">
        <f t="shared" si="118"/>
        <v>44062207</v>
      </c>
      <c r="P224" s="65">
        <f t="shared" si="118"/>
        <v>44062207</v>
      </c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  <c r="IW224" s="39"/>
      <c r="IX224" s="39"/>
      <c r="IY224" s="39"/>
      <c r="IZ224" s="39"/>
      <c r="JA224" s="39"/>
      <c r="JB224" s="39"/>
      <c r="JC224" s="39"/>
      <c r="JD224" s="39"/>
      <c r="JE224" s="39"/>
      <c r="JF224" s="39"/>
      <c r="JG224" s="39"/>
      <c r="JH224" s="39"/>
      <c r="JI224" s="39"/>
      <c r="JJ224" s="39"/>
      <c r="JK224" s="39"/>
      <c r="JL224" s="39"/>
      <c r="JM224" s="39"/>
      <c r="JN224" s="39"/>
      <c r="JO224" s="39"/>
      <c r="JP224" s="39"/>
      <c r="JQ224" s="39"/>
      <c r="JR224" s="39"/>
      <c r="JS224" s="39"/>
      <c r="JT224" s="39"/>
      <c r="JU224" s="39"/>
      <c r="JV224" s="39"/>
      <c r="JW224" s="39"/>
      <c r="JX224" s="39"/>
      <c r="JY224" s="39"/>
      <c r="JZ224" s="39"/>
      <c r="KA224" s="39"/>
      <c r="KB224" s="39"/>
      <c r="KC224" s="39"/>
      <c r="KD224" s="39"/>
      <c r="KE224" s="39"/>
      <c r="KF224" s="39"/>
      <c r="KG224" s="39"/>
      <c r="KH224" s="39"/>
      <c r="KI224" s="39"/>
      <c r="KJ224" s="39"/>
      <c r="KK224" s="39"/>
      <c r="KL224" s="39"/>
      <c r="KM224" s="39"/>
      <c r="KN224" s="39"/>
      <c r="KO224" s="39"/>
      <c r="KP224" s="39"/>
      <c r="KQ224" s="39"/>
      <c r="KR224" s="39"/>
      <c r="KS224" s="39"/>
      <c r="KT224" s="39"/>
      <c r="KU224" s="39"/>
      <c r="KV224" s="39"/>
      <c r="KW224" s="39"/>
      <c r="KX224" s="39"/>
      <c r="KY224" s="39"/>
      <c r="KZ224" s="39"/>
      <c r="LA224" s="39"/>
      <c r="LB224" s="39"/>
      <c r="LC224" s="39"/>
      <c r="LD224" s="39"/>
      <c r="LE224" s="39"/>
      <c r="LF224" s="39"/>
      <c r="LG224" s="39"/>
      <c r="LH224" s="39"/>
      <c r="LI224" s="39"/>
      <c r="LJ224" s="39"/>
      <c r="LK224" s="39"/>
      <c r="LL224" s="39"/>
      <c r="LM224" s="39"/>
      <c r="LN224" s="39"/>
      <c r="LO224" s="39"/>
      <c r="LP224" s="39"/>
      <c r="LQ224" s="39"/>
      <c r="LR224" s="39"/>
      <c r="LS224" s="39"/>
      <c r="LT224" s="39"/>
      <c r="LU224" s="39"/>
      <c r="LV224" s="39"/>
      <c r="LW224" s="39"/>
      <c r="LX224" s="39"/>
      <c r="LY224" s="39"/>
      <c r="LZ224" s="39"/>
      <c r="MA224" s="39"/>
      <c r="MB224" s="39"/>
      <c r="MC224" s="39"/>
      <c r="MD224" s="39"/>
      <c r="ME224" s="39"/>
      <c r="MF224" s="39"/>
      <c r="MG224" s="39"/>
      <c r="MH224" s="39"/>
      <c r="MI224" s="39"/>
      <c r="MJ224" s="39"/>
      <c r="MK224" s="39"/>
      <c r="ML224" s="39"/>
      <c r="MM224" s="39"/>
      <c r="MN224" s="39"/>
      <c r="MO224" s="39"/>
      <c r="MP224" s="39"/>
      <c r="MQ224" s="39"/>
      <c r="MR224" s="39"/>
      <c r="MS224" s="39"/>
      <c r="MT224" s="39"/>
      <c r="MU224" s="39"/>
      <c r="MV224" s="39"/>
      <c r="MW224" s="39"/>
      <c r="MX224" s="39"/>
      <c r="MY224" s="39"/>
      <c r="MZ224" s="39"/>
      <c r="NA224" s="39"/>
      <c r="NB224" s="39"/>
      <c r="NC224" s="39"/>
      <c r="ND224" s="39"/>
      <c r="NE224" s="39"/>
      <c r="NF224" s="39"/>
      <c r="NG224" s="39"/>
      <c r="NH224" s="39"/>
      <c r="NI224" s="39"/>
      <c r="NJ224" s="39"/>
      <c r="NK224" s="39"/>
      <c r="NL224" s="39"/>
      <c r="NM224" s="39"/>
      <c r="NN224" s="39"/>
      <c r="NO224" s="39"/>
      <c r="NP224" s="39"/>
      <c r="NQ224" s="39"/>
      <c r="NR224" s="39"/>
      <c r="NS224" s="39"/>
      <c r="NT224" s="39"/>
      <c r="NU224" s="39"/>
      <c r="NV224" s="39"/>
      <c r="NW224" s="39"/>
      <c r="NX224" s="39"/>
      <c r="NY224" s="39"/>
      <c r="NZ224" s="39"/>
      <c r="OA224" s="39"/>
      <c r="OB224" s="39"/>
      <c r="OC224" s="39"/>
      <c r="OD224" s="39"/>
      <c r="OE224" s="39"/>
      <c r="OF224" s="39"/>
      <c r="OG224" s="39"/>
      <c r="OH224" s="39"/>
      <c r="OI224" s="39"/>
      <c r="OJ224" s="39"/>
      <c r="OK224" s="39"/>
      <c r="OL224" s="39"/>
      <c r="OM224" s="39"/>
      <c r="ON224" s="39"/>
      <c r="OO224" s="39"/>
      <c r="OP224" s="39"/>
      <c r="OQ224" s="39"/>
      <c r="OR224" s="39"/>
      <c r="OS224" s="39"/>
      <c r="OT224" s="39"/>
      <c r="OU224" s="39"/>
      <c r="OV224" s="39"/>
      <c r="OW224" s="39"/>
      <c r="OX224" s="39"/>
      <c r="OY224" s="39"/>
      <c r="OZ224" s="39"/>
      <c r="PA224" s="39"/>
      <c r="PB224" s="39"/>
      <c r="PC224" s="39"/>
      <c r="PD224" s="39"/>
      <c r="PE224" s="39"/>
      <c r="PF224" s="39"/>
      <c r="PG224" s="39"/>
      <c r="PH224" s="39"/>
      <c r="PI224" s="39"/>
      <c r="PJ224" s="39"/>
      <c r="PK224" s="39"/>
      <c r="PL224" s="39"/>
      <c r="PM224" s="39"/>
      <c r="PN224" s="39"/>
      <c r="PO224" s="39"/>
      <c r="PP224" s="39"/>
      <c r="PQ224" s="39"/>
      <c r="PR224" s="39"/>
      <c r="PS224" s="39"/>
      <c r="PT224" s="39"/>
      <c r="PU224" s="39"/>
      <c r="PV224" s="39"/>
      <c r="PW224" s="39"/>
      <c r="PX224" s="39"/>
      <c r="PY224" s="39"/>
      <c r="PZ224" s="39"/>
      <c r="QA224" s="39"/>
      <c r="QB224" s="39"/>
      <c r="QC224" s="39"/>
      <c r="QD224" s="39"/>
      <c r="QE224" s="39"/>
      <c r="QF224" s="39"/>
      <c r="QG224" s="39"/>
      <c r="QH224" s="39"/>
      <c r="QI224" s="39"/>
      <c r="QJ224" s="39"/>
      <c r="QK224" s="39"/>
      <c r="QL224" s="39"/>
      <c r="QM224" s="39"/>
      <c r="QN224" s="39"/>
      <c r="QO224" s="39"/>
      <c r="QP224" s="39"/>
      <c r="QQ224" s="39"/>
      <c r="QR224" s="39"/>
      <c r="QS224" s="39"/>
      <c r="QT224" s="39"/>
      <c r="QU224" s="39"/>
      <c r="QV224" s="39"/>
      <c r="QW224" s="39"/>
      <c r="QX224" s="39"/>
      <c r="QY224" s="39"/>
      <c r="QZ224" s="39"/>
      <c r="RA224" s="39"/>
      <c r="RB224" s="39"/>
      <c r="RC224" s="39"/>
      <c r="RD224" s="39"/>
      <c r="RE224" s="39"/>
      <c r="RF224" s="39"/>
      <c r="RG224" s="39"/>
      <c r="RH224" s="39"/>
      <c r="RI224" s="39"/>
      <c r="RJ224" s="39"/>
      <c r="RK224" s="39"/>
      <c r="RL224" s="39"/>
      <c r="RM224" s="39"/>
      <c r="RN224" s="39"/>
      <c r="RO224" s="39"/>
      <c r="RP224" s="39"/>
      <c r="RQ224" s="39"/>
      <c r="RR224" s="39"/>
      <c r="RS224" s="39"/>
      <c r="RT224" s="39"/>
      <c r="RU224" s="39"/>
      <c r="RV224" s="39"/>
      <c r="RW224" s="39"/>
      <c r="RX224" s="39"/>
      <c r="RY224" s="39"/>
      <c r="RZ224" s="39"/>
      <c r="SA224" s="39"/>
      <c r="SB224" s="39"/>
      <c r="SC224" s="39"/>
      <c r="SD224" s="39"/>
      <c r="SE224" s="39"/>
      <c r="SF224" s="39"/>
      <c r="SG224" s="39"/>
      <c r="SH224" s="39"/>
      <c r="SI224" s="39"/>
      <c r="SJ224" s="39"/>
      <c r="SK224" s="39"/>
      <c r="SL224" s="39"/>
      <c r="SM224" s="39"/>
      <c r="SN224" s="39"/>
      <c r="SO224" s="39"/>
      <c r="SP224" s="39"/>
      <c r="SQ224" s="39"/>
      <c r="SR224" s="39"/>
      <c r="SS224" s="39"/>
      <c r="ST224" s="39"/>
      <c r="SU224" s="39"/>
      <c r="SV224" s="39"/>
      <c r="SW224" s="39"/>
      <c r="SX224" s="39"/>
      <c r="SY224" s="39"/>
      <c r="SZ224" s="39"/>
      <c r="TA224" s="39"/>
      <c r="TB224" s="39"/>
      <c r="TC224" s="39"/>
      <c r="TD224" s="39"/>
      <c r="TE224" s="39"/>
      <c r="TF224" s="39"/>
      <c r="TG224" s="39"/>
      <c r="TH224" s="39"/>
      <c r="TI224" s="39"/>
    </row>
    <row r="225" spans="1:529" s="23" customFormat="1" ht="44.25" customHeight="1" x14ac:dyDescent="0.25">
      <c r="A225" s="43" t="s">
        <v>151</v>
      </c>
      <c r="B225" s="44" t="str">
        <f>'дод 4'!A20</f>
        <v>0160</v>
      </c>
      <c r="C225" s="44" t="str">
        <f>'дод 4'!B20</f>
        <v>0111</v>
      </c>
      <c r="D225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25" s="66">
        <f t="shared" ref="E225:E239" si="119">F225+I225</f>
        <v>3110600</v>
      </c>
      <c r="F225" s="66">
        <f>1976700-82900+1216800</f>
        <v>3110600</v>
      </c>
      <c r="G225" s="66">
        <f>1620200-67900+1029100</f>
        <v>2581400</v>
      </c>
      <c r="H225" s="66"/>
      <c r="I225" s="66"/>
      <c r="J225" s="66">
        <f>L225+O225</f>
        <v>3200000</v>
      </c>
      <c r="K225" s="66"/>
      <c r="L225" s="66">
        <v>3200000</v>
      </c>
      <c r="M225" s="66">
        <v>2348000</v>
      </c>
      <c r="N225" s="66">
        <v>90600</v>
      </c>
      <c r="O225" s="66"/>
      <c r="P225" s="66">
        <f t="shared" ref="P225:P239" si="120">E225+J225</f>
        <v>6310600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  <c r="IW225" s="26"/>
      <c r="IX225" s="26"/>
      <c r="IY225" s="26"/>
      <c r="IZ225" s="26"/>
      <c r="JA225" s="26"/>
      <c r="JB225" s="26"/>
      <c r="JC225" s="26"/>
      <c r="JD225" s="26"/>
      <c r="JE225" s="26"/>
      <c r="JF225" s="26"/>
      <c r="JG225" s="26"/>
      <c r="JH225" s="26"/>
      <c r="JI225" s="26"/>
      <c r="JJ225" s="26"/>
      <c r="JK225" s="26"/>
      <c r="JL225" s="26"/>
      <c r="JM225" s="26"/>
      <c r="JN225" s="26"/>
      <c r="JO225" s="26"/>
      <c r="JP225" s="26"/>
      <c r="JQ225" s="26"/>
      <c r="JR225" s="26"/>
      <c r="JS225" s="26"/>
      <c r="JT225" s="26"/>
      <c r="JU225" s="26"/>
      <c r="JV225" s="26"/>
      <c r="JW225" s="26"/>
      <c r="JX225" s="26"/>
      <c r="JY225" s="26"/>
      <c r="JZ225" s="26"/>
      <c r="KA225" s="26"/>
      <c r="KB225" s="26"/>
      <c r="KC225" s="26"/>
      <c r="KD225" s="26"/>
      <c r="KE225" s="26"/>
      <c r="KF225" s="26"/>
      <c r="KG225" s="26"/>
      <c r="KH225" s="26"/>
      <c r="KI225" s="26"/>
      <c r="KJ225" s="26"/>
      <c r="KK225" s="26"/>
      <c r="KL225" s="26"/>
      <c r="KM225" s="26"/>
      <c r="KN225" s="26"/>
      <c r="KO225" s="26"/>
      <c r="KP225" s="26"/>
      <c r="KQ225" s="26"/>
      <c r="KR225" s="26"/>
      <c r="KS225" s="26"/>
      <c r="KT225" s="26"/>
      <c r="KU225" s="26"/>
      <c r="KV225" s="26"/>
      <c r="KW225" s="26"/>
      <c r="KX225" s="26"/>
      <c r="KY225" s="26"/>
      <c r="KZ225" s="26"/>
      <c r="LA225" s="26"/>
      <c r="LB225" s="26"/>
      <c r="LC225" s="26"/>
      <c r="LD225" s="26"/>
      <c r="LE225" s="26"/>
      <c r="LF225" s="26"/>
      <c r="LG225" s="26"/>
      <c r="LH225" s="26"/>
      <c r="LI225" s="26"/>
      <c r="LJ225" s="26"/>
      <c r="LK225" s="26"/>
      <c r="LL225" s="26"/>
      <c r="LM225" s="26"/>
      <c r="LN225" s="26"/>
      <c r="LO225" s="26"/>
      <c r="LP225" s="26"/>
      <c r="LQ225" s="26"/>
      <c r="LR225" s="26"/>
      <c r="LS225" s="26"/>
      <c r="LT225" s="26"/>
      <c r="LU225" s="26"/>
      <c r="LV225" s="26"/>
      <c r="LW225" s="26"/>
      <c r="LX225" s="26"/>
      <c r="LY225" s="26"/>
      <c r="LZ225" s="26"/>
      <c r="MA225" s="26"/>
      <c r="MB225" s="26"/>
      <c r="MC225" s="26"/>
      <c r="MD225" s="26"/>
      <c r="ME225" s="26"/>
      <c r="MF225" s="26"/>
      <c r="MG225" s="26"/>
      <c r="MH225" s="26"/>
      <c r="MI225" s="26"/>
      <c r="MJ225" s="26"/>
      <c r="MK225" s="26"/>
      <c r="ML225" s="26"/>
      <c r="MM225" s="26"/>
      <c r="MN225" s="26"/>
      <c r="MO225" s="26"/>
      <c r="MP225" s="26"/>
      <c r="MQ225" s="26"/>
      <c r="MR225" s="26"/>
      <c r="MS225" s="26"/>
      <c r="MT225" s="26"/>
      <c r="MU225" s="26"/>
      <c r="MV225" s="26"/>
      <c r="MW225" s="26"/>
      <c r="MX225" s="26"/>
      <c r="MY225" s="26"/>
      <c r="MZ225" s="26"/>
      <c r="NA225" s="26"/>
      <c r="NB225" s="26"/>
      <c r="NC225" s="26"/>
      <c r="ND225" s="26"/>
      <c r="NE225" s="26"/>
      <c r="NF225" s="26"/>
      <c r="NG225" s="26"/>
      <c r="NH225" s="26"/>
      <c r="NI225" s="26"/>
      <c r="NJ225" s="26"/>
      <c r="NK225" s="26"/>
      <c r="NL225" s="26"/>
      <c r="NM225" s="26"/>
      <c r="NN225" s="26"/>
      <c r="NO225" s="26"/>
      <c r="NP225" s="26"/>
      <c r="NQ225" s="26"/>
      <c r="NR225" s="26"/>
      <c r="NS225" s="26"/>
      <c r="NT225" s="26"/>
      <c r="NU225" s="26"/>
      <c r="NV225" s="26"/>
      <c r="NW225" s="26"/>
      <c r="NX225" s="26"/>
      <c r="NY225" s="26"/>
      <c r="NZ225" s="26"/>
      <c r="OA225" s="26"/>
      <c r="OB225" s="26"/>
      <c r="OC225" s="26"/>
      <c r="OD225" s="26"/>
      <c r="OE225" s="26"/>
      <c r="OF225" s="26"/>
      <c r="OG225" s="26"/>
      <c r="OH225" s="26"/>
      <c r="OI225" s="26"/>
      <c r="OJ225" s="26"/>
      <c r="OK225" s="26"/>
      <c r="OL225" s="26"/>
      <c r="OM225" s="26"/>
      <c r="ON225" s="26"/>
      <c r="OO225" s="26"/>
      <c r="OP225" s="26"/>
      <c r="OQ225" s="26"/>
      <c r="OR225" s="26"/>
      <c r="OS225" s="26"/>
      <c r="OT225" s="26"/>
      <c r="OU225" s="26"/>
      <c r="OV225" s="26"/>
      <c r="OW225" s="26"/>
      <c r="OX225" s="26"/>
      <c r="OY225" s="26"/>
      <c r="OZ225" s="26"/>
      <c r="PA225" s="26"/>
      <c r="PB225" s="26"/>
      <c r="PC225" s="26"/>
      <c r="PD225" s="26"/>
      <c r="PE225" s="26"/>
      <c r="PF225" s="26"/>
      <c r="PG225" s="26"/>
      <c r="PH225" s="26"/>
      <c r="PI225" s="26"/>
      <c r="PJ225" s="26"/>
      <c r="PK225" s="26"/>
      <c r="PL225" s="26"/>
      <c r="PM225" s="26"/>
      <c r="PN225" s="26"/>
      <c r="PO225" s="26"/>
      <c r="PP225" s="26"/>
      <c r="PQ225" s="26"/>
      <c r="PR225" s="26"/>
      <c r="PS225" s="26"/>
      <c r="PT225" s="26"/>
      <c r="PU225" s="26"/>
      <c r="PV225" s="26"/>
      <c r="PW225" s="26"/>
      <c r="PX225" s="26"/>
      <c r="PY225" s="26"/>
      <c r="PZ225" s="26"/>
      <c r="QA225" s="26"/>
      <c r="QB225" s="26"/>
      <c r="QC225" s="26"/>
      <c r="QD225" s="26"/>
      <c r="QE225" s="26"/>
      <c r="QF225" s="26"/>
      <c r="QG225" s="26"/>
      <c r="QH225" s="26"/>
      <c r="QI225" s="26"/>
      <c r="QJ225" s="26"/>
      <c r="QK225" s="26"/>
      <c r="QL225" s="26"/>
      <c r="QM225" s="26"/>
      <c r="QN225" s="26"/>
      <c r="QO225" s="26"/>
      <c r="QP225" s="26"/>
      <c r="QQ225" s="26"/>
      <c r="QR225" s="26"/>
      <c r="QS225" s="26"/>
      <c r="QT225" s="26"/>
      <c r="QU225" s="26"/>
      <c r="QV225" s="26"/>
      <c r="QW225" s="26"/>
      <c r="QX225" s="26"/>
      <c r="QY225" s="26"/>
      <c r="QZ225" s="26"/>
      <c r="RA225" s="26"/>
      <c r="RB225" s="26"/>
      <c r="RC225" s="26"/>
      <c r="RD225" s="26"/>
      <c r="RE225" s="26"/>
      <c r="RF225" s="26"/>
      <c r="RG225" s="26"/>
      <c r="RH225" s="26"/>
      <c r="RI225" s="26"/>
      <c r="RJ225" s="26"/>
      <c r="RK225" s="26"/>
      <c r="RL225" s="26"/>
      <c r="RM225" s="26"/>
      <c r="RN225" s="26"/>
      <c r="RO225" s="26"/>
      <c r="RP225" s="26"/>
      <c r="RQ225" s="26"/>
      <c r="RR225" s="26"/>
      <c r="RS225" s="26"/>
      <c r="RT225" s="26"/>
      <c r="RU225" s="26"/>
      <c r="RV225" s="26"/>
      <c r="RW225" s="26"/>
      <c r="RX225" s="26"/>
      <c r="RY225" s="26"/>
      <c r="RZ225" s="26"/>
      <c r="SA225" s="26"/>
      <c r="SB225" s="26"/>
      <c r="SC225" s="26"/>
      <c r="SD225" s="26"/>
      <c r="SE225" s="26"/>
      <c r="SF225" s="26"/>
      <c r="SG225" s="26"/>
      <c r="SH225" s="26"/>
      <c r="SI225" s="26"/>
      <c r="SJ225" s="26"/>
      <c r="SK225" s="26"/>
      <c r="SL225" s="26"/>
      <c r="SM225" s="26"/>
      <c r="SN225" s="26"/>
      <c r="SO225" s="26"/>
      <c r="SP225" s="26"/>
      <c r="SQ225" s="26"/>
      <c r="SR225" s="26"/>
      <c r="SS225" s="26"/>
      <c r="ST225" s="26"/>
      <c r="SU225" s="26"/>
      <c r="SV225" s="26"/>
      <c r="SW225" s="26"/>
      <c r="SX225" s="26"/>
      <c r="SY225" s="26"/>
      <c r="SZ225" s="26"/>
      <c r="TA225" s="26"/>
      <c r="TB225" s="26"/>
      <c r="TC225" s="26"/>
      <c r="TD225" s="26"/>
      <c r="TE225" s="26"/>
      <c r="TF225" s="26"/>
      <c r="TG225" s="26"/>
      <c r="TH225" s="26"/>
      <c r="TI225" s="26"/>
    </row>
    <row r="226" spans="1:529" s="23" customFormat="1" ht="18" customHeight="1" x14ac:dyDescent="0.25">
      <c r="A226" s="43" t="s">
        <v>222</v>
      </c>
      <c r="B226" s="44" t="str">
        <f>'дод 4'!A131</f>
        <v>6030</v>
      </c>
      <c r="C226" s="44" t="str">
        <f>'дод 4'!B131</f>
        <v>0620</v>
      </c>
      <c r="D226" s="24" t="str">
        <f>'дод 4'!C131</f>
        <v>Організація благоустрою населених пунктів</v>
      </c>
      <c r="E226" s="66">
        <f t="shared" si="119"/>
        <v>0</v>
      </c>
      <c r="F226" s="66"/>
      <c r="G226" s="66"/>
      <c r="H226" s="66"/>
      <c r="I226" s="66"/>
      <c r="J226" s="66">
        <f t="shared" ref="J226:J244" si="121">L226+O226</f>
        <v>61296556</v>
      </c>
      <c r="K226" s="66">
        <f>60000000-5000000-3750000-35796000+622556+500000+30000000+2100000+6100000+500000+3220000+2800000</f>
        <v>61296556</v>
      </c>
      <c r="L226" s="66"/>
      <c r="M226" s="66"/>
      <c r="N226" s="66"/>
      <c r="O226" s="66">
        <f>60000000-5000000-3750000-35796000+622556+500000+30000000+2100000+6100000+500000+3220000+2800000</f>
        <v>61296556</v>
      </c>
      <c r="P226" s="66">
        <f t="shared" si="120"/>
        <v>61296556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  <c r="IW226" s="26"/>
      <c r="IX226" s="26"/>
      <c r="IY226" s="26"/>
      <c r="IZ226" s="26"/>
      <c r="JA226" s="26"/>
      <c r="JB226" s="26"/>
      <c r="JC226" s="26"/>
      <c r="JD226" s="26"/>
      <c r="JE226" s="26"/>
      <c r="JF226" s="26"/>
      <c r="JG226" s="26"/>
      <c r="JH226" s="26"/>
      <c r="JI226" s="26"/>
      <c r="JJ226" s="26"/>
      <c r="JK226" s="26"/>
      <c r="JL226" s="26"/>
      <c r="JM226" s="26"/>
      <c r="JN226" s="26"/>
      <c r="JO226" s="26"/>
      <c r="JP226" s="26"/>
      <c r="JQ226" s="26"/>
      <c r="JR226" s="26"/>
      <c r="JS226" s="26"/>
      <c r="JT226" s="26"/>
      <c r="JU226" s="26"/>
      <c r="JV226" s="26"/>
      <c r="JW226" s="26"/>
      <c r="JX226" s="26"/>
      <c r="JY226" s="26"/>
      <c r="JZ226" s="26"/>
      <c r="KA226" s="26"/>
      <c r="KB226" s="26"/>
      <c r="KC226" s="26"/>
      <c r="KD226" s="26"/>
      <c r="KE226" s="26"/>
      <c r="KF226" s="26"/>
      <c r="KG226" s="26"/>
      <c r="KH226" s="26"/>
      <c r="KI226" s="26"/>
      <c r="KJ226" s="26"/>
      <c r="KK226" s="26"/>
      <c r="KL226" s="26"/>
      <c r="KM226" s="26"/>
      <c r="KN226" s="26"/>
      <c r="KO226" s="26"/>
      <c r="KP226" s="26"/>
      <c r="KQ226" s="26"/>
      <c r="KR226" s="26"/>
      <c r="KS226" s="26"/>
      <c r="KT226" s="26"/>
      <c r="KU226" s="26"/>
      <c r="KV226" s="26"/>
      <c r="KW226" s="26"/>
      <c r="KX226" s="26"/>
      <c r="KY226" s="26"/>
      <c r="KZ226" s="26"/>
      <c r="LA226" s="26"/>
      <c r="LB226" s="26"/>
      <c r="LC226" s="26"/>
      <c r="LD226" s="26"/>
      <c r="LE226" s="26"/>
      <c r="LF226" s="26"/>
      <c r="LG226" s="26"/>
      <c r="LH226" s="26"/>
      <c r="LI226" s="26"/>
      <c r="LJ226" s="26"/>
      <c r="LK226" s="26"/>
      <c r="LL226" s="26"/>
      <c r="LM226" s="26"/>
      <c r="LN226" s="26"/>
      <c r="LO226" s="26"/>
      <c r="LP226" s="26"/>
      <c r="LQ226" s="26"/>
      <c r="LR226" s="26"/>
      <c r="LS226" s="26"/>
      <c r="LT226" s="26"/>
      <c r="LU226" s="26"/>
      <c r="LV226" s="26"/>
      <c r="LW226" s="26"/>
      <c r="LX226" s="26"/>
      <c r="LY226" s="26"/>
      <c r="LZ226" s="26"/>
      <c r="MA226" s="26"/>
      <c r="MB226" s="26"/>
      <c r="MC226" s="26"/>
      <c r="MD226" s="26"/>
      <c r="ME226" s="26"/>
      <c r="MF226" s="26"/>
      <c r="MG226" s="26"/>
      <c r="MH226" s="26"/>
      <c r="MI226" s="26"/>
      <c r="MJ226" s="26"/>
      <c r="MK226" s="26"/>
      <c r="ML226" s="26"/>
      <c r="MM226" s="26"/>
      <c r="MN226" s="26"/>
      <c r="MO226" s="26"/>
      <c r="MP226" s="26"/>
      <c r="MQ226" s="26"/>
      <c r="MR226" s="26"/>
      <c r="MS226" s="26"/>
      <c r="MT226" s="26"/>
      <c r="MU226" s="26"/>
      <c r="MV226" s="26"/>
      <c r="MW226" s="26"/>
      <c r="MX226" s="26"/>
      <c r="MY226" s="26"/>
      <c r="MZ226" s="26"/>
      <c r="NA226" s="26"/>
      <c r="NB226" s="26"/>
      <c r="NC226" s="26"/>
      <c r="ND226" s="26"/>
      <c r="NE226" s="26"/>
      <c r="NF226" s="26"/>
      <c r="NG226" s="26"/>
      <c r="NH226" s="26"/>
      <c r="NI226" s="26"/>
      <c r="NJ226" s="26"/>
      <c r="NK226" s="26"/>
      <c r="NL226" s="26"/>
      <c r="NM226" s="26"/>
      <c r="NN226" s="26"/>
      <c r="NO226" s="26"/>
      <c r="NP226" s="26"/>
      <c r="NQ226" s="26"/>
      <c r="NR226" s="26"/>
      <c r="NS226" s="26"/>
      <c r="NT226" s="26"/>
      <c r="NU226" s="26"/>
      <c r="NV226" s="26"/>
      <c r="NW226" s="26"/>
      <c r="NX226" s="26"/>
      <c r="NY226" s="26"/>
      <c r="NZ226" s="26"/>
      <c r="OA226" s="26"/>
      <c r="OB226" s="26"/>
      <c r="OC226" s="26"/>
      <c r="OD226" s="26"/>
      <c r="OE226" s="26"/>
      <c r="OF226" s="26"/>
      <c r="OG226" s="26"/>
      <c r="OH226" s="26"/>
      <c r="OI226" s="26"/>
      <c r="OJ226" s="26"/>
      <c r="OK226" s="26"/>
      <c r="OL226" s="26"/>
      <c r="OM226" s="26"/>
      <c r="ON226" s="26"/>
      <c r="OO226" s="26"/>
      <c r="OP226" s="26"/>
      <c r="OQ226" s="26"/>
      <c r="OR226" s="26"/>
      <c r="OS226" s="26"/>
      <c r="OT226" s="26"/>
      <c r="OU226" s="26"/>
      <c r="OV226" s="26"/>
      <c r="OW226" s="26"/>
      <c r="OX226" s="26"/>
      <c r="OY226" s="26"/>
      <c r="OZ226" s="26"/>
      <c r="PA226" s="26"/>
      <c r="PB226" s="26"/>
      <c r="PC226" s="26"/>
      <c r="PD226" s="26"/>
      <c r="PE226" s="26"/>
      <c r="PF226" s="26"/>
      <c r="PG226" s="26"/>
      <c r="PH226" s="26"/>
      <c r="PI226" s="26"/>
      <c r="PJ226" s="26"/>
      <c r="PK226" s="26"/>
      <c r="PL226" s="26"/>
      <c r="PM226" s="26"/>
      <c r="PN226" s="26"/>
      <c r="PO226" s="26"/>
      <c r="PP226" s="26"/>
      <c r="PQ226" s="26"/>
      <c r="PR226" s="26"/>
      <c r="PS226" s="26"/>
      <c r="PT226" s="26"/>
      <c r="PU226" s="26"/>
      <c r="PV226" s="26"/>
      <c r="PW226" s="26"/>
      <c r="PX226" s="26"/>
      <c r="PY226" s="26"/>
      <c r="PZ226" s="26"/>
      <c r="QA226" s="26"/>
      <c r="QB226" s="26"/>
      <c r="QC226" s="26"/>
      <c r="QD226" s="26"/>
      <c r="QE226" s="26"/>
      <c r="QF226" s="26"/>
      <c r="QG226" s="26"/>
      <c r="QH226" s="26"/>
      <c r="QI226" s="26"/>
      <c r="QJ226" s="26"/>
      <c r="QK226" s="26"/>
      <c r="QL226" s="26"/>
      <c r="QM226" s="26"/>
      <c r="QN226" s="26"/>
      <c r="QO226" s="26"/>
      <c r="QP226" s="26"/>
      <c r="QQ226" s="26"/>
      <c r="QR226" s="26"/>
      <c r="QS226" s="26"/>
      <c r="QT226" s="26"/>
      <c r="QU226" s="26"/>
      <c r="QV226" s="26"/>
      <c r="QW226" s="26"/>
      <c r="QX226" s="26"/>
      <c r="QY226" s="26"/>
      <c r="QZ226" s="26"/>
      <c r="RA226" s="26"/>
      <c r="RB226" s="26"/>
      <c r="RC226" s="26"/>
      <c r="RD226" s="26"/>
      <c r="RE226" s="26"/>
      <c r="RF226" s="26"/>
      <c r="RG226" s="26"/>
      <c r="RH226" s="26"/>
      <c r="RI226" s="26"/>
      <c r="RJ226" s="26"/>
      <c r="RK226" s="26"/>
      <c r="RL226" s="26"/>
      <c r="RM226" s="26"/>
      <c r="RN226" s="26"/>
      <c r="RO226" s="26"/>
      <c r="RP226" s="26"/>
      <c r="RQ226" s="26"/>
      <c r="RR226" s="26"/>
      <c r="RS226" s="26"/>
      <c r="RT226" s="26"/>
      <c r="RU226" s="26"/>
      <c r="RV226" s="26"/>
      <c r="RW226" s="26"/>
      <c r="RX226" s="26"/>
      <c r="RY226" s="26"/>
      <c r="RZ226" s="26"/>
      <c r="SA226" s="26"/>
      <c r="SB226" s="26"/>
      <c r="SC226" s="26"/>
      <c r="SD226" s="26"/>
      <c r="SE226" s="26"/>
      <c r="SF226" s="26"/>
      <c r="SG226" s="26"/>
      <c r="SH226" s="26"/>
      <c r="SI226" s="26"/>
      <c r="SJ226" s="26"/>
      <c r="SK226" s="26"/>
      <c r="SL226" s="26"/>
      <c r="SM226" s="26"/>
      <c r="SN226" s="26"/>
      <c r="SO226" s="26"/>
      <c r="SP226" s="26"/>
      <c r="SQ226" s="26"/>
      <c r="SR226" s="26"/>
      <c r="SS226" s="26"/>
      <c r="ST226" s="26"/>
      <c r="SU226" s="26"/>
      <c r="SV226" s="26"/>
      <c r="SW226" s="26"/>
      <c r="SX226" s="26"/>
      <c r="SY226" s="26"/>
      <c r="SZ226" s="26"/>
      <c r="TA226" s="26"/>
      <c r="TB226" s="26"/>
      <c r="TC226" s="26"/>
      <c r="TD226" s="26"/>
      <c r="TE226" s="26"/>
      <c r="TF226" s="26"/>
      <c r="TG226" s="26"/>
      <c r="TH226" s="26"/>
      <c r="TI226" s="26"/>
    </row>
    <row r="227" spans="1:529" s="23" customFormat="1" ht="54.75" customHeight="1" x14ac:dyDescent="0.25">
      <c r="A227" s="43" t="s">
        <v>223</v>
      </c>
      <c r="B227" s="44" t="str">
        <f>'дод 4'!A133</f>
        <v>6084</v>
      </c>
      <c r="C227" s="44" t="str">
        <f>'дод 4'!B133</f>
        <v>0610</v>
      </c>
      <c r="D227" s="24" t="str">
        <f>'дод 4'!C133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7" s="66">
        <f t="shared" si="119"/>
        <v>84906</v>
      </c>
      <c r="F227" s="66"/>
      <c r="G227" s="66"/>
      <c r="H227" s="66"/>
      <c r="I227" s="66">
        <v>84906</v>
      </c>
      <c r="J227" s="66">
        <f t="shared" si="121"/>
        <v>77703.06</v>
      </c>
      <c r="K227" s="66"/>
      <c r="L227" s="68"/>
      <c r="M227" s="66"/>
      <c r="N227" s="66"/>
      <c r="O227" s="66">
        <f>46724+30979.06</f>
        <v>77703.06</v>
      </c>
      <c r="P227" s="66">
        <f t="shared" si="120"/>
        <v>162609.06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  <c r="IW227" s="26"/>
      <c r="IX227" s="26"/>
      <c r="IY227" s="26"/>
      <c r="IZ227" s="26"/>
      <c r="JA227" s="26"/>
      <c r="JB227" s="26"/>
      <c r="JC227" s="26"/>
      <c r="JD227" s="26"/>
      <c r="JE227" s="26"/>
      <c r="JF227" s="26"/>
      <c r="JG227" s="26"/>
      <c r="JH227" s="26"/>
      <c r="JI227" s="26"/>
      <c r="JJ227" s="26"/>
      <c r="JK227" s="26"/>
      <c r="JL227" s="26"/>
      <c r="JM227" s="26"/>
      <c r="JN227" s="26"/>
      <c r="JO227" s="26"/>
      <c r="JP227" s="26"/>
      <c r="JQ227" s="26"/>
      <c r="JR227" s="26"/>
      <c r="JS227" s="26"/>
      <c r="JT227" s="26"/>
      <c r="JU227" s="26"/>
      <c r="JV227" s="26"/>
      <c r="JW227" s="26"/>
      <c r="JX227" s="26"/>
      <c r="JY227" s="26"/>
      <c r="JZ227" s="26"/>
      <c r="KA227" s="26"/>
      <c r="KB227" s="26"/>
      <c r="KC227" s="26"/>
      <c r="KD227" s="26"/>
      <c r="KE227" s="26"/>
      <c r="KF227" s="26"/>
      <c r="KG227" s="26"/>
      <c r="KH227" s="26"/>
      <c r="KI227" s="26"/>
      <c r="KJ227" s="26"/>
      <c r="KK227" s="26"/>
      <c r="KL227" s="26"/>
      <c r="KM227" s="26"/>
      <c r="KN227" s="26"/>
      <c r="KO227" s="26"/>
      <c r="KP227" s="26"/>
      <c r="KQ227" s="26"/>
      <c r="KR227" s="26"/>
      <c r="KS227" s="26"/>
      <c r="KT227" s="26"/>
      <c r="KU227" s="26"/>
      <c r="KV227" s="26"/>
      <c r="KW227" s="26"/>
      <c r="KX227" s="26"/>
      <c r="KY227" s="26"/>
      <c r="KZ227" s="26"/>
      <c r="LA227" s="26"/>
      <c r="LB227" s="26"/>
      <c r="LC227" s="26"/>
      <c r="LD227" s="26"/>
      <c r="LE227" s="26"/>
      <c r="LF227" s="26"/>
      <c r="LG227" s="26"/>
      <c r="LH227" s="26"/>
      <c r="LI227" s="26"/>
      <c r="LJ227" s="26"/>
      <c r="LK227" s="26"/>
      <c r="LL227" s="26"/>
      <c r="LM227" s="26"/>
      <c r="LN227" s="26"/>
      <c r="LO227" s="26"/>
      <c r="LP227" s="26"/>
      <c r="LQ227" s="26"/>
      <c r="LR227" s="26"/>
      <c r="LS227" s="26"/>
      <c r="LT227" s="26"/>
      <c r="LU227" s="26"/>
      <c r="LV227" s="26"/>
      <c r="LW227" s="26"/>
      <c r="LX227" s="26"/>
      <c r="LY227" s="26"/>
      <c r="LZ227" s="26"/>
      <c r="MA227" s="26"/>
      <c r="MB227" s="26"/>
      <c r="MC227" s="26"/>
      <c r="MD227" s="26"/>
      <c r="ME227" s="26"/>
      <c r="MF227" s="26"/>
      <c r="MG227" s="26"/>
      <c r="MH227" s="26"/>
      <c r="MI227" s="26"/>
      <c r="MJ227" s="26"/>
      <c r="MK227" s="26"/>
      <c r="ML227" s="26"/>
      <c r="MM227" s="26"/>
      <c r="MN227" s="26"/>
      <c r="MO227" s="26"/>
      <c r="MP227" s="26"/>
      <c r="MQ227" s="26"/>
      <c r="MR227" s="26"/>
      <c r="MS227" s="26"/>
      <c r="MT227" s="26"/>
      <c r="MU227" s="26"/>
      <c r="MV227" s="26"/>
      <c r="MW227" s="26"/>
      <c r="MX227" s="26"/>
      <c r="MY227" s="26"/>
      <c r="MZ227" s="26"/>
      <c r="NA227" s="26"/>
      <c r="NB227" s="26"/>
      <c r="NC227" s="26"/>
      <c r="ND227" s="26"/>
      <c r="NE227" s="26"/>
      <c r="NF227" s="26"/>
      <c r="NG227" s="26"/>
      <c r="NH227" s="26"/>
      <c r="NI227" s="26"/>
      <c r="NJ227" s="26"/>
      <c r="NK227" s="26"/>
      <c r="NL227" s="26"/>
      <c r="NM227" s="26"/>
      <c r="NN227" s="26"/>
      <c r="NO227" s="26"/>
      <c r="NP227" s="26"/>
      <c r="NQ227" s="26"/>
      <c r="NR227" s="26"/>
      <c r="NS227" s="26"/>
      <c r="NT227" s="26"/>
      <c r="NU227" s="26"/>
      <c r="NV227" s="26"/>
      <c r="NW227" s="26"/>
      <c r="NX227" s="26"/>
      <c r="NY227" s="26"/>
      <c r="NZ227" s="26"/>
      <c r="OA227" s="26"/>
      <c r="OB227" s="26"/>
      <c r="OC227" s="26"/>
      <c r="OD227" s="26"/>
      <c r="OE227" s="26"/>
      <c r="OF227" s="26"/>
      <c r="OG227" s="26"/>
      <c r="OH227" s="26"/>
      <c r="OI227" s="26"/>
      <c r="OJ227" s="26"/>
      <c r="OK227" s="26"/>
      <c r="OL227" s="26"/>
      <c r="OM227" s="26"/>
      <c r="ON227" s="26"/>
      <c r="OO227" s="26"/>
      <c r="OP227" s="26"/>
      <c r="OQ227" s="26"/>
      <c r="OR227" s="26"/>
      <c r="OS227" s="26"/>
      <c r="OT227" s="26"/>
      <c r="OU227" s="26"/>
      <c r="OV227" s="26"/>
      <c r="OW227" s="26"/>
      <c r="OX227" s="26"/>
      <c r="OY227" s="26"/>
      <c r="OZ227" s="26"/>
      <c r="PA227" s="26"/>
      <c r="PB227" s="26"/>
      <c r="PC227" s="26"/>
      <c r="PD227" s="26"/>
      <c r="PE227" s="26"/>
      <c r="PF227" s="26"/>
      <c r="PG227" s="26"/>
      <c r="PH227" s="26"/>
      <c r="PI227" s="26"/>
      <c r="PJ227" s="26"/>
      <c r="PK227" s="26"/>
      <c r="PL227" s="26"/>
      <c r="PM227" s="26"/>
      <c r="PN227" s="26"/>
      <c r="PO227" s="26"/>
      <c r="PP227" s="26"/>
      <c r="PQ227" s="26"/>
      <c r="PR227" s="26"/>
      <c r="PS227" s="26"/>
      <c r="PT227" s="26"/>
      <c r="PU227" s="26"/>
      <c r="PV227" s="26"/>
      <c r="PW227" s="26"/>
      <c r="PX227" s="26"/>
      <c r="PY227" s="26"/>
      <c r="PZ227" s="26"/>
      <c r="QA227" s="26"/>
      <c r="QB227" s="26"/>
      <c r="QC227" s="26"/>
      <c r="QD227" s="26"/>
      <c r="QE227" s="26"/>
      <c r="QF227" s="26"/>
      <c r="QG227" s="26"/>
      <c r="QH227" s="26"/>
      <c r="QI227" s="26"/>
      <c r="QJ227" s="26"/>
      <c r="QK227" s="26"/>
      <c r="QL227" s="26"/>
      <c r="QM227" s="26"/>
      <c r="QN227" s="26"/>
      <c r="QO227" s="26"/>
      <c r="QP227" s="26"/>
      <c r="QQ227" s="26"/>
      <c r="QR227" s="26"/>
      <c r="QS227" s="26"/>
      <c r="QT227" s="26"/>
      <c r="QU227" s="26"/>
      <c r="QV227" s="26"/>
      <c r="QW227" s="26"/>
      <c r="QX227" s="26"/>
      <c r="QY227" s="26"/>
      <c r="QZ227" s="26"/>
      <c r="RA227" s="26"/>
      <c r="RB227" s="26"/>
      <c r="RC227" s="26"/>
      <c r="RD227" s="26"/>
      <c r="RE227" s="26"/>
      <c r="RF227" s="26"/>
      <c r="RG227" s="26"/>
      <c r="RH227" s="26"/>
      <c r="RI227" s="26"/>
      <c r="RJ227" s="26"/>
      <c r="RK227" s="26"/>
      <c r="RL227" s="26"/>
      <c r="RM227" s="26"/>
      <c r="RN227" s="26"/>
      <c r="RO227" s="26"/>
      <c r="RP227" s="26"/>
      <c r="RQ227" s="26"/>
      <c r="RR227" s="26"/>
      <c r="RS227" s="26"/>
      <c r="RT227" s="26"/>
      <c r="RU227" s="26"/>
      <c r="RV227" s="26"/>
      <c r="RW227" s="26"/>
      <c r="RX227" s="26"/>
      <c r="RY227" s="26"/>
      <c r="RZ227" s="26"/>
      <c r="SA227" s="26"/>
      <c r="SB227" s="26"/>
      <c r="SC227" s="26"/>
      <c r="SD227" s="26"/>
      <c r="SE227" s="26"/>
      <c r="SF227" s="26"/>
      <c r="SG227" s="26"/>
      <c r="SH227" s="26"/>
      <c r="SI227" s="26"/>
      <c r="SJ227" s="26"/>
      <c r="SK227" s="26"/>
      <c r="SL227" s="26"/>
      <c r="SM227" s="26"/>
      <c r="SN227" s="26"/>
      <c r="SO227" s="26"/>
      <c r="SP227" s="26"/>
      <c r="SQ227" s="26"/>
      <c r="SR227" s="26"/>
      <c r="SS227" s="26"/>
      <c r="ST227" s="26"/>
      <c r="SU227" s="26"/>
      <c r="SV227" s="26"/>
      <c r="SW227" s="26"/>
      <c r="SX227" s="26"/>
      <c r="SY227" s="26"/>
      <c r="SZ227" s="26"/>
      <c r="TA227" s="26"/>
      <c r="TB227" s="26"/>
      <c r="TC227" s="26"/>
      <c r="TD227" s="26"/>
      <c r="TE227" s="26"/>
      <c r="TF227" s="26"/>
      <c r="TG227" s="26"/>
      <c r="TH227" s="26"/>
      <c r="TI227" s="26"/>
    </row>
    <row r="228" spans="1:529" s="23" customFormat="1" ht="24" customHeight="1" x14ac:dyDescent="0.25">
      <c r="A228" s="43" t="s">
        <v>297</v>
      </c>
      <c r="B228" s="44" t="str">
        <f>'дод 4'!A143</f>
        <v>7310</v>
      </c>
      <c r="C228" s="44" t="str">
        <f>'дод 4'!B143</f>
        <v>0443</v>
      </c>
      <c r="D228" s="24" t="str">
        <f>'дод 4'!C143</f>
        <v>Будівництво об'єктів житлово-комунального господарства</v>
      </c>
      <c r="E228" s="66">
        <f t="shared" si="119"/>
        <v>0</v>
      </c>
      <c r="F228" s="66"/>
      <c r="G228" s="66"/>
      <c r="H228" s="66"/>
      <c r="I228" s="66"/>
      <c r="J228" s="66">
        <f t="shared" si="121"/>
        <v>5885000</v>
      </c>
      <c r="K228" s="66">
        <f>3000000+1590000+1295000</f>
        <v>5885000</v>
      </c>
      <c r="L228" s="66"/>
      <c r="M228" s="66"/>
      <c r="N228" s="66"/>
      <c r="O228" s="66">
        <f>3000000+1590000+1295000</f>
        <v>5885000</v>
      </c>
      <c r="P228" s="66">
        <f t="shared" si="120"/>
        <v>5885000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  <c r="IW228" s="26"/>
      <c r="IX228" s="26"/>
      <c r="IY228" s="26"/>
      <c r="IZ228" s="26"/>
      <c r="JA228" s="26"/>
      <c r="JB228" s="26"/>
      <c r="JC228" s="26"/>
      <c r="JD228" s="26"/>
      <c r="JE228" s="26"/>
      <c r="JF228" s="26"/>
      <c r="JG228" s="26"/>
      <c r="JH228" s="26"/>
      <c r="JI228" s="26"/>
      <c r="JJ228" s="26"/>
      <c r="JK228" s="26"/>
      <c r="JL228" s="26"/>
      <c r="JM228" s="26"/>
      <c r="JN228" s="26"/>
      <c r="JO228" s="26"/>
      <c r="JP228" s="26"/>
      <c r="JQ228" s="26"/>
      <c r="JR228" s="26"/>
      <c r="JS228" s="26"/>
      <c r="JT228" s="26"/>
      <c r="JU228" s="26"/>
      <c r="JV228" s="26"/>
      <c r="JW228" s="26"/>
      <c r="JX228" s="26"/>
      <c r="JY228" s="26"/>
      <c r="JZ228" s="26"/>
      <c r="KA228" s="26"/>
      <c r="KB228" s="26"/>
      <c r="KC228" s="26"/>
      <c r="KD228" s="26"/>
      <c r="KE228" s="26"/>
      <c r="KF228" s="26"/>
      <c r="KG228" s="26"/>
      <c r="KH228" s="26"/>
      <c r="KI228" s="26"/>
      <c r="KJ228" s="26"/>
      <c r="KK228" s="26"/>
      <c r="KL228" s="26"/>
      <c r="KM228" s="26"/>
      <c r="KN228" s="26"/>
      <c r="KO228" s="26"/>
      <c r="KP228" s="26"/>
      <c r="KQ228" s="26"/>
      <c r="KR228" s="26"/>
      <c r="KS228" s="26"/>
      <c r="KT228" s="26"/>
      <c r="KU228" s="26"/>
      <c r="KV228" s="26"/>
      <c r="KW228" s="26"/>
      <c r="KX228" s="26"/>
      <c r="KY228" s="26"/>
      <c r="KZ228" s="26"/>
      <c r="LA228" s="26"/>
      <c r="LB228" s="26"/>
      <c r="LC228" s="26"/>
      <c r="LD228" s="26"/>
      <c r="LE228" s="26"/>
      <c r="LF228" s="26"/>
      <c r="LG228" s="26"/>
      <c r="LH228" s="26"/>
      <c r="LI228" s="26"/>
      <c r="LJ228" s="26"/>
      <c r="LK228" s="26"/>
      <c r="LL228" s="26"/>
      <c r="LM228" s="26"/>
      <c r="LN228" s="26"/>
      <c r="LO228" s="26"/>
      <c r="LP228" s="26"/>
      <c r="LQ228" s="26"/>
      <c r="LR228" s="26"/>
      <c r="LS228" s="26"/>
      <c r="LT228" s="26"/>
      <c r="LU228" s="26"/>
      <c r="LV228" s="26"/>
      <c r="LW228" s="26"/>
      <c r="LX228" s="26"/>
      <c r="LY228" s="26"/>
      <c r="LZ228" s="26"/>
      <c r="MA228" s="26"/>
      <c r="MB228" s="26"/>
      <c r="MC228" s="26"/>
      <c r="MD228" s="26"/>
      <c r="ME228" s="26"/>
      <c r="MF228" s="26"/>
      <c r="MG228" s="26"/>
      <c r="MH228" s="26"/>
      <c r="MI228" s="26"/>
      <c r="MJ228" s="26"/>
      <c r="MK228" s="26"/>
      <c r="ML228" s="26"/>
      <c r="MM228" s="26"/>
      <c r="MN228" s="26"/>
      <c r="MO228" s="26"/>
      <c r="MP228" s="26"/>
      <c r="MQ228" s="26"/>
      <c r="MR228" s="26"/>
      <c r="MS228" s="26"/>
      <c r="MT228" s="26"/>
      <c r="MU228" s="26"/>
      <c r="MV228" s="26"/>
      <c r="MW228" s="26"/>
      <c r="MX228" s="26"/>
      <c r="MY228" s="26"/>
      <c r="MZ228" s="26"/>
      <c r="NA228" s="26"/>
      <c r="NB228" s="26"/>
      <c r="NC228" s="26"/>
      <c r="ND228" s="26"/>
      <c r="NE228" s="26"/>
      <c r="NF228" s="26"/>
      <c r="NG228" s="26"/>
      <c r="NH228" s="26"/>
      <c r="NI228" s="26"/>
      <c r="NJ228" s="26"/>
      <c r="NK228" s="26"/>
      <c r="NL228" s="26"/>
      <c r="NM228" s="26"/>
      <c r="NN228" s="26"/>
      <c r="NO228" s="26"/>
      <c r="NP228" s="26"/>
      <c r="NQ228" s="26"/>
      <c r="NR228" s="26"/>
      <c r="NS228" s="26"/>
      <c r="NT228" s="26"/>
      <c r="NU228" s="26"/>
      <c r="NV228" s="26"/>
      <c r="NW228" s="26"/>
      <c r="NX228" s="26"/>
      <c r="NY228" s="26"/>
      <c r="NZ228" s="26"/>
      <c r="OA228" s="26"/>
      <c r="OB228" s="26"/>
      <c r="OC228" s="26"/>
      <c r="OD228" s="26"/>
      <c r="OE228" s="26"/>
      <c r="OF228" s="26"/>
      <c r="OG228" s="26"/>
      <c r="OH228" s="26"/>
      <c r="OI228" s="26"/>
      <c r="OJ228" s="26"/>
      <c r="OK228" s="26"/>
      <c r="OL228" s="26"/>
      <c r="OM228" s="26"/>
      <c r="ON228" s="26"/>
      <c r="OO228" s="26"/>
      <c r="OP228" s="26"/>
      <c r="OQ228" s="26"/>
      <c r="OR228" s="26"/>
      <c r="OS228" s="26"/>
      <c r="OT228" s="26"/>
      <c r="OU228" s="26"/>
      <c r="OV228" s="26"/>
      <c r="OW228" s="26"/>
      <c r="OX228" s="26"/>
      <c r="OY228" s="26"/>
      <c r="OZ228" s="26"/>
      <c r="PA228" s="26"/>
      <c r="PB228" s="26"/>
      <c r="PC228" s="26"/>
      <c r="PD228" s="26"/>
      <c r="PE228" s="26"/>
      <c r="PF228" s="26"/>
      <c r="PG228" s="26"/>
      <c r="PH228" s="26"/>
      <c r="PI228" s="26"/>
      <c r="PJ228" s="26"/>
      <c r="PK228" s="26"/>
      <c r="PL228" s="26"/>
      <c r="PM228" s="26"/>
      <c r="PN228" s="26"/>
      <c r="PO228" s="26"/>
      <c r="PP228" s="26"/>
      <c r="PQ228" s="26"/>
      <c r="PR228" s="26"/>
      <c r="PS228" s="26"/>
      <c r="PT228" s="26"/>
      <c r="PU228" s="26"/>
      <c r="PV228" s="26"/>
      <c r="PW228" s="26"/>
      <c r="PX228" s="26"/>
      <c r="PY228" s="26"/>
      <c r="PZ228" s="26"/>
      <c r="QA228" s="26"/>
      <c r="QB228" s="26"/>
      <c r="QC228" s="26"/>
      <c r="QD228" s="26"/>
      <c r="QE228" s="26"/>
      <c r="QF228" s="26"/>
      <c r="QG228" s="26"/>
      <c r="QH228" s="26"/>
      <c r="QI228" s="26"/>
      <c r="QJ228" s="26"/>
      <c r="QK228" s="26"/>
      <c r="QL228" s="26"/>
      <c r="QM228" s="26"/>
      <c r="QN228" s="26"/>
      <c r="QO228" s="26"/>
      <c r="QP228" s="26"/>
      <c r="QQ228" s="26"/>
      <c r="QR228" s="26"/>
      <c r="QS228" s="26"/>
      <c r="QT228" s="26"/>
      <c r="QU228" s="26"/>
      <c r="QV228" s="26"/>
      <c r="QW228" s="26"/>
      <c r="QX228" s="26"/>
      <c r="QY228" s="26"/>
      <c r="QZ228" s="26"/>
      <c r="RA228" s="26"/>
      <c r="RB228" s="26"/>
      <c r="RC228" s="26"/>
      <c r="RD228" s="26"/>
      <c r="RE228" s="26"/>
      <c r="RF228" s="26"/>
      <c r="RG228" s="26"/>
      <c r="RH228" s="26"/>
      <c r="RI228" s="26"/>
      <c r="RJ228" s="26"/>
      <c r="RK228" s="26"/>
      <c r="RL228" s="26"/>
      <c r="RM228" s="26"/>
      <c r="RN228" s="26"/>
      <c r="RO228" s="26"/>
      <c r="RP228" s="26"/>
      <c r="RQ228" s="26"/>
      <c r="RR228" s="26"/>
      <c r="RS228" s="26"/>
      <c r="RT228" s="26"/>
      <c r="RU228" s="26"/>
      <c r="RV228" s="26"/>
      <c r="RW228" s="26"/>
      <c r="RX228" s="26"/>
      <c r="RY228" s="26"/>
      <c r="RZ228" s="26"/>
      <c r="SA228" s="26"/>
      <c r="SB228" s="26"/>
      <c r="SC228" s="26"/>
      <c r="SD228" s="26"/>
      <c r="SE228" s="26"/>
      <c r="SF228" s="26"/>
      <c r="SG228" s="26"/>
      <c r="SH228" s="26"/>
      <c r="SI228" s="26"/>
      <c r="SJ228" s="26"/>
      <c r="SK228" s="26"/>
      <c r="SL228" s="26"/>
      <c r="SM228" s="26"/>
      <c r="SN228" s="26"/>
      <c r="SO228" s="26"/>
      <c r="SP228" s="26"/>
      <c r="SQ228" s="26"/>
      <c r="SR228" s="26"/>
      <c r="SS228" s="26"/>
      <c r="ST228" s="26"/>
      <c r="SU228" s="26"/>
      <c r="SV228" s="26"/>
      <c r="SW228" s="26"/>
      <c r="SX228" s="26"/>
      <c r="SY228" s="26"/>
      <c r="SZ228" s="26"/>
      <c r="TA228" s="26"/>
      <c r="TB228" s="26"/>
      <c r="TC228" s="26"/>
      <c r="TD228" s="26"/>
      <c r="TE228" s="26"/>
      <c r="TF228" s="26"/>
      <c r="TG228" s="26"/>
      <c r="TH228" s="26"/>
      <c r="TI228" s="26"/>
    </row>
    <row r="229" spans="1:529" s="23" customFormat="1" ht="21.75" customHeight="1" x14ac:dyDescent="0.25">
      <c r="A229" s="43" t="s">
        <v>298</v>
      </c>
      <c r="B229" s="44" t="str">
        <f>'дод 4'!A144</f>
        <v>7321</v>
      </c>
      <c r="C229" s="44" t="str">
        <f>'дод 4'!B144</f>
        <v>0443</v>
      </c>
      <c r="D229" s="24" t="str">
        <f>'дод 4'!C144</f>
        <v>Будівництво освітніх установ та закладів</v>
      </c>
      <c r="E229" s="66">
        <f t="shared" si="119"/>
        <v>0</v>
      </c>
      <c r="F229" s="66"/>
      <c r="G229" s="66"/>
      <c r="H229" s="66"/>
      <c r="I229" s="66"/>
      <c r="J229" s="66">
        <f t="shared" si="121"/>
        <v>1793835</v>
      </c>
      <c r="K229" s="66">
        <f>9000000-5000000+993835+200000-3800000+400000</f>
        <v>1793835</v>
      </c>
      <c r="L229" s="66"/>
      <c r="M229" s="66"/>
      <c r="N229" s="66"/>
      <c r="O229" s="66">
        <f>9000000-5000000+993835+200000-3800000+400000</f>
        <v>1793835</v>
      </c>
      <c r="P229" s="66">
        <f t="shared" si="120"/>
        <v>1793835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  <c r="IW229" s="26"/>
      <c r="IX229" s="26"/>
      <c r="IY229" s="26"/>
      <c r="IZ229" s="26"/>
      <c r="JA229" s="26"/>
      <c r="JB229" s="26"/>
      <c r="JC229" s="26"/>
      <c r="JD229" s="26"/>
      <c r="JE229" s="26"/>
      <c r="JF229" s="26"/>
      <c r="JG229" s="26"/>
      <c r="JH229" s="26"/>
      <c r="JI229" s="26"/>
      <c r="JJ229" s="26"/>
      <c r="JK229" s="26"/>
      <c r="JL229" s="26"/>
      <c r="JM229" s="26"/>
      <c r="JN229" s="26"/>
      <c r="JO229" s="26"/>
      <c r="JP229" s="26"/>
      <c r="JQ229" s="26"/>
      <c r="JR229" s="26"/>
      <c r="JS229" s="26"/>
      <c r="JT229" s="26"/>
      <c r="JU229" s="26"/>
      <c r="JV229" s="26"/>
      <c r="JW229" s="26"/>
      <c r="JX229" s="26"/>
      <c r="JY229" s="26"/>
      <c r="JZ229" s="26"/>
      <c r="KA229" s="26"/>
      <c r="KB229" s="26"/>
      <c r="KC229" s="26"/>
      <c r="KD229" s="26"/>
      <c r="KE229" s="26"/>
      <c r="KF229" s="26"/>
      <c r="KG229" s="26"/>
      <c r="KH229" s="26"/>
      <c r="KI229" s="26"/>
      <c r="KJ229" s="26"/>
      <c r="KK229" s="26"/>
      <c r="KL229" s="26"/>
      <c r="KM229" s="26"/>
      <c r="KN229" s="26"/>
      <c r="KO229" s="26"/>
      <c r="KP229" s="26"/>
      <c r="KQ229" s="26"/>
      <c r="KR229" s="26"/>
      <c r="KS229" s="26"/>
      <c r="KT229" s="26"/>
      <c r="KU229" s="26"/>
      <c r="KV229" s="26"/>
      <c r="KW229" s="26"/>
      <c r="KX229" s="26"/>
      <c r="KY229" s="26"/>
      <c r="KZ229" s="26"/>
      <c r="LA229" s="26"/>
      <c r="LB229" s="26"/>
      <c r="LC229" s="26"/>
      <c r="LD229" s="26"/>
      <c r="LE229" s="26"/>
      <c r="LF229" s="26"/>
      <c r="LG229" s="26"/>
      <c r="LH229" s="26"/>
      <c r="LI229" s="26"/>
      <c r="LJ229" s="26"/>
      <c r="LK229" s="26"/>
      <c r="LL229" s="26"/>
      <c r="LM229" s="26"/>
      <c r="LN229" s="26"/>
      <c r="LO229" s="26"/>
      <c r="LP229" s="26"/>
      <c r="LQ229" s="26"/>
      <c r="LR229" s="26"/>
      <c r="LS229" s="26"/>
      <c r="LT229" s="26"/>
      <c r="LU229" s="26"/>
      <c r="LV229" s="26"/>
      <c r="LW229" s="26"/>
      <c r="LX229" s="26"/>
      <c r="LY229" s="26"/>
      <c r="LZ229" s="26"/>
      <c r="MA229" s="26"/>
      <c r="MB229" s="26"/>
      <c r="MC229" s="26"/>
      <c r="MD229" s="26"/>
      <c r="ME229" s="26"/>
      <c r="MF229" s="26"/>
      <c r="MG229" s="26"/>
      <c r="MH229" s="26"/>
      <c r="MI229" s="26"/>
      <c r="MJ229" s="26"/>
      <c r="MK229" s="26"/>
      <c r="ML229" s="26"/>
      <c r="MM229" s="26"/>
      <c r="MN229" s="26"/>
      <c r="MO229" s="26"/>
      <c r="MP229" s="26"/>
      <c r="MQ229" s="26"/>
      <c r="MR229" s="26"/>
      <c r="MS229" s="26"/>
      <c r="MT229" s="26"/>
      <c r="MU229" s="26"/>
      <c r="MV229" s="26"/>
      <c r="MW229" s="26"/>
      <c r="MX229" s="26"/>
      <c r="MY229" s="26"/>
      <c r="MZ229" s="26"/>
      <c r="NA229" s="26"/>
      <c r="NB229" s="26"/>
      <c r="NC229" s="26"/>
      <c r="ND229" s="26"/>
      <c r="NE229" s="26"/>
      <c r="NF229" s="26"/>
      <c r="NG229" s="26"/>
      <c r="NH229" s="26"/>
      <c r="NI229" s="26"/>
      <c r="NJ229" s="26"/>
      <c r="NK229" s="26"/>
      <c r="NL229" s="26"/>
      <c r="NM229" s="26"/>
      <c r="NN229" s="26"/>
      <c r="NO229" s="26"/>
      <c r="NP229" s="26"/>
      <c r="NQ229" s="26"/>
      <c r="NR229" s="26"/>
      <c r="NS229" s="26"/>
      <c r="NT229" s="26"/>
      <c r="NU229" s="26"/>
      <c r="NV229" s="26"/>
      <c r="NW229" s="26"/>
      <c r="NX229" s="26"/>
      <c r="NY229" s="26"/>
      <c r="NZ229" s="26"/>
      <c r="OA229" s="26"/>
      <c r="OB229" s="26"/>
      <c r="OC229" s="26"/>
      <c r="OD229" s="26"/>
      <c r="OE229" s="26"/>
      <c r="OF229" s="26"/>
      <c r="OG229" s="26"/>
      <c r="OH229" s="26"/>
      <c r="OI229" s="26"/>
      <c r="OJ229" s="26"/>
      <c r="OK229" s="26"/>
      <c r="OL229" s="26"/>
      <c r="OM229" s="26"/>
      <c r="ON229" s="26"/>
      <c r="OO229" s="26"/>
      <c r="OP229" s="26"/>
      <c r="OQ229" s="26"/>
      <c r="OR229" s="26"/>
      <c r="OS229" s="26"/>
      <c r="OT229" s="26"/>
      <c r="OU229" s="26"/>
      <c r="OV229" s="26"/>
      <c r="OW229" s="26"/>
      <c r="OX229" s="26"/>
      <c r="OY229" s="26"/>
      <c r="OZ229" s="26"/>
      <c r="PA229" s="26"/>
      <c r="PB229" s="26"/>
      <c r="PC229" s="26"/>
      <c r="PD229" s="26"/>
      <c r="PE229" s="26"/>
      <c r="PF229" s="26"/>
      <c r="PG229" s="26"/>
      <c r="PH229" s="26"/>
      <c r="PI229" s="26"/>
      <c r="PJ229" s="26"/>
      <c r="PK229" s="26"/>
      <c r="PL229" s="26"/>
      <c r="PM229" s="26"/>
      <c r="PN229" s="26"/>
      <c r="PO229" s="26"/>
      <c r="PP229" s="26"/>
      <c r="PQ229" s="26"/>
      <c r="PR229" s="26"/>
      <c r="PS229" s="26"/>
      <c r="PT229" s="26"/>
      <c r="PU229" s="26"/>
      <c r="PV229" s="26"/>
      <c r="PW229" s="26"/>
      <c r="PX229" s="26"/>
      <c r="PY229" s="26"/>
      <c r="PZ229" s="26"/>
      <c r="QA229" s="26"/>
      <c r="QB229" s="26"/>
      <c r="QC229" s="26"/>
      <c r="QD229" s="26"/>
      <c r="QE229" s="26"/>
      <c r="QF229" s="26"/>
      <c r="QG229" s="26"/>
      <c r="QH229" s="26"/>
      <c r="QI229" s="26"/>
      <c r="QJ229" s="26"/>
      <c r="QK229" s="26"/>
      <c r="QL229" s="26"/>
      <c r="QM229" s="26"/>
      <c r="QN229" s="26"/>
      <c r="QO229" s="26"/>
      <c r="QP229" s="26"/>
      <c r="QQ229" s="26"/>
      <c r="QR229" s="26"/>
      <c r="QS229" s="26"/>
      <c r="QT229" s="26"/>
      <c r="QU229" s="26"/>
      <c r="QV229" s="26"/>
      <c r="QW229" s="26"/>
      <c r="QX229" s="26"/>
      <c r="QY229" s="26"/>
      <c r="QZ229" s="26"/>
      <c r="RA229" s="26"/>
      <c r="RB229" s="26"/>
      <c r="RC229" s="26"/>
      <c r="RD229" s="26"/>
      <c r="RE229" s="26"/>
      <c r="RF229" s="26"/>
      <c r="RG229" s="26"/>
      <c r="RH229" s="26"/>
      <c r="RI229" s="26"/>
      <c r="RJ229" s="26"/>
      <c r="RK229" s="26"/>
      <c r="RL229" s="26"/>
      <c r="RM229" s="26"/>
      <c r="RN229" s="26"/>
      <c r="RO229" s="26"/>
      <c r="RP229" s="26"/>
      <c r="RQ229" s="26"/>
      <c r="RR229" s="26"/>
      <c r="RS229" s="26"/>
      <c r="RT229" s="26"/>
      <c r="RU229" s="26"/>
      <c r="RV229" s="26"/>
      <c r="RW229" s="26"/>
      <c r="RX229" s="26"/>
      <c r="RY229" s="26"/>
      <c r="RZ229" s="26"/>
      <c r="SA229" s="26"/>
      <c r="SB229" s="26"/>
      <c r="SC229" s="26"/>
      <c r="SD229" s="26"/>
      <c r="SE229" s="26"/>
      <c r="SF229" s="26"/>
      <c r="SG229" s="26"/>
      <c r="SH229" s="26"/>
      <c r="SI229" s="26"/>
      <c r="SJ229" s="26"/>
      <c r="SK229" s="26"/>
      <c r="SL229" s="26"/>
      <c r="SM229" s="26"/>
      <c r="SN229" s="26"/>
      <c r="SO229" s="26"/>
      <c r="SP229" s="26"/>
      <c r="SQ229" s="26"/>
      <c r="SR229" s="26"/>
      <c r="SS229" s="26"/>
      <c r="ST229" s="26"/>
      <c r="SU229" s="26"/>
      <c r="SV229" s="26"/>
      <c r="SW229" s="26"/>
      <c r="SX229" s="26"/>
      <c r="SY229" s="26"/>
      <c r="SZ229" s="26"/>
      <c r="TA229" s="26"/>
      <c r="TB229" s="26"/>
      <c r="TC229" s="26"/>
      <c r="TD229" s="26"/>
      <c r="TE229" s="26"/>
      <c r="TF229" s="26"/>
      <c r="TG229" s="26"/>
      <c r="TH229" s="26"/>
      <c r="TI229" s="26"/>
    </row>
    <row r="230" spans="1:529" s="23" customFormat="1" ht="18" customHeight="1" x14ac:dyDescent="0.25">
      <c r="A230" s="43" t="s">
        <v>300</v>
      </c>
      <c r="B230" s="44" t="str">
        <f>'дод 4'!A145</f>
        <v>7322</v>
      </c>
      <c r="C230" s="44" t="str">
        <f>'дод 4'!B145</f>
        <v>0443</v>
      </c>
      <c r="D230" s="24" t="str">
        <f>'дод 4'!C145</f>
        <v>Будівництво медичних установ та закладів</v>
      </c>
      <c r="E230" s="66">
        <f t="shared" si="119"/>
        <v>0</v>
      </c>
      <c r="F230" s="66"/>
      <c r="G230" s="66"/>
      <c r="H230" s="66"/>
      <c r="I230" s="66"/>
      <c r="J230" s="66">
        <f t="shared" si="121"/>
        <v>12454849</v>
      </c>
      <c r="K230" s="66">
        <f>7000000-3286719+741568+8000000</f>
        <v>12454849</v>
      </c>
      <c r="L230" s="66"/>
      <c r="M230" s="66"/>
      <c r="N230" s="66"/>
      <c r="O230" s="66">
        <f>7000000-3286719+741568+8000000</f>
        <v>12454849</v>
      </c>
      <c r="P230" s="66">
        <f t="shared" si="120"/>
        <v>12454849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  <c r="IW230" s="26"/>
      <c r="IX230" s="26"/>
      <c r="IY230" s="26"/>
      <c r="IZ230" s="26"/>
      <c r="JA230" s="26"/>
      <c r="JB230" s="26"/>
      <c r="JC230" s="26"/>
      <c r="JD230" s="26"/>
      <c r="JE230" s="26"/>
      <c r="JF230" s="26"/>
      <c r="JG230" s="26"/>
      <c r="JH230" s="26"/>
      <c r="JI230" s="26"/>
      <c r="JJ230" s="26"/>
      <c r="JK230" s="26"/>
      <c r="JL230" s="26"/>
      <c r="JM230" s="26"/>
      <c r="JN230" s="26"/>
      <c r="JO230" s="26"/>
      <c r="JP230" s="26"/>
      <c r="JQ230" s="26"/>
      <c r="JR230" s="26"/>
      <c r="JS230" s="26"/>
      <c r="JT230" s="26"/>
      <c r="JU230" s="26"/>
      <c r="JV230" s="26"/>
      <c r="JW230" s="26"/>
      <c r="JX230" s="26"/>
      <c r="JY230" s="26"/>
      <c r="JZ230" s="26"/>
      <c r="KA230" s="26"/>
      <c r="KB230" s="26"/>
      <c r="KC230" s="26"/>
      <c r="KD230" s="26"/>
      <c r="KE230" s="26"/>
      <c r="KF230" s="26"/>
      <c r="KG230" s="26"/>
      <c r="KH230" s="26"/>
      <c r="KI230" s="26"/>
      <c r="KJ230" s="26"/>
      <c r="KK230" s="26"/>
      <c r="KL230" s="26"/>
      <c r="KM230" s="26"/>
      <c r="KN230" s="26"/>
      <c r="KO230" s="26"/>
      <c r="KP230" s="26"/>
      <c r="KQ230" s="26"/>
      <c r="KR230" s="26"/>
      <c r="KS230" s="26"/>
      <c r="KT230" s="26"/>
      <c r="KU230" s="26"/>
      <c r="KV230" s="26"/>
      <c r="KW230" s="26"/>
      <c r="KX230" s="26"/>
      <c r="KY230" s="26"/>
      <c r="KZ230" s="26"/>
      <c r="LA230" s="26"/>
      <c r="LB230" s="26"/>
      <c r="LC230" s="26"/>
      <c r="LD230" s="26"/>
      <c r="LE230" s="26"/>
      <c r="LF230" s="26"/>
      <c r="LG230" s="26"/>
      <c r="LH230" s="26"/>
      <c r="LI230" s="26"/>
      <c r="LJ230" s="26"/>
      <c r="LK230" s="26"/>
      <c r="LL230" s="26"/>
      <c r="LM230" s="26"/>
      <c r="LN230" s="26"/>
      <c r="LO230" s="26"/>
      <c r="LP230" s="26"/>
      <c r="LQ230" s="26"/>
      <c r="LR230" s="26"/>
      <c r="LS230" s="26"/>
      <c r="LT230" s="26"/>
      <c r="LU230" s="26"/>
      <c r="LV230" s="26"/>
      <c r="LW230" s="26"/>
      <c r="LX230" s="26"/>
      <c r="LY230" s="26"/>
      <c r="LZ230" s="26"/>
      <c r="MA230" s="26"/>
      <c r="MB230" s="26"/>
      <c r="MC230" s="26"/>
      <c r="MD230" s="26"/>
      <c r="ME230" s="26"/>
      <c r="MF230" s="26"/>
      <c r="MG230" s="26"/>
      <c r="MH230" s="26"/>
      <c r="MI230" s="26"/>
      <c r="MJ230" s="26"/>
      <c r="MK230" s="26"/>
      <c r="ML230" s="26"/>
      <c r="MM230" s="26"/>
      <c r="MN230" s="26"/>
      <c r="MO230" s="26"/>
      <c r="MP230" s="26"/>
      <c r="MQ230" s="26"/>
      <c r="MR230" s="26"/>
      <c r="MS230" s="26"/>
      <c r="MT230" s="26"/>
      <c r="MU230" s="26"/>
      <c r="MV230" s="26"/>
      <c r="MW230" s="26"/>
      <c r="MX230" s="26"/>
      <c r="MY230" s="26"/>
      <c r="MZ230" s="26"/>
      <c r="NA230" s="26"/>
      <c r="NB230" s="26"/>
      <c r="NC230" s="26"/>
      <c r="ND230" s="26"/>
      <c r="NE230" s="26"/>
      <c r="NF230" s="26"/>
      <c r="NG230" s="26"/>
      <c r="NH230" s="26"/>
      <c r="NI230" s="26"/>
      <c r="NJ230" s="26"/>
      <c r="NK230" s="26"/>
      <c r="NL230" s="26"/>
      <c r="NM230" s="26"/>
      <c r="NN230" s="26"/>
      <c r="NO230" s="26"/>
      <c r="NP230" s="26"/>
      <c r="NQ230" s="26"/>
      <c r="NR230" s="26"/>
      <c r="NS230" s="26"/>
      <c r="NT230" s="26"/>
      <c r="NU230" s="26"/>
      <c r="NV230" s="26"/>
      <c r="NW230" s="26"/>
      <c r="NX230" s="26"/>
      <c r="NY230" s="26"/>
      <c r="NZ230" s="26"/>
      <c r="OA230" s="26"/>
      <c r="OB230" s="26"/>
      <c r="OC230" s="26"/>
      <c r="OD230" s="26"/>
      <c r="OE230" s="26"/>
      <c r="OF230" s="26"/>
      <c r="OG230" s="26"/>
      <c r="OH230" s="26"/>
      <c r="OI230" s="26"/>
      <c r="OJ230" s="26"/>
      <c r="OK230" s="26"/>
      <c r="OL230" s="26"/>
      <c r="OM230" s="26"/>
      <c r="ON230" s="26"/>
      <c r="OO230" s="26"/>
      <c r="OP230" s="26"/>
      <c r="OQ230" s="26"/>
      <c r="OR230" s="26"/>
      <c r="OS230" s="26"/>
      <c r="OT230" s="26"/>
      <c r="OU230" s="26"/>
      <c r="OV230" s="26"/>
      <c r="OW230" s="26"/>
      <c r="OX230" s="26"/>
      <c r="OY230" s="26"/>
      <c r="OZ230" s="26"/>
      <c r="PA230" s="26"/>
      <c r="PB230" s="26"/>
      <c r="PC230" s="26"/>
      <c r="PD230" s="26"/>
      <c r="PE230" s="26"/>
      <c r="PF230" s="26"/>
      <c r="PG230" s="26"/>
      <c r="PH230" s="26"/>
      <c r="PI230" s="26"/>
      <c r="PJ230" s="26"/>
      <c r="PK230" s="26"/>
      <c r="PL230" s="26"/>
      <c r="PM230" s="26"/>
      <c r="PN230" s="26"/>
      <c r="PO230" s="26"/>
      <c r="PP230" s="26"/>
      <c r="PQ230" s="26"/>
      <c r="PR230" s="26"/>
      <c r="PS230" s="26"/>
      <c r="PT230" s="26"/>
      <c r="PU230" s="26"/>
      <c r="PV230" s="26"/>
      <c r="PW230" s="26"/>
      <c r="PX230" s="26"/>
      <c r="PY230" s="26"/>
      <c r="PZ230" s="26"/>
      <c r="QA230" s="26"/>
      <c r="QB230" s="26"/>
      <c r="QC230" s="26"/>
      <c r="QD230" s="26"/>
      <c r="QE230" s="26"/>
      <c r="QF230" s="26"/>
      <c r="QG230" s="26"/>
      <c r="QH230" s="26"/>
      <c r="QI230" s="26"/>
      <c r="QJ230" s="26"/>
      <c r="QK230" s="26"/>
      <c r="QL230" s="26"/>
      <c r="QM230" s="26"/>
      <c r="QN230" s="26"/>
      <c r="QO230" s="26"/>
      <c r="QP230" s="26"/>
      <c r="QQ230" s="26"/>
      <c r="QR230" s="26"/>
      <c r="QS230" s="26"/>
      <c r="QT230" s="26"/>
      <c r="QU230" s="26"/>
      <c r="QV230" s="26"/>
      <c r="QW230" s="26"/>
      <c r="QX230" s="26"/>
      <c r="QY230" s="26"/>
      <c r="QZ230" s="26"/>
      <c r="RA230" s="26"/>
      <c r="RB230" s="26"/>
      <c r="RC230" s="26"/>
      <c r="RD230" s="26"/>
      <c r="RE230" s="26"/>
      <c r="RF230" s="26"/>
      <c r="RG230" s="26"/>
      <c r="RH230" s="26"/>
      <c r="RI230" s="26"/>
      <c r="RJ230" s="26"/>
      <c r="RK230" s="26"/>
      <c r="RL230" s="26"/>
      <c r="RM230" s="26"/>
      <c r="RN230" s="26"/>
      <c r="RO230" s="26"/>
      <c r="RP230" s="26"/>
      <c r="RQ230" s="26"/>
      <c r="RR230" s="26"/>
      <c r="RS230" s="26"/>
      <c r="RT230" s="26"/>
      <c r="RU230" s="26"/>
      <c r="RV230" s="26"/>
      <c r="RW230" s="26"/>
      <c r="RX230" s="26"/>
      <c r="RY230" s="26"/>
      <c r="RZ230" s="26"/>
      <c r="SA230" s="26"/>
      <c r="SB230" s="26"/>
      <c r="SC230" s="26"/>
      <c r="SD230" s="26"/>
      <c r="SE230" s="26"/>
      <c r="SF230" s="26"/>
      <c r="SG230" s="26"/>
      <c r="SH230" s="26"/>
      <c r="SI230" s="26"/>
      <c r="SJ230" s="26"/>
      <c r="SK230" s="26"/>
      <c r="SL230" s="26"/>
      <c r="SM230" s="26"/>
      <c r="SN230" s="26"/>
      <c r="SO230" s="26"/>
      <c r="SP230" s="26"/>
      <c r="SQ230" s="26"/>
      <c r="SR230" s="26"/>
      <c r="SS230" s="26"/>
      <c r="ST230" s="26"/>
      <c r="SU230" s="26"/>
      <c r="SV230" s="26"/>
      <c r="SW230" s="26"/>
      <c r="SX230" s="26"/>
      <c r="SY230" s="26"/>
      <c r="SZ230" s="26"/>
      <c r="TA230" s="26"/>
      <c r="TB230" s="26"/>
      <c r="TC230" s="26"/>
      <c r="TD230" s="26"/>
      <c r="TE230" s="26"/>
      <c r="TF230" s="26"/>
      <c r="TG230" s="26"/>
      <c r="TH230" s="26"/>
      <c r="TI230" s="26"/>
    </row>
    <row r="231" spans="1:529" s="23" customFormat="1" ht="30" x14ac:dyDescent="0.25">
      <c r="A231" s="43" t="s">
        <v>395</v>
      </c>
      <c r="B231" s="44">
        <f>'дод 4'!A147</f>
        <v>7325</v>
      </c>
      <c r="C231" s="43" t="s">
        <v>119</v>
      </c>
      <c r="D231" s="24" t="str">
        <f>'дод 4'!C147</f>
        <v>Будівництво споруд, установ та закладів фізичної культури і спорту</v>
      </c>
      <c r="E231" s="66">
        <f t="shared" si="119"/>
        <v>0</v>
      </c>
      <c r="F231" s="66"/>
      <c r="G231" s="66"/>
      <c r="H231" s="66"/>
      <c r="I231" s="66"/>
      <c r="J231" s="66">
        <f t="shared" si="121"/>
        <v>13180000</v>
      </c>
      <c r="K231" s="66">
        <f>7000000-7000000+100000+400000+10000000+500000+2000000+180000</f>
        <v>13180000</v>
      </c>
      <c r="L231" s="66"/>
      <c r="M231" s="66"/>
      <c r="N231" s="66"/>
      <c r="O231" s="66">
        <f>7000000-7000000+100000+400000+10000000+500000+2000000+180000</f>
        <v>13180000</v>
      </c>
      <c r="P231" s="66">
        <f t="shared" si="120"/>
        <v>13180000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  <c r="IW231" s="26"/>
      <c r="IX231" s="26"/>
      <c r="IY231" s="26"/>
      <c r="IZ231" s="26"/>
      <c r="JA231" s="26"/>
      <c r="JB231" s="26"/>
      <c r="JC231" s="26"/>
      <c r="JD231" s="26"/>
      <c r="JE231" s="26"/>
      <c r="JF231" s="26"/>
      <c r="JG231" s="26"/>
      <c r="JH231" s="26"/>
      <c r="JI231" s="26"/>
      <c r="JJ231" s="26"/>
      <c r="JK231" s="26"/>
      <c r="JL231" s="26"/>
      <c r="JM231" s="26"/>
      <c r="JN231" s="26"/>
      <c r="JO231" s="26"/>
      <c r="JP231" s="26"/>
      <c r="JQ231" s="26"/>
      <c r="JR231" s="26"/>
      <c r="JS231" s="26"/>
      <c r="JT231" s="26"/>
      <c r="JU231" s="26"/>
      <c r="JV231" s="26"/>
      <c r="JW231" s="26"/>
      <c r="JX231" s="26"/>
      <c r="JY231" s="26"/>
      <c r="JZ231" s="26"/>
      <c r="KA231" s="26"/>
      <c r="KB231" s="26"/>
      <c r="KC231" s="26"/>
      <c r="KD231" s="26"/>
      <c r="KE231" s="26"/>
      <c r="KF231" s="26"/>
      <c r="KG231" s="26"/>
      <c r="KH231" s="26"/>
      <c r="KI231" s="26"/>
      <c r="KJ231" s="26"/>
      <c r="KK231" s="26"/>
      <c r="KL231" s="26"/>
      <c r="KM231" s="26"/>
      <c r="KN231" s="26"/>
      <c r="KO231" s="26"/>
      <c r="KP231" s="26"/>
      <c r="KQ231" s="26"/>
      <c r="KR231" s="26"/>
      <c r="KS231" s="26"/>
      <c r="KT231" s="26"/>
      <c r="KU231" s="26"/>
      <c r="KV231" s="26"/>
      <c r="KW231" s="26"/>
      <c r="KX231" s="26"/>
      <c r="KY231" s="26"/>
      <c r="KZ231" s="26"/>
      <c r="LA231" s="26"/>
      <c r="LB231" s="26"/>
      <c r="LC231" s="26"/>
      <c r="LD231" s="26"/>
      <c r="LE231" s="26"/>
      <c r="LF231" s="26"/>
      <c r="LG231" s="26"/>
      <c r="LH231" s="26"/>
      <c r="LI231" s="26"/>
      <c r="LJ231" s="26"/>
      <c r="LK231" s="26"/>
      <c r="LL231" s="26"/>
      <c r="LM231" s="26"/>
      <c r="LN231" s="26"/>
      <c r="LO231" s="26"/>
      <c r="LP231" s="26"/>
      <c r="LQ231" s="26"/>
      <c r="LR231" s="26"/>
      <c r="LS231" s="26"/>
      <c r="LT231" s="26"/>
      <c r="LU231" s="26"/>
      <c r="LV231" s="26"/>
      <c r="LW231" s="26"/>
      <c r="LX231" s="26"/>
      <c r="LY231" s="26"/>
      <c r="LZ231" s="26"/>
      <c r="MA231" s="26"/>
      <c r="MB231" s="26"/>
      <c r="MC231" s="26"/>
      <c r="MD231" s="26"/>
      <c r="ME231" s="26"/>
      <c r="MF231" s="26"/>
      <c r="MG231" s="26"/>
      <c r="MH231" s="26"/>
      <c r="MI231" s="26"/>
      <c r="MJ231" s="26"/>
      <c r="MK231" s="26"/>
      <c r="ML231" s="26"/>
      <c r="MM231" s="26"/>
      <c r="MN231" s="26"/>
      <c r="MO231" s="26"/>
      <c r="MP231" s="26"/>
      <c r="MQ231" s="26"/>
      <c r="MR231" s="26"/>
      <c r="MS231" s="26"/>
      <c r="MT231" s="26"/>
      <c r="MU231" s="26"/>
      <c r="MV231" s="26"/>
      <c r="MW231" s="26"/>
      <c r="MX231" s="26"/>
      <c r="MY231" s="26"/>
      <c r="MZ231" s="26"/>
      <c r="NA231" s="26"/>
      <c r="NB231" s="26"/>
      <c r="NC231" s="26"/>
      <c r="ND231" s="26"/>
      <c r="NE231" s="26"/>
      <c r="NF231" s="26"/>
      <c r="NG231" s="26"/>
      <c r="NH231" s="26"/>
      <c r="NI231" s="26"/>
      <c r="NJ231" s="26"/>
      <c r="NK231" s="26"/>
      <c r="NL231" s="26"/>
      <c r="NM231" s="26"/>
      <c r="NN231" s="26"/>
      <c r="NO231" s="26"/>
      <c r="NP231" s="26"/>
      <c r="NQ231" s="26"/>
      <c r="NR231" s="26"/>
      <c r="NS231" s="26"/>
      <c r="NT231" s="26"/>
      <c r="NU231" s="26"/>
      <c r="NV231" s="26"/>
      <c r="NW231" s="26"/>
      <c r="NX231" s="26"/>
      <c r="NY231" s="26"/>
      <c r="NZ231" s="26"/>
      <c r="OA231" s="26"/>
      <c r="OB231" s="26"/>
      <c r="OC231" s="26"/>
      <c r="OD231" s="26"/>
      <c r="OE231" s="26"/>
      <c r="OF231" s="26"/>
      <c r="OG231" s="26"/>
      <c r="OH231" s="26"/>
      <c r="OI231" s="26"/>
      <c r="OJ231" s="26"/>
      <c r="OK231" s="26"/>
      <c r="OL231" s="26"/>
      <c r="OM231" s="26"/>
      <c r="ON231" s="26"/>
      <c r="OO231" s="26"/>
      <c r="OP231" s="26"/>
      <c r="OQ231" s="26"/>
      <c r="OR231" s="26"/>
      <c r="OS231" s="26"/>
      <c r="OT231" s="26"/>
      <c r="OU231" s="26"/>
      <c r="OV231" s="26"/>
      <c r="OW231" s="26"/>
      <c r="OX231" s="26"/>
      <c r="OY231" s="26"/>
      <c r="OZ231" s="26"/>
      <c r="PA231" s="26"/>
      <c r="PB231" s="26"/>
      <c r="PC231" s="26"/>
      <c r="PD231" s="26"/>
      <c r="PE231" s="26"/>
      <c r="PF231" s="26"/>
      <c r="PG231" s="26"/>
      <c r="PH231" s="26"/>
      <c r="PI231" s="26"/>
      <c r="PJ231" s="26"/>
      <c r="PK231" s="26"/>
      <c r="PL231" s="26"/>
      <c r="PM231" s="26"/>
      <c r="PN231" s="26"/>
      <c r="PO231" s="26"/>
      <c r="PP231" s="26"/>
      <c r="PQ231" s="26"/>
      <c r="PR231" s="26"/>
      <c r="PS231" s="26"/>
      <c r="PT231" s="26"/>
      <c r="PU231" s="26"/>
      <c r="PV231" s="26"/>
      <c r="PW231" s="26"/>
      <c r="PX231" s="26"/>
      <c r="PY231" s="26"/>
      <c r="PZ231" s="26"/>
      <c r="QA231" s="26"/>
      <c r="QB231" s="26"/>
      <c r="QC231" s="26"/>
      <c r="QD231" s="26"/>
      <c r="QE231" s="26"/>
      <c r="QF231" s="26"/>
      <c r="QG231" s="26"/>
      <c r="QH231" s="26"/>
      <c r="QI231" s="26"/>
      <c r="QJ231" s="26"/>
      <c r="QK231" s="26"/>
      <c r="QL231" s="26"/>
      <c r="QM231" s="26"/>
      <c r="QN231" s="26"/>
      <c r="QO231" s="26"/>
      <c r="QP231" s="26"/>
      <c r="QQ231" s="26"/>
      <c r="QR231" s="26"/>
      <c r="QS231" s="26"/>
      <c r="QT231" s="26"/>
      <c r="QU231" s="26"/>
      <c r="QV231" s="26"/>
      <c r="QW231" s="26"/>
      <c r="QX231" s="26"/>
      <c r="QY231" s="26"/>
      <c r="QZ231" s="26"/>
      <c r="RA231" s="26"/>
      <c r="RB231" s="26"/>
      <c r="RC231" s="26"/>
      <c r="RD231" s="26"/>
      <c r="RE231" s="26"/>
      <c r="RF231" s="26"/>
      <c r="RG231" s="26"/>
      <c r="RH231" s="26"/>
      <c r="RI231" s="26"/>
      <c r="RJ231" s="26"/>
      <c r="RK231" s="26"/>
      <c r="RL231" s="26"/>
      <c r="RM231" s="26"/>
      <c r="RN231" s="26"/>
      <c r="RO231" s="26"/>
      <c r="RP231" s="26"/>
      <c r="RQ231" s="26"/>
      <c r="RR231" s="26"/>
      <c r="RS231" s="26"/>
      <c r="RT231" s="26"/>
      <c r="RU231" s="26"/>
      <c r="RV231" s="26"/>
      <c r="RW231" s="26"/>
      <c r="RX231" s="26"/>
      <c r="RY231" s="26"/>
      <c r="RZ231" s="26"/>
      <c r="SA231" s="26"/>
      <c r="SB231" s="26"/>
      <c r="SC231" s="26"/>
      <c r="SD231" s="26"/>
      <c r="SE231" s="26"/>
      <c r="SF231" s="26"/>
      <c r="SG231" s="26"/>
      <c r="SH231" s="26"/>
      <c r="SI231" s="26"/>
      <c r="SJ231" s="26"/>
      <c r="SK231" s="26"/>
      <c r="SL231" s="26"/>
      <c r="SM231" s="26"/>
      <c r="SN231" s="26"/>
      <c r="SO231" s="26"/>
      <c r="SP231" s="26"/>
      <c r="SQ231" s="26"/>
      <c r="SR231" s="26"/>
      <c r="SS231" s="26"/>
      <c r="ST231" s="26"/>
      <c r="SU231" s="26"/>
      <c r="SV231" s="26"/>
      <c r="SW231" s="26"/>
      <c r="SX231" s="26"/>
      <c r="SY231" s="26"/>
      <c r="SZ231" s="26"/>
      <c r="TA231" s="26"/>
      <c r="TB231" s="26"/>
      <c r="TC231" s="26"/>
      <c r="TD231" s="26"/>
      <c r="TE231" s="26"/>
      <c r="TF231" s="26"/>
      <c r="TG231" s="26"/>
      <c r="TH231" s="26"/>
      <c r="TI231" s="26"/>
    </row>
    <row r="232" spans="1:529" s="23" customFormat="1" ht="18" customHeight="1" x14ac:dyDescent="0.25">
      <c r="A232" s="43" t="s">
        <v>302</v>
      </c>
      <c r="B232" s="44" t="str">
        <f>'дод 4'!A148</f>
        <v>7330</v>
      </c>
      <c r="C232" s="44" t="str">
        <f>'дод 4'!B148</f>
        <v>0443</v>
      </c>
      <c r="D232" s="24" t="str">
        <f>'дод 4'!C148</f>
        <v>Будівництво інших об'єктів комунальної власності</v>
      </c>
      <c r="E232" s="66">
        <f t="shared" si="119"/>
        <v>0</v>
      </c>
      <c r="F232" s="66"/>
      <c r="G232" s="66"/>
      <c r="H232" s="66"/>
      <c r="I232" s="66"/>
      <c r="J232" s="66">
        <f t="shared" si="121"/>
        <v>48276140.799999997</v>
      </c>
      <c r="K232" s="66">
        <f>56918378-7222237.2-500000-1420000-1400000+1900000</f>
        <v>48276140.799999997</v>
      </c>
      <c r="L232" s="66"/>
      <c r="M232" s="66"/>
      <c r="N232" s="66"/>
      <c r="O232" s="66">
        <f>56918378-7222237.2-500000-1420000-1400000+1900000</f>
        <v>48276140.799999997</v>
      </c>
      <c r="P232" s="66">
        <f t="shared" si="120"/>
        <v>48276140.799999997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  <c r="IW232" s="26"/>
      <c r="IX232" s="26"/>
      <c r="IY232" s="26"/>
      <c r="IZ232" s="26"/>
      <c r="JA232" s="26"/>
      <c r="JB232" s="26"/>
      <c r="JC232" s="26"/>
      <c r="JD232" s="26"/>
      <c r="JE232" s="26"/>
      <c r="JF232" s="26"/>
      <c r="JG232" s="26"/>
      <c r="JH232" s="26"/>
      <c r="JI232" s="26"/>
      <c r="JJ232" s="26"/>
      <c r="JK232" s="26"/>
      <c r="JL232" s="26"/>
      <c r="JM232" s="26"/>
      <c r="JN232" s="26"/>
      <c r="JO232" s="26"/>
      <c r="JP232" s="26"/>
      <c r="JQ232" s="26"/>
      <c r="JR232" s="26"/>
      <c r="JS232" s="26"/>
      <c r="JT232" s="26"/>
      <c r="JU232" s="26"/>
      <c r="JV232" s="26"/>
      <c r="JW232" s="26"/>
      <c r="JX232" s="26"/>
      <c r="JY232" s="26"/>
      <c r="JZ232" s="26"/>
      <c r="KA232" s="26"/>
      <c r="KB232" s="26"/>
      <c r="KC232" s="26"/>
      <c r="KD232" s="26"/>
      <c r="KE232" s="26"/>
      <c r="KF232" s="26"/>
      <c r="KG232" s="26"/>
      <c r="KH232" s="26"/>
      <c r="KI232" s="26"/>
      <c r="KJ232" s="26"/>
      <c r="KK232" s="26"/>
      <c r="KL232" s="26"/>
      <c r="KM232" s="26"/>
      <c r="KN232" s="26"/>
      <c r="KO232" s="26"/>
      <c r="KP232" s="26"/>
      <c r="KQ232" s="26"/>
      <c r="KR232" s="26"/>
      <c r="KS232" s="26"/>
      <c r="KT232" s="26"/>
      <c r="KU232" s="26"/>
      <c r="KV232" s="26"/>
      <c r="KW232" s="26"/>
      <c r="KX232" s="26"/>
      <c r="KY232" s="26"/>
      <c r="KZ232" s="26"/>
      <c r="LA232" s="26"/>
      <c r="LB232" s="26"/>
      <c r="LC232" s="26"/>
      <c r="LD232" s="26"/>
      <c r="LE232" s="26"/>
      <c r="LF232" s="26"/>
      <c r="LG232" s="26"/>
      <c r="LH232" s="26"/>
      <c r="LI232" s="26"/>
      <c r="LJ232" s="26"/>
      <c r="LK232" s="26"/>
      <c r="LL232" s="26"/>
      <c r="LM232" s="26"/>
      <c r="LN232" s="26"/>
      <c r="LO232" s="26"/>
      <c r="LP232" s="26"/>
      <c r="LQ232" s="26"/>
      <c r="LR232" s="26"/>
      <c r="LS232" s="26"/>
      <c r="LT232" s="26"/>
      <c r="LU232" s="26"/>
      <c r="LV232" s="26"/>
      <c r="LW232" s="26"/>
      <c r="LX232" s="26"/>
      <c r="LY232" s="26"/>
      <c r="LZ232" s="26"/>
      <c r="MA232" s="26"/>
      <c r="MB232" s="26"/>
      <c r="MC232" s="26"/>
      <c r="MD232" s="26"/>
      <c r="ME232" s="26"/>
      <c r="MF232" s="26"/>
      <c r="MG232" s="26"/>
      <c r="MH232" s="26"/>
      <c r="MI232" s="26"/>
      <c r="MJ232" s="26"/>
      <c r="MK232" s="26"/>
      <c r="ML232" s="26"/>
      <c r="MM232" s="26"/>
      <c r="MN232" s="26"/>
      <c r="MO232" s="26"/>
      <c r="MP232" s="26"/>
      <c r="MQ232" s="26"/>
      <c r="MR232" s="26"/>
      <c r="MS232" s="26"/>
      <c r="MT232" s="26"/>
      <c r="MU232" s="26"/>
      <c r="MV232" s="26"/>
      <c r="MW232" s="26"/>
      <c r="MX232" s="26"/>
      <c r="MY232" s="26"/>
      <c r="MZ232" s="26"/>
      <c r="NA232" s="26"/>
      <c r="NB232" s="26"/>
      <c r="NC232" s="26"/>
      <c r="ND232" s="26"/>
      <c r="NE232" s="26"/>
      <c r="NF232" s="26"/>
      <c r="NG232" s="26"/>
      <c r="NH232" s="26"/>
      <c r="NI232" s="26"/>
      <c r="NJ232" s="26"/>
      <c r="NK232" s="26"/>
      <c r="NL232" s="26"/>
      <c r="NM232" s="26"/>
      <c r="NN232" s="26"/>
      <c r="NO232" s="26"/>
      <c r="NP232" s="26"/>
      <c r="NQ232" s="26"/>
      <c r="NR232" s="26"/>
      <c r="NS232" s="26"/>
      <c r="NT232" s="26"/>
      <c r="NU232" s="26"/>
      <c r="NV232" s="26"/>
      <c r="NW232" s="26"/>
      <c r="NX232" s="26"/>
      <c r="NY232" s="26"/>
      <c r="NZ232" s="26"/>
      <c r="OA232" s="26"/>
      <c r="OB232" s="26"/>
      <c r="OC232" s="26"/>
      <c r="OD232" s="26"/>
      <c r="OE232" s="26"/>
      <c r="OF232" s="26"/>
      <c r="OG232" s="26"/>
      <c r="OH232" s="26"/>
      <c r="OI232" s="26"/>
      <c r="OJ232" s="26"/>
      <c r="OK232" s="26"/>
      <c r="OL232" s="26"/>
      <c r="OM232" s="26"/>
      <c r="ON232" s="26"/>
      <c r="OO232" s="26"/>
      <c r="OP232" s="26"/>
      <c r="OQ232" s="26"/>
      <c r="OR232" s="26"/>
      <c r="OS232" s="26"/>
      <c r="OT232" s="26"/>
      <c r="OU232" s="26"/>
      <c r="OV232" s="26"/>
      <c r="OW232" s="26"/>
      <c r="OX232" s="26"/>
      <c r="OY232" s="26"/>
      <c r="OZ232" s="26"/>
      <c r="PA232" s="26"/>
      <c r="PB232" s="26"/>
      <c r="PC232" s="26"/>
      <c r="PD232" s="26"/>
      <c r="PE232" s="26"/>
      <c r="PF232" s="26"/>
      <c r="PG232" s="26"/>
      <c r="PH232" s="26"/>
      <c r="PI232" s="26"/>
      <c r="PJ232" s="26"/>
      <c r="PK232" s="26"/>
      <c r="PL232" s="26"/>
      <c r="PM232" s="26"/>
      <c r="PN232" s="26"/>
      <c r="PO232" s="26"/>
      <c r="PP232" s="26"/>
      <c r="PQ232" s="26"/>
      <c r="PR232" s="26"/>
      <c r="PS232" s="26"/>
      <c r="PT232" s="26"/>
      <c r="PU232" s="26"/>
      <c r="PV232" s="26"/>
      <c r="PW232" s="26"/>
      <c r="PX232" s="26"/>
      <c r="PY232" s="26"/>
      <c r="PZ232" s="26"/>
      <c r="QA232" s="26"/>
      <c r="QB232" s="26"/>
      <c r="QC232" s="26"/>
      <c r="QD232" s="26"/>
      <c r="QE232" s="26"/>
      <c r="QF232" s="26"/>
      <c r="QG232" s="26"/>
      <c r="QH232" s="26"/>
      <c r="QI232" s="26"/>
      <c r="QJ232" s="26"/>
      <c r="QK232" s="26"/>
      <c r="QL232" s="26"/>
      <c r="QM232" s="26"/>
      <c r="QN232" s="26"/>
      <c r="QO232" s="26"/>
      <c r="QP232" s="26"/>
      <c r="QQ232" s="26"/>
      <c r="QR232" s="26"/>
      <c r="QS232" s="26"/>
      <c r="QT232" s="26"/>
      <c r="QU232" s="26"/>
      <c r="QV232" s="26"/>
      <c r="QW232" s="26"/>
      <c r="QX232" s="26"/>
      <c r="QY232" s="26"/>
      <c r="QZ232" s="26"/>
      <c r="RA232" s="26"/>
      <c r="RB232" s="26"/>
      <c r="RC232" s="26"/>
      <c r="RD232" s="26"/>
      <c r="RE232" s="26"/>
      <c r="RF232" s="26"/>
      <c r="RG232" s="26"/>
      <c r="RH232" s="26"/>
      <c r="RI232" s="26"/>
      <c r="RJ232" s="26"/>
      <c r="RK232" s="26"/>
      <c r="RL232" s="26"/>
      <c r="RM232" s="26"/>
      <c r="RN232" s="26"/>
      <c r="RO232" s="26"/>
      <c r="RP232" s="26"/>
      <c r="RQ232" s="26"/>
      <c r="RR232" s="26"/>
      <c r="RS232" s="26"/>
      <c r="RT232" s="26"/>
      <c r="RU232" s="26"/>
      <c r="RV232" s="26"/>
      <c r="RW232" s="26"/>
      <c r="RX232" s="26"/>
      <c r="RY232" s="26"/>
      <c r="RZ232" s="26"/>
      <c r="SA232" s="26"/>
      <c r="SB232" s="26"/>
      <c r="SC232" s="26"/>
      <c r="SD232" s="26"/>
      <c r="SE232" s="26"/>
      <c r="SF232" s="26"/>
      <c r="SG232" s="26"/>
      <c r="SH232" s="26"/>
      <c r="SI232" s="26"/>
      <c r="SJ232" s="26"/>
      <c r="SK232" s="26"/>
      <c r="SL232" s="26"/>
      <c r="SM232" s="26"/>
      <c r="SN232" s="26"/>
      <c r="SO232" s="26"/>
      <c r="SP232" s="26"/>
      <c r="SQ232" s="26"/>
      <c r="SR232" s="26"/>
      <c r="SS232" s="26"/>
      <c r="ST232" s="26"/>
      <c r="SU232" s="26"/>
      <c r="SV232" s="26"/>
      <c r="SW232" s="26"/>
      <c r="SX232" s="26"/>
      <c r="SY232" s="26"/>
      <c r="SZ232" s="26"/>
      <c r="TA232" s="26"/>
      <c r="TB232" s="26"/>
      <c r="TC232" s="26"/>
      <c r="TD232" s="26"/>
      <c r="TE232" s="26"/>
      <c r="TF232" s="26"/>
      <c r="TG232" s="26"/>
      <c r="TH232" s="26"/>
      <c r="TI232" s="26"/>
    </row>
    <row r="233" spans="1:529" s="23" customFormat="1" ht="18" customHeight="1" x14ac:dyDescent="0.25">
      <c r="A233" s="43" t="s">
        <v>519</v>
      </c>
      <c r="B233" s="44">
        <v>7340</v>
      </c>
      <c r="C233" s="43" t="s">
        <v>119</v>
      </c>
      <c r="D233" s="24" t="s">
        <v>1</v>
      </c>
      <c r="E233" s="66">
        <f t="shared" si="119"/>
        <v>0</v>
      </c>
      <c r="F233" s="66"/>
      <c r="G233" s="66"/>
      <c r="H233" s="66"/>
      <c r="I233" s="66"/>
      <c r="J233" s="66">
        <f t="shared" si="121"/>
        <v>673070</v>
      </c>
      <c r="K233" s="66">
        <v>673070</v>
      </c>
      <c r="L233" s="66"/>
      <c r="M233" s="66"/>
      <c r="N233" s="66"/>
      <c r="O233" s="66">
        <v>673070</v>
      </c>
      <c r="P233" s="66">
        <f t="shared" si="120"/>
        <v>673070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  <c r="JK233" s="26"/>
      <c r="JL233" s="26"/>
      <c r="JM233" s="26"/>
      <c r="JN233" s="26"/>
      <c r="JO233" s="26"/>
      <c r="JP233" s="26"/>
      <c r="JQ233" s="26"/>
      <c r="JR233" s="26"/>
      <c r="JS233" s="26"/>
      <c r="JT233" s="26"/>
      <c r="JU233" s="26"/>
      <c r="JV233" s="26"/>
      <c r="JW233" s="26"/>
      <c r="JX233" s="26"/>
      <c r="JY233" s="26"/>
      <c r="JZ233" s="26"/>
      <c r="KA233" s="26"/>
      <c r="KB233" s="26"/>
      <c r="KC233" s="26"/>
      <c r="KD233" s="26"/>
      <c r="KE233" s="26"/>
      <c r="KF233" s="26"/>
      <c r="KG233" s="26"/>
      <c r="KH233" s="26"/>
      <c r="KI233" s="26"/>
      <c r="KJ233" s="26"/>
      <c r="KK233" s="26"/>
      <c r="KL233" s="26"/>
      <c r="KM233" s="26"/>
      <c r="KN233" s="26"/>
      <c r="KO233" s="26"/>
      <c r="KP233" s="26"/>
      <c r="KQ233" s="26"/>
      <c r="KR233" s="26"/>
      <c r="KS233" s="26"/>
      <c r="KT233" s="26"/>
      <c r="KU233" s="26"/>
      <c r="KV233" s="26"/>
      <c r="KW233" s="26"/>
      <c r="KX233" s="26"/>
      <c r="KY233" s="26"/>
      <c r="KZ233" s="26"/>
      <c r="LA233" s="26"/>
      <c r="LB233" s="26"/>
      <c r="LC233" s="26"/>
      <c r="LD233" s="26"/>
      <c r="LE233" s="26"/>
      <c r="LF233" s="26"/>
      <c r="LG233" s="26"/>
      <c r="LH233" s="26"/>
      <c r="LI233" s="26"/>
      <c r="LJ233" s="26"/>
      <c r="LK233" s="26"/>
      <c r="LL233" s="26"/>
      <c r="LM233" s="26"/>
      <c r="LN233" s="26"/>
      <c r="LO233" s="26"/>
      <c r="LP233" s="26"/>
      <c r="LQ233" s="26"/>
      <c r="LR233" s="26"/>
      <c r="LS233" s="26"/>
      <c r="LT233" s="26"/>
      <c r="LU233" s="26"/>
      <c r="LV233" s="26"/>
      <c r="LW233" s="26"/>
      <c r="LX233" s="26"/>
      <c r="LY233" s="26"/>
      <c r="LZ233" s="26"/>
      <c r="MA233" s="26"/>
      <c r="MB233" s="26"/>
      <c r="MC233" s="26"/>
      <c r="MD233" s="26"/>
      <c r="ME233" s="26"/>
      <c r="MF233" s="26"/>
      <c r="MG233" s="26"/>
      <c r="MH233" s="26"/>
      <c r="MI233" s="26"/>
      <c r="MJ233" s="26"/>
      <c r="MK233" s="26"/>
      <c r="ML233" s="26"/>
      <c r="MM233" s="26"/>
      <c r="MN233" s="26"/>
      <c r="MO233" s="26"/>
      <c r="MP233" s="26"/>
      <c r="MQ233" s="26"/>
      <c r="MR233" s="26"/>
      <c r="MS233" s="26"/>
      <c r="MT233" s="26"/>
      <c r="MU233" s="26"/>
      <c r="MV233" s="26"/>
      <c r="MW233" s="26"/>
      <c r="MX233" s="26"/>
      <c r="MY233" s="26"/>
      <c r="MZ233" s="26"/>
      <c r="NA233" s="26"/>
      <c r="NB233" s="26"/>
      <c r="NC233" s="26"/>
      <c r="ND233" s="26"/>
      <c r="NE233" s="26"/>
      <c r="NF233" s="26"/>
      <c r="NG233" s="26"/>
      <c r="NH233" s="26"/>
      <c r="NI233" s="26"/>
      <c r="NJ233" s="26"/>
      <c r="NK233" s="26"/>
      <c r="NL233" s="26"/>
      <c r="NM233" s="26"/>
      <c r="NN233" s="26"/>
      <c r="NO233" s="26"/>
      <c r="NP233" s="26"/>
      <c r="NQ233" s="26"/>
      <c r="NR233" s="26"/>
      <c r="NS233" s="26"/>
      <c r="NT233" s="26"/>
      <c r="NU233" s="26"/>
      <c r="NV233" s="26"/>
      <c r="NW233" s="26"/>
      <c r="NX233" s="26"/>
      <c r="NY233" s="26"/>
      <c r="NZ233" s="26"/>
      <c r="OA233" s="26"/>
      <c r="OB233" s="26"/>
      <c r="OC233" s="26"/>
      <c r="OD233" s="26"/>
      <c r="OE233" s="26"/>
      <c r="OF233" s="26"/>
      <c r="OG233" s="26"/>
      <c r="OH233" s="26"/>
      <c r="OI233" s="26"/>
      <c r="OJ233" s="26"/>
      <c r="OK233" s="26"/>
      <c r="OL233" s="26"/>
      <c r="OM233" s="26"/>
      <c r="ON233" s="26"/>
      <c r="OO233" s="26"/>
      <c r="OP233" s="26"/>
      <c r="OQ233" s="26"/>
      <c r="OR233" s="26"/>
      <c r="OS233" s="26"/>
      <c r="OT233" s="26"/>
      <c r="OU233" s="26"/>
      <c r="OV233" s="26"/>
      <c r="OW233" s="26"/>
      <c r="OX233" s="26"/>
      <c r="OY233" s="26"/>
      <c r="OZ233" s="26"/>
      <c r="PA233" s="26"/>
      <c r="PB233" s="26"/>
      <c r="PC233" s="26"/>
      <c r="PD233" s="26"/>
      <c r="PE233" s="26"/>
      <c r="PF233" s="26"/>
      <c r="PG233" s="26"/>
      <c r="PH233" s="26"/>
      <c r="PI233" s="26"/>
      <c r="PJ233" s="26"/>
      <c r="PK233" s="26"/>
      <c r="PL233" s="26"/>
      <c r="PM233" s="26"/>
      <c r="PN233" s="26"/>
      <c r="PO233" s="26"/>
      <c r="PP233" s="26"/>
      <c r="PQ233" s="26"/>
      <c r="PR233" s="26"/>
      <c r="PS233" s="26"/>
      <c r="PT233" s="26"/>
      <c r="PU233" s="26"/>
      <c r="PV233" s="26"/>
      <c r="PW233" s="26"/>
      <c r="PX233" s="26"/>
      <c r="PY233" s="26"/>
      <c r="PZ233" s="26"/>
      <c r="QA233" s="26"/>
      <c r="QB233" s="26"/>
      <c r="QC233" s="26"/>
      <c r="QD233" s="26"/>
      <c r="QE233" s="26"/>
      <c r="QF233" s="26"/>
      <c r="QG233" s="26"/>
      <c r="QH233" s="26"/>
      <c r="QI233" s="26"/>
      <c r="QJ233" s="26"/>
      <c r="QK233" s="26"/>
      <c r="QL233" s="26"/>
      <c r="QM233" s="26"/>
      <c r="QN233" s="26"/>
      <c r="QO233" s="26"/>
      <c r="QP233" s="26"/>
      <c r="QQ233" s="26"/>
      <c r="QR233" s="26"/>
      <c r="QS233" s="26"/>
      <c r="QT233" s="26"/>
      <c r="QU233" s="26"/>
      <c r="QV233" s="26"/>
      <c r="QW233" s="26"/>
      <c r="QX233" s="26"/>
      <c r="QY233" s="26"/>
      <c r="QZ233" s="26"/>
      <c r="RA233" s="26"/>
      <c r="RB233" s="26"/>
      <c r="RC233" s="26"/>
      <c r="RD233" s="26"/>
      <c r="RE233" s="26"/>
      <c r="RF233" s="26"/>
      <c r="RG233" s="26"/>
      <c r="RH233" s="26"/>
      <c r="RI233" s="26"/>
      <c r="RJ233" s="26"/>
      <c r="RK233" s="26"/>
      <c r="RL233" s="26"/>
      <c r="RM233" s="26"/>
      <c r="RN233" s="26"/>
      <c r="RO233" s="26"/>
      <c r="RP233" s="26"/>
      <c r="RQ233" s="26"/>
      <c r="RR233" s="26"/>
      <c r="RS233" s="26"/>
      <c r="RT233" s="26"/>
      <c r="RU233" s="26"/>
      <c r="RV233" s="26"/>
      <c r="RW233" s="26"/>
      <c r="RX233" s="26"/>
      <c r="RY233" s="26"/>
      <c r="RZ233" s="26"/>
      <c r="SA233" s="26"/>
      <c r="SB233" s="26"/>
      <c r="SC233" s="26"/>
      <c r="SD233" s="26"/>
      <c r="SE233" s="26"/>
      <c r="SF233" s="26"/>
      <c r="SG233" s="26"/>
      <c r="SH233" s="26"/>
      <c r="SI233" s="26"/>
      <c r="SJ233" s="26"/>
      <c r="SK233" s="26"/>
      <c r="SL233" s="26"/>
      <c r="SM233" s="26"/>
      <c r="SN233" s="26"/>
      <c r="SO233" s="26"/>
      <c r="SP233" s="26"/>
      <c r="SQ233" s="26"/>
      <c r="SR233" s="26"/>
      <c r="SS233" s="26"/>
      <c r="ST233" s="26"/>
      <c r="SU233" s="26"/>
      <c r="SV233" s="26"/>
      <c r="SW233" s="26"/>
      <c r="SX233" s="26"/>
      <c r="SY233" s="26"/>
      <c r="SZ233" s="26"/>
      <c r="TA233" s="26"/>
      <c r="TB233" s="26"/>
      <c r="TC233" s="26"/>
      <c r="TD233" s="26"/>
      <c r="TE233" s="26"/>
      <c r="TF233" s="26"/>
      <c r="TG233" s="26"/>
      <c r="TH233" s="26"/>
      <c r="TI233" s="26"/>
    </row>
    <row r="234" spans="1:529" s="23" customFormat="1" ht="44.25" customHeight="1" x14ac:dyDescent="0.25">
      <c r="A234" s="43" t="s">
        <v>417</v>
      </c>
      <c r="B234" s="44">
        <f>'дод 4'!A150</f>
        <v>7361</v>
      </c>
      <c r="C234" s="44" t="str">
        <f>'дод 4'!B150</f>
        <v>0490</v>
      </c>
      <c r="D234" s="24" t="str">
        <f>'дод 4'!C150</f>
        <v>Співфінансування інвестиційних проектів, що реалізуються за рахунок коштів державного фонду регіонального розвитку</v>
      </c>
      <c r="E234" s="66">
        <f t="shared" ref="E234" si="122">F234+I234</f>
        <v>0</v>
      </c>
      <c r="F234" s="66"/>
      <c r="G234" s="66"/>
      <c r="H234" s="66"/>
      <c r="I234" s="66"/>
      <c r="J234" s="66">
        <f t="shared" ref="J234" si="123">L234+O234</f>
        <v>5000000</v>
      </c>
      <c r="K234" s="66">
        <v>5000000</v>
      </c>
      <c r="L234" s="66"/>
      <c r="M234" s="66"/>
      <c r="N234" s="66"/>
      <c r="O234" s="66">
        <v>5000000</v>
      </c>
      <c r="P234" s="66">
        <f t="shared" si="120"/>
        <v>5000000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</row>
    <row r="235" spans="1:529" s="23" customFormat="1" ht="42.75" customHeight="1" x14ac:dyDescent="0.25">
      <c r="A235" s="43" t="s">
        <v>408</v>
      </c>
      <c r="B235" s="44">
        <v>7363</v>
      </c>
      <c r="C235" s="43" t="s">
        <v>89</v>
      </c>
      <c r="D235" s="24" t="s">
        <v>461</v>
      </c>
      <c r="E235" s="66">
        <f t="shared" si="119"/>
        <v>0</v>
      </c>
      <c r="F235" s="66"/>
      <c r="G235" s="66"/>
      <c r="H235" s="66"/>
      <c r="I235" s="66"/>
      <c r="J235" s="66">
        <f t="shared" si="121"/>
        <v>95000</v>
      </c>
      <c r="K235" s="66">
        <v>95000</v>
      </c>
      <c r="L235" s="66"/>
      <c r="M235" s="66"/>
      <c r="N235" s="66"/>
      <c r="O235" s="66">
        <v>95000</v>
      </c>
      <c r="P235" s="66">
        <f t="shared" si="120"/>
        <v>95000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  <c r="LB235" s="26"/>
      <c r="LC235" s="26"/>
      <c r="LD235" s="26"/>
      <c r="LE235" s="26"/>
      <c r="LF235" s="26"/>
      <c r="LG235" s="26"/>
      <c r="LH235" s="26"/>
      <c r="LI235" s="26"/>
      <c r="LJ235" s="26"/>
      <c r="LK235" s="26"/>
      <c r="LL235" s="26"/>
      <c r="LM235" s="26"/>
      <c r="LN235" s="26"/>
      <c r="LO235" s="26"/>
      <c r="LP235" s="26"/>
      <c r="LQ235" s="26"/>
      <c r="LR235" s="26"/>
      <c r="LS235" s="26"/>
      <c r="LT235" s="26"/>
      <c r="LU235" s="26"/>
      <c r="LV235" s="26"/>
      <c r="LW235" s="26"/>
      <c r="LX235" s="26"/>
      <c r="LY235" s="26"/>
      <c r="LZ235" s="26"/>
      <c r="MA235" s="26"/>
      <c r="MB235" s="26"/>
      <c r="MC235" s="26"/>
      <c r="MD235" s="26"/>
      <c r="ME235" s="26"/>
      <c r="MF235" s="26"/>
      <c r="MG235" s="26"/>
      <c r="MH235" s="26"/>
      <c r="MI235" s="26"/>
      <c r="MJ235" s="26"/>
      <c r="MK235" s="26"/>
      <c r="ML235" s="26"/>
      <c r="MM235" s="26"/>
      <c r="MN235" s="26"/>
      <c r="MO235" s="26"/>
      <c r="MP235" s="26"/>
      <c r="MQ235" s="26"/>
      <c r="MR235" s="26"/>
      <c r="MS235" s="26"/>
      <c r="MT235" s="26"/>
      <c r="MU235" s="26"/>
      <c r="MV235" s="26"/>
      <c r="MW235" s="26"/>
      <c r="MX235" s="26"/>
      <c r="MY235" s="26"/>
      <c r="MZ235" s="26"/>
      <c r="NA235" s="26"/>
      <c r="NB235" s="26"/>
      <c r="NC235" s="26"/>
      <c r="ND235" s="26"/>
      <c r="NE235" s="26"/>
      <c r="NF235" s="26"/>
      <c r="NG235" s="26"/>
      <c r="NH235" s="26"/>
      <c r="NI235" s="26"/>
      <c r="NJ235" s="26"/>
      <c r="NK235" s="26"/>
      <c r="NL235" s="26"/>
      <c r="NM235" s="26"/>
      <c r="NN235" s="26"/>
      <c r="NO235" s="26"/>
      <c r="NP235" s="26"/>
      <c r="NQ235" s="26"/>
      <c r="NR235" s="26"/>
      <c r="NS235" s="26"/>
      <c r="NT235" s="26"/>
      <c r="NU235" s="26"/>
      <c r="NV235" s="26"/>
      <c r="NW235" s="26"/>
      <c r="NX235" s="26"/>
      <c r="NY235" s="26"/>
      <c r="NZ235" s="26"/>
      <c r="OA235" s="26"/>
      <c r="OB235" s="26"/>
      <c r="OC235" s="26"/>
      <c r="OD235" s="26"/>
      <c r="OE235" s="26"/>
      <c r="OF235" s="26"/>
      <c r="OG235" s="26"/>
      <c r="OH235" s="26"/>
      <c r="OI235" s="26"/>
      <c r="OJ235" s="26"/>
      <c r="OK235" s="26"/>
      <c r="OL235" s="26"/>
      <c r="OM235" s="26"/>
      <c r="ON235" s="26"/>
      <c r="OO235" s="26"/>
      <c r="OP235" s="26"/>
      <c r="OQ235" s="26"/>
      <c r="OR235" s="26"/>
      <c r="OS235" s="26"/>
      <c r="OT235" s="26"/>
      <c r="OU235" s="26"/>
      <c r="OV235" s="26"/>
      <c r="OW235" s="26"/>
      <c r="OX235" s="26"/>
      <c r="OY235" s="26"/>
      <c r="OZ235" s="26"/>
      <c r="PA235" s="26"/>
      <c r="PB235" s="26"/>
      <c r="PC235" s="26"/>
      <c r="PD235" s="26"/>
      <c r="PE235" s="26"/>
      <c r="PF235" s="26"/>
      <c r="PG235" s="26"/>
      <c r="PH235" s="26"/>
      <c r="PI235" s="26"/>
      <c r="PJ235" s="26"/>
      <c r="PK235" s="26"/>
      <c r="PL235" s="26"/>
      <c r="PM235" s="26"/>
      <c r="PN235" s="26"/>
      <c r="PO235" s="26"/>
      <c r="PP235" s="26"/>
      <c r="PQ235" s="26"/>
      <c r="PR235" s="26"/>
      <c r="PS235" s="26"/>
      <c r="PT235" s="26"/>
      <c r="PU235" s="26"/>
      <c r="PV235" s="26"/>
      <c r="PW235" s="26"/>
      <c r="PX235" s="26"/>
      <c r="PY235" s="26"/>
      <c r="PZ235" s="26"/>
      <c r="QA235" s="26"/>
      <c r="QB235" s="26"/>
      <c r="QC235" s="26"/>
      <c r="QD235" s="26"/>
      <c r="QE235" s="26"/>
      <c r="QF235" s="26"/>
      <c r="QG235" s="26"/>
      <c r="QH235" s="26"/>
      <c r="QI235" s="26"/>
      <c r="QJ235" s="26"/>
      <c r="QK235" s="26"/>
      <c r="QL235" s="26"/>
      <c r="QM235" s="26"/>
      <c r="QN235" s="26"/>
      <c r="QO235" s="26"/>
      <c r="QP235" s="26"/>
      <c r="QQ235" s="26"/>
      <c r="QR235" s="26"/>
      <c r="QS235" s="26"/>
      <c r="QT235" s="26"/>
      <c r="QU235" s="26"/>
      <c r="QV235" s="26"/>
      <c r="QW235" s="26"/>
      <c r="QX235" s="26"/>
      <c r="QY235" s="26"/>
      <c r="QZ235" s="26"/>
      <c r="RA235" s="26"/>
      <c r="RB235" s="26"/>
      <c r="RC235" s="26"/>
      <c r="RD235" s="26"/>
      <c r="RE235" s="26"/>
      <c r="RF235" s="26"/>
      <c r="RG235" s="26"/>
      <c r="RH235" s="26"/>
      <c r="RI235" s="26"/>
      <c r="RJ235" s="26"/>
      <c r="RK235" s="26"/>
      <c r="RL235" s="26"/>
      <c r="RM235" s="26"/>
      <c r="RN235" s="26"/>
      <c r="RO235" s="26"/>
      <c r="RP235" s="26"/>
      <c r="RQ235" s="26"/>
      <c r="RR235" s="26"/>
      <c r="RS235" s="26"/>
      <c r="RT235" s="26"/>
      <c r="RU235" s="26"/>
      <c r="RV235" s="26"/>
      <c r="RW235" s="26"/>
      <c r="RX235" s="26"/>
      <c r="RY235" s="26"/>
      <c r="RZ235" s="26"/>
      <c r="SA235" s="26"/>
      <c r="SB235" s="26"/>
      <c r="SC235" s="26"/>
      <c r="SD235" s="26"/>
      <c r="SE235" s="26"/>
      <c r="SF235" s="26"/>
      <c r="SG235" s="26"/>
      <c r="SH235" s="26"/>
      <c r="SI235" s="26"/>
      <c r="SJ235" s="26"/>
      <c r="SK235" s="26"/>
      <c r="SL235" s="26"/>
      <c r="SM235" s="26"/>
      <c r="SN235" s="26"/>
      <c r="SO235" s="26"/>
      <c r="SP235" s="26"/>
      <c r="SQ235" s="26"/>
      <c r="SR235" s="26"/>
      <c r="SS235" s="26"/>
      <c r="ST235" s="26"/>
      <c r="SU235" s="26"/>
      <c r="SV235" s="26"/>
      <c r="SW235" s="26"/>
      <c r="SX235" s="26"/>
      <c r="SY235" s="26"/>
      <c r="SZ235" s="26"/>
      <c r="TA235" s="26"/>
      <c r="TB235" s="26"/>
      <c r="TC235" s="26"/>
      <c r="TD235" s="26"/>
      <c r="TE235" s="26"/>
      <c r="TF235" s="26"/>
      <c r="TG235" s="26"/>
      <c r="TH235" s="26"/>
      <c r="TI235" s="26"/>
    </row>
    <row r="236" spans="1:529" s="23" customFormat="1" ht="30" x14ac:dyDescent="0.25">
      <c r="A236" s="43" t="s">
        <v>523</v>
      </c>
      <c r="B236" s="44">
        <v>7370</v>
      </c>
      <c r="C236" s="43" t="s">
        <v>89</v>
      </c>
      <c r="D236" s="24" t="s">
        <v>524</v>
      </c>
      <c r="E236" s="66">
        <f>F236+I236</f>
        <v>135637.20000000001</v>
      </c>
      <c r="F236" s="66">
        <v>135637.20000000001</v>
      </c>
      <c r="G236" s="66"/>
      <c r="H236" s="66"/>
      <c r="I236" s="66"/>
      <c r="J236" s="66">
        <f t="shared" si="121"/>
        <v>0</v>
      </c>
      <c r="K236" s="66"/>
      <c r="L236" s="66"/>
      <c r="M236" s="66"/>
      <c r="N236" s="66"/>
      <c r="O236" s="66"/>
      <c r="P236" s="66">
        <f t="shared" si="120"/>
        <v>135637.20000000001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  <c r="IW236" s="26"/>
      <c r="IX236" s="26"/>
      <c r="IY236" s="26"/>
      <c r="IZ236" s="26"/>
      <c r="JA236" s="26"/>
      <c r="JB236" s="26"/>
      <c r="JC236" s="26"/>
      <c r="JD236" s="26"/>
      <c r="JE236" s="26"/>
      <c r="JF236" s="26"/>
      <c r="JG236" s="26"/>
      <c r="JH236" s="26"/>
      <c r="JI236" s="26"/>
      <c r="JJ236" s="26"/>
      <c r="JK236" s="26"/>
      <c r="JL236" s="26"/>
      <c r="JM236" s="26"/>
      <c r="JN236" s="26"/>
      <c r="JO236" s="26"/>
      <c r="JP236" s="26"/>
      <c r="JQ236" s="26"/>
      <c r="JR236" s="26"/>
      <c r="JS236" s="26"/>
      <c r="JT236" s="26"/>
      <c r="JU236" s="26"/>
      <c r="JV236" s="26"/>
      <c r="JW236" s="26"/>
      <c r="JX236" s="26"/>
      <c r="JY236" s="26"/>
      <c r="JZ236" s="26"/>
      <c r="KA236" s="26"/>
      <c r="KB236" s="26"/>
      <c r="KC236" s="26"/>
      <c r="KD236" s="26"/>
      <c r="KE236" s="26"/>
      <c r="KF236" s="26"/>
      <c r="KG236" s="26"/>
      <c r="KH236" s="26"/>
      <c r="KI236" s="26"/>
      <c r="KJ236" s="26"/>
      <c r="KK236" s="26"/>
      <c r="KL236" s="26"/>
      <c r="KM236" s="26"/>
      <c r="KN236" s="26"/>
      <c r="KO236" s="26"/>
      <c r="KP236" s="26"/>
      <c r="KQ236" s="26"/>
      <c r="KR236" s="26"/>
      <c r="KS236" s="26"/>
      <c r="KT236" s="26"/>
      <c r="KU236" s="26"/>
      <c r="KV236" s="26"/>
      <c r="KW236" s="26"/>
      <c r="KX236" s="26"/>
      <c r="KY236" s="26"/>
      <c r="KZ236" s="26"/>
      <c r="LA236" s="26"/>
      <c r="LB236" s="26"/>
      <c r="LC236" s="26"/>
      <c r="LD236" s="26"/>
      <c r="LE236" s="26"/>
      <c r="LF236" s="26"/>
      <c r="LG236" s="26"/>
      <c r="LH236" s="26"/>
      <c r="LI236" s="26"/>
      <c r="LJ236" s="26"/>
      <c r="LK236" s="26"/>
      <c r="LL236" s="26"/>
      <c r="LM236" s="26"/>
      <c r="LN236" s="26"/>
      <c r="LO236" s="26"/>
      <c r="LP236" s="26"/>
      <c r="LQ236" s="26"/>
      <c r="LR236" s="26"/>
      <c r="LS236" s="26"/>
      <c r="LT236" s="26"/>
      <c r="LU236" s="26"/>
      <c r="LV236" s="26"/>
      <c r="LW236" s="26"/>
      <c r="LX236" s="26"/>
      <c r="LY236" s="26"/>
      <c r="LZ236" s="26"/>
      <c r="MA236" s="26"/>
      <c r="MB236" s="26"/>
      <c r="MC236" s="26"/>
      <c r="MD236" s="26"/>
      <c r="ME236" s="26"/>
      <c r="MF236" s="26"/>
      <c r="MG236" s="26"/>
      <c r="MH236" s="26"/>
      <c r="MI236" s="26"/>
      <c r="MJ236" s="26"/>
      <c r="MK236" s="26"/>
      <c r="ML236" s="26"/>
      <c r="MM236" s="26"/>
      <c r="MN236" s="26"/>
      <c r="MO236" s="26"/>
      <c r="MP236" s="26"/>
      <c r="MQ236" s="26"/>
      <c r="MR236" s="26"/>
      <c r="MS236" s="26"/>
      <c r="MT236" s="26"/>
      <c r="MU236" s="26"/>
      <c r="MV236" s="26"/>
      <c r="MW236" s="26"/>
      <c r="MX236" s="26"/>
      <c r="MY236" s="26"/>
      <c r="MZ236" s="26"/>
      <c r="NA236" s="26"/>
      <c r="NB236" s="26"/>
      <c r="NC236" s="26"/>
      <c r="ND236" s="26"/>
      <c r="NE236" s="26"/>
      <c r="NF236" s="26"/>
      <c r="NG236" s="26"/>
      <c r="NH236" s="26"/>
      <c r="NI236" s="26"/>
      <c r="NJ236" s="26"/>
      <c r="NK236" s="26"/>
      <c r="NL236" s="26"/>
      <c r="NM236" s="26"/>
      <c r="NN236" s="26"/>
      <c r="NO236" s="26"/>
      <c r="NP236" s="26"/>
      <c r="NQ236" s="26"/>
      <c r="NR236" s="26"/>
      <c r="NS236" s="26"/>
      <c r="NT236" s="26"/>
      <c r="NU236" s="26"/>
      <c r="NV236" s="26"/>
      <c r="NW236" s="26"/>
      <c r="NX236" s="26"/>
      <c r="NY236" s="26"/>
      <c r="NZ236" s="26"/>
      <c r="OA236" s="26"/>
      <c r="OB236" s="26"/>
      <c r="OC236" s="26"/>
      <c r="OD236" s="26"/>
      <c r="OE236" s="26"/>
      <c r="OF236" s="26"/>
      <c r="OG236" s="26"/>
      <c r="OH236" s="26"/>
      <c r="OI236" s="26"/>
      <c r="OJ236" s="26"/>
      <c r="OK236" s="26"/>
      <c r="OL236" s="26"/>
      <c r="OM236" s="26"/>
      <c r="ON236" s="26"/>
      <c r="OO236" s="26"/>
      <c r="OP236" s="26"/>
      <c r="OQ236" s="26"/>
      <c r="OR236" s="26"/>
      <c r="OS236" s="26"/>
      <c r="OT236" s="26"/>
      <c r="OU236" s="26"/>
      <c r="OV236" s="26"/>
      <c r="OW236" s="26"/>
      <c r="OX236" s="26"/>
      <c r="OY236" s="26"/>
      <c r="OZ236" s="26"/>
      <c r="PA236" s="26"/>
      <c r="PB236" s="26"/>
      <c r="PC236" s="26"/>
      <c r="PD236" s="26"/>
      <c r="PE236" s="26"/>
      <c r="PF236" s="26"/>
      <c r="PG236" s="26"/>
      <c r="PH236" s="26"/>
      <c r="PI236" s="26"/>
      <c r="PJ236" s="26"/>
      <c r="PK236" s="26"/>
      <c r="PL236" s="26"/>
      <c r="PM236" s="26"/>
      <c r="PN236" s="26"/>
      <c r="PO236" s="26"/>
      <c r="PP236" s="26"/>
      <c r="PQ236" s="26"/>
      <c r="PR236" s="26"/>
      <c r="PS236" s="26"/>
      <c r="PT236" s="26"/>
      <c r="PU236" s="26"/>
      <c r="PV236" s="26"/>
      <c r="PW236" s="26"/>
      <c r="PX236" s="26"/>
      <c r="PY236" s="26"/>
      <c r="PZ236" s="26"/>
      <c r="QA236" s="26"/>
      <c r="QB236" s="26"/>
      <c r="QC236" s="26"/>
      <c r="QD236" s="26"/>
      <c r="QE236" s="26"/>
      <c r="QF236" s="26"/>
      <c r="QG236" s="26"/>
      <c r="QH236" s="26"/>
      <c r="QI236" s="26"/>
      <c r="QJ236" s="26"/>
      <c r="QK236" s="26"/>
      <c r="QL236" s="26"/>
      <c r="QM236" s="26"/>
      <c r="QN236" s="26"/>
      <c r="QO236" s="26"/>
      <c r="QP236" s="26"/>
      <c r="QQ236" s="26"/>
      <c r="QR236" s="26"/>
      <c r="QS236" s="26"/>
      <c r="QT236" s="26"/>
      <c r="QU236" s="26"/>
      <c r="QV236" s="26"/>
      <c r="QW236" s="26"/>
      <c r="QX236" s="26"/>
      <c r="QY236" s="26"/>
      <c r="QZ236" s="26"/>
      <c r="RA236" s="26"/>
      <c r="RB236" s="26"/>
      <c r="RC236" s="26"/>
      <c r="RD236" s="26"/>
      <c r="RE236" s="26"/>
      <c r="RF236" s="26"/>
      <c r="RG236" s="26"/>
      <c r="RH236" s="26"/>
      <c r="RI236" s="26"/>
      <c r="RJ236" s="26"/>
      <c r="RK236" s="26"/>
      <c r="RL236" s="26"/>
      <c r="RM236" s="26"/>
      <c r="RN236" s="26"/>
      <c r="RO236" s="26"/>
      <c r="RP236" s="26"/>
      <c r="RQ236" s="26"/>
      <c r="RR236" s="26"/>
      <c r="RS236" s="26"/>
      <c r="RT236" s="26"/>
      <c r="RU236" s="26"/>
      <c r="RV236" s="26"/>
      <c r="RW236" s="26"/>
      <c r="RX236" s="26"/>
      <c r="RY236" s="26"/>
      <c r="RZ236" s="26"/>
      <c r="SA236" s="26"/>
      <c r="SB236" s="26"/>
      <c r="SC236" s="26"/>
      <c r="SD236" s="26"/>
      <c r="SE236" s="26"/>
      <c r="SF236" s="26"/>
      <c r="SG236" s="26"/>
      <c r="SH236" s="26"/>
      <c r="SI236" s="26"/>
      <c r="SJ236" s="26"/>
      <c r="SK236" s="26"/>
      <c r="SL236" s="26"/>
      <c r="SM236" s="26"/>
      <c r="SN236" s="26"/>
      <c r="SO236" s="26"/>
      <c r="SP236" s="26"/>
      <c r="SQ236" s="26"/>
      <c r="SR236" s="26"/>
      <c r="SS236" s="26"/>
      <c r="ST236" s="26"/>
      <c r="SU236" s="26"/>
      <c r="SV236" s="26"/>
      <c r="SW236" s="26"/>
      <c r="SX236" s="26"/>
      <c r="SY236" s="26"/>
      <c r="SZ236" s="26"/>
      <c r="TA236" s="26"/>
      <c r="TB236" s="26"/>
      <c r="TC236" s="26"/>
      <c r="TD236" s="26"/>
      <c r="TE236" s="26"/>
      <c r="TF236" s="26"/>
      <c r="TG236" s="26"/>
      <c r="TH236" s="26"/>
      <c r="TI236" s="26"/>
    </row>
    <row r="237" spans="1:529" s="23" customFormat="1" ht="21.75" customHeight="1" x14ac:dyDescent="0.25">
      <c r="A237" s="43" t="s">
        <v>157</v>
      </c>
      <c r="B237" s="44" t="str">
        <f>'дод 4'!A167</f>
        <v>7640</v>
      </c>
      <c r="C237" s="44" t="str">
        <f>'дод 4'!B167</f>
        <v>0470</v>
      </c>
      <c r="D237" s="24" t="s">
        <v>511</v>
      </c>
      <c r="E237" s="66">
        <f t="shared" si="119"/>
        <v>1507700</v>
      </c>
      <c r="F237" s="66">
        <f>1728011-220311</f>
        <v>1507700</v>
      </c>
      <c r="G237" s="66"/>
      <c r="H237" s="66"/>
      <c r="I237" s="66"/>
      <c r="J237" s="66">
        <f t="shared" si="121"/>
        <v>68724026</v>
      </c>
      <c r="K237" s="66">
        <f>74352548-7700000-7500000+847467-400000-612441</f>
        <v>58987574</v>
      </c>
      <c r="L237" s="68"/>
      <c r="M237" s="66"/>
      <c r="N237" s="66"/>
      <c r="O237" s="66">
        <f>74352548+9736452-7700000-7500000+847467-400000-612441</f>
        <v>68724026</v>
      </c>
      <c r="P237" s="66">
        <f t="shared" si="120"/>
        <v>70231726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  <c r="JK237" s="26"/>
      <c r="JL237" s="26"/>
      <c r="JM237" s="26"/>
      <c r="JN237" s="26"/>
      <c r="JO237" s="26"/>
      <c r="JP237" s="26"/>
      <c r="JQ237" s="26"/>
      <c r="JR237" s="26"/>
      <c r="JS237" s="26"/>
      <c r="JT237" s="26"/>
      <c r="JU237" s="26"/>
      <c r="JV237" s="26"/>
      <c r="JW237" s="26"/>
      <c r="JX237" s="26"/>
      <c r="JY237" s="26"/>
      <c r="JZ237" s="26"/>
      <c r="KA237" s="26"/>
      <c r="KB237" s="26"/>
      <c r="KC237" s="26"/>
      <c r="KD237" s="26"/>
      <c r="KE237" s="26"/>
      <c r="KF237" s="26"/>
      <c r="KG237" s="26"/>
      <c r="KH237" s="26"/>
      <c r="KI237" s="26"/>
      <c r="KJ237" s="26"/>
      <c r="KK237" s="26"/>
      <c r="KL237" s="26"/>
      <c r="KM237" s="26"/>
      <c r="KN237" s="26"/>
      <c r="KO237" s="26"/>
      <c r="KP237" s="26"/>
      <c r="KQ237" s="26"/>
      <c r="KR237" s="26"/>
      <c r="KS237" s="26"/>
      <c r="KT237" s="26"/>
      <c r="KU237" s="26"/>
      <c r="KV237" s="26"/>
      <c r="KW237" s="26"/>
      <c r="KX237" s="26"/>
      <c r="KY237" s="26"/>
      <c r="KZ237" s="26"/>
      <c r="LA237" s="26"/>
      <c r="LB237" s="26"/>
      <c r="LC237" s="26"/>
      <c r="LD237" s="26"/>
      <c r="LE237" s="26"/>
      <c r="LF237" s="26"/>
      <c r="LG237" s="26"/>
      <c r="LH237" s="26"/>
      <c r="LI237" s="26"/>
      <c r="LJ237" s="26"/>
      <c r="LK237" s="26"/>
      <c r="LL237" s="26"/>
      <c r="LM237" s="26"/>
      <c r="LN237" s="26"/>
      <c r="LO237" s="26"/>
      <c r="LP237" s="26"/>
      <c r="LQ237" s="26"/>
      <c r="LR237" s="26"/>
      <c r="LS237" s="26"/>
      <c r="LT237" s="26"/>
      <c r="LU237" s="26"/>
      <c r="LV237" s="26"/>
      <c r="LW237" s="26"/>
      <c r="LX237" s="26"/>
      <c r="LY237" s="26"/>
      <c r="LZ237" s="26"/>
      <c r="MA237" s="26"/>
      <c r="MB237" s="26"/>
      <c r="MC237" s="26"/>
      <c r="MD237" s="26"/>
      <c r="ME237" s="26"/>
      <c r="MF237" s="26"/>
      <c r="MG237" s="26"/>
      <c r="MH237" s="26"/>
      <c r="MI237" s="26"/>
      <c r="MJ237" s="26"/>
      <c r="MK237" s="26"/>
      <c r="ML237" s="26"/>
      <c r="MM237" s="26"/>
      <c r="MN237" s="26"/>
      <c r="MO237" s="26"/>
      <c r="MP237" s="26"/>
      <c r="MQ237" s="26"/>
      <c r="MR237" s="26"/>
      <c r="MS237" s="26"/>
      <c r="MT237" s="26"/>
      <c r="MU237" s="26"/>
      <c r="MV237" s="26"/>
      <c r="MW237" s="26"/>
      <c r="MX237" s="26"/>
      <c r="MY237" s="26"/>
      <c r="MZ237" s="26"/>
      <c r="NA237" s="26"/>
      <c r="NB237" s="26"/>
      <c r="NC237" s="26"/>
      <c r="ND237" s="26"/>
      <c r="NE237" s="26"/>
      <c r="NF237" s="26"/>
      <c r="NG237" s="26"/>
      <c r="NH237" s="26"/>
      <c r="NI237" s="26"/>
      <c r="NJ237" s="26"/>
      <c r="NK237" s="26"/>
      <c r="NL237" s="26"/>
      <c r="NM237" s="26"/>
      <c r="NN237" s="26"/>
      <c r="NO237" s="26"/>
      <c r="NP237" s="26"/>
      <c r="NQ237" s="26"/>
      <c r="NR237" s="26"/>
      <c r="NS237" s="26"/>
      <c r="NT237" s="26"/>
      <c r="NU237" s="26"/>
      <c r="NV237" s="26"/>
      <c r="NW237" s="26"/>
      <c r="NX237" s="26"/>
      <c r="NY237" s="26"/>
      <c r="NZ237" s="26"/>
      <c r="OA237" s="26"/>
      <c r="OB237" s="26"/>
      <c r="OC237" s="26"/>
      <c r="OD237" s="26"/>
      <c r="OE237" s="26"/>
      <c r="OF237" s="26"/>
      <c r="OG237" s="26"/>
      <c r="OH237" s="26"/>
      <c r="OI237" s="26"/>
      <c r="OJ237" s="26"/>
      <c r="OK237" s="26"/>
      <c r="OL237" s="26"/>
      <c r="OM237" s="26"/>
      <c r="ON237" s="26"/>
      <c r="OO237" s="26"/>
      <c r="OP237" s="26"/>
      <c r="OQ237" s="26"/>
      <c r="OR237" s="26"/>
      <c r="OS237" s="26"/>
      <c r="OT237" s="26"/>
      <c r="OU237" s="26"/>
      <c r="OV237" s="26"/>
      <c r="OW237" s="26"/>
      <c r="OX237" s="26"/>
      <c r="OY237" s="26"/>
      <c r="OZ237" s="26"/>
      <c r="PA237" s="26"/>
      <c r="PB237" s="26"/>
      <c r="PC237" s="26"/>
      <c r="PD237" s="26"/>
      <c r="PE237" s="26"/>
      <c r="PF237" s="26"/>
      <c r="PG237" s="26"/>
      <c r="PH237" s="26"/>
      <c r="PI237" s="26"/>
      <c r="PJ237" s="26"/>
      <c r="PK237" s="26"/>
      <c r="PL237" s="26"/>
      <c r="PM237" s="26"/>
      <c r="PN237" s="26"/>
      <c r="PO237" s="26"/>
      <c r="PP237" s="26"/>
      <c r="PQ237" s="26"/>
      <c r="PR237" s="26"/>
      <c r="PS237" s="26"/>
      <c r="PT237" s="26"/>
      <c r="PU237" s="26"/>
      <c r="PV237" s="26"/>
      <c r="PW237" s="26"/>
      <c r="PX237" s="26"/>
      <c r="PY237" s="26"/>
      <c r="PZ237" s="26"/>
      <c r="QA237" s="26"/>
      <c r="QB237" s="26"/>
      <c r="QC237" s="26"/>
      <c r="QD237" s="26"/>
      <c r="QE237" s="26"/>
      <c r="QF237" s="26"/>
      <c r="QG237" s="26"/>
      <c r="QH237" s="26"/>
      <c r="QI237" s="26"/>
      <c r="QJ237" s="26"/>
      <c r="QK237" s="26"/>
      <c r="QL237" s="26"/>
      <c r="QM237" s="26"/>
      <c r="QN237" s="26"/>
      <c r="QO237" s="26"/>
      <c r="QP237" s="26"/>
      <c r="QQ237" s="26"/>
      <c r="QR237" s="26"/>
      <c r="QS237" s="26"/>
      <c r="QT237" s="26"/>
      <c r="QU237" s="26"/>
      <c r="QV237" s="26"/>
      <c r="QW237" s="26"/>
      <c r="QX237" s="26"/>
      <c r="QY237" s="26"/>
      <c r="QZ237" s="26"/>
      <c r="RA237" s="26"/>
      <c r="RB237" s="26"/>
      <c r="RC237" s="26"/>
      <c r="RD237" s="26"/>
      <c r="RE237" s="26"/>
      <c r="RF237" s="26"/>
      <c r="RG237" s="26"/>
      <c r="RH237" s="26"/>
      <c r="RI237" s="26"/>
      <c r="RJ237" s="26"/>
      <c r="RK237" s="26"/>
      <c r="RL237" s="26"/>
      <c r="RM237" s="26"/>
      <c r="RN237" s="26"/>
      <c r="RO237" s="26"/>
      <c r="RP237" s="26"/>
      <c r="RQ237" s="26"/>
      <c r="RR237" s="26"/>
      <c r="RS237" s="26"/>
      <c r="RT237" s="26"/>
      <c r="RU237" s="26"/>
      <c r="RV237" s="26"/>
      <c r="RW237" s="26"/>
      <c r="RX237" s="26"/>
      <c r="RY237" s="26"/>
      <c r="RZ237" s="26"/>
      <c r="SA237" s="26"/>
      <c r="SB237" s="26"/>
      <c r="SC237" s="26"/>
      <c r="SD237" s="26"/>
      <c r="SE237" s="26"/>
      <c r="SF237" s="26"/>
      <c r="SG237" s="26"/>
      <c r="SH237" s="26"/>
      <c r="SI237" s="26"/>
      <c r="SJ237" s="26"/>
      <c r="SK237" s="26"/>
      <c r="SL237" s="26"/>
      <c r="SM237" s="26"/>
      <c r="SN237" s="26"/>
      <c r="SO237" s="26"/>
      <c r="SP237" s="26"/>
      <c r="SQ237" s="26"/>
      <c r="SR237" s="26"/>
      <c r="SS237" s="26"/>
      <c r="ST237" s="26"/>
      <c r="SU237" s="26"/>
      <c r="SV237" s="26"/>
      <c r="SW237" s="26"/>
      <c r="SX237" s="26"/>
      <c r="SY237" s="26"/>
      <c r="SZ237" s="26"/>
      <c r="TA237" s="26"/>
      <c r="TB237" s="26"/>
      <c r="TC237" s="26"/>
      <c r="TD237" s="26"/>
      <c r="TE237" s="26"/>
      <c r="TF237" s="26"/>
      <c r="TG237" s="26"/>
      <c r="TH237" s="26"/>
      <c r="TI237" s="26"/>
    </row>
    <row r="238" spans="1:529" s="27" customFormat="1" ht="13.5" customHeight="1" x14ac:dyDescent="0.25">
      <c r="A238" s="140"/>
      <c r="B238" s="141"/>
      <c r="C238" s="141"/>
      <c r="D238" s="144" t="s">
        <v>505</v>
      </c>
      <c r="E238" s="66">
        <f t="shared" si="119"/>
        <v>0</v>
      </c>
      <c r="F238" s="139"/>
      <c r="G238" s="139"/>
      <c r="H238" s="139"/>
      <c r="I238" s="139"/>
      <c r="J238" s="139">
        <f t="shared" si="121"/>
        <v>44062207</v>
      </c>
      <c r="K238" s="139">
        <v>44062207</v>
      </c>
      <c r="L238" s="143"/>
      <c r="M238" s="139"/>
      <c r="N238" s="139"/>
      <c r="O238" s="139">
        <v>44062207</v>
      </c>
      <c r="P238" s="139">
        <f t="shared" si="120"/>
        <v>44062207</v>
      </c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  <c r="IV238" s="36"/>
      <c r="IW238" s="36"/>
      <c r="IX238" s="36"/>
      <c r="IY238" s="36"/>
      <c r="IZ238" s="36"/>
      <c r="JA238" s="36"/>
      <c r="JB238" s="36"/>
      <c r="JC238" s="36"/>
      <c r="JD238" s="36"/>
      <c r="JE238" s="36"/>
      <c r="JF238" s="36"/>
      <c r="JG238" s="36"/>
      <c r="JH238" s="36"/>
      <c r="JI238" s="36"/>
      <c r="JJ238" s="36"/>
      <c r="JK238" s="36"/>
      <c r="JL238" s="36"/>
      <c r="JM238" s="36"/>
      <c r="JN238" s="36"/>
      <c r="JO238" s="36"/>
      <c r="JP238" s="36"/>
      <c r="JQ238" s="36"/>
      <c r="JR238" s="36"/>
      <c r="JS238" s="36"/>
      <c r="JT238" s="36"/>
      <c r="JU238" s="36"/>
      <c r="JV238" s="36"/>
      <c r="JW238" s="36"/>
      <c r="JX238" s="36"/>
      <c r="JY238" s="36"/>
      <c r="JZ238" s="36"/>
      <c r="KA238" s="36"/>
      <c r="KB238" s="36"/>
      <c r="KC238" s="36"/>
      <c r="KD238" s="36"/>
      <c r="KE238" s="36"/>
      <c r="KF238" s="36"/>
      <c r="KG238" s="36"/>
      <c r="KH238" s="36"/>
      <c r="KI238" s="36"/>
      <c r="KJ238" s="36"/>
      <c r="KK238" s="36"/>
      <c r="KL238" s="36"/>
      <c r="KM238" s="36"/>
      <c r="KN238" s="36"/>
      <c r="KO238" s="36"/>
      <c r="KP238" s="36"/>
      <c r="KQ238" s="36"/>
      <c r="KR238" s="36"/>
      <c r="KS238" s="36"/>
      <c r="KT238" s="36"/>
      <c r="KU238" s="36"/>
      <c r="KV238" s="36"/>
      <c r="KW238" s="36"/>
      <c r="KX238" s="36"/>
      <c r="KY238" s="36"/>
      <c r="KZ238" s="36"/>
      <c r="LA238" s="36"/>
      <c r="LB238" s="36"/>
      <c r="LC238" s="36"/>
      <c r="LD238" s="36"/>
      <c r="LE238" s="36"/>
      <c r="LF238" s="36"/>
      <c r="LG238" s="36"/>
      <c r="LH238" s="36"/>
      <c r="LI238" s="36"/>
      <c r="LJ238" s="36"/>
      <c r="LK238" s="36"/>
      <c r="LL238" s="36"/>
      <c r="LM238" s="36"/>
      <c r="LN238" s="36"/>
      <c r="LO238" s="36"/>
      <c r="LP238" s="36"/>
      <c r="LQ238" s="36"/>
      <c r="LR238" s="36"/>
      <c r="LS238" s="36"/>
      <c r="LT238" s="36"/>
      <c r="LU238" s="36"/>
      <c r="LV238" s="36"/>
      <c r="LW238" s="36"/>
      <c r="LX238" s="36"/>
      <c r="LY238" s="36"/>
      <c r="LZ238" s="36"/>
      <c r="MA238" s="36"/>
      <c r="MB238" s="36"/>
      <c r="MC238" s="36"/>
      <c r="MD238" s="36"/>
      <c r="ME238" s="36"/>
      <c r="MF238" s="36"/>
      <c r="MG238" s="36"/>
      <c r="MH238" s="36"/>
      <c r="MI238" s="36"/>
      <c r="MJ238" s="36"/>
      <c r="MK238" s="36"/>
      <c r="ML238" s="36"/>
      <c r="MM238" s="36"/>
      <c r="MN238" s="36"/>
      <c r="MO238" s="36"/>
      <c r="MP238" s="36"/>
      <c r="MQ238" s="36"/>
      <c r="MR238" s="36"/>
      <c r="MS238" s="36"/>
      <c r="MT238" s="36"/>
      <c r="MU238" s="36"/>
      <c r="MV238" s="36"/>
      <c r="MW238" s="36"/>
      <c r="MX238" s="36"/>
      <c r="MY238" s="36"/>
      <c r="MZ238" s="36"/>
      <c r="NA238" s="36"/>
      <c r="NB238" s="36"/>
      <c r="NC238" s="36"/>
      <c r="ND238" s="36"/>
      <c r="NE238" s="36"/>
      <c r="NF238" s="36"/>
      <c r="NG238" s="36"/>
      <c r="NH238" s="36"/>
      <c r="NI238" s="36"/>
      <c r="NJ238" s="36"/>
      <c r="NK238" s="36"/>
      <c r="NL238" s="36"/>
      <c r="NM238" s="36"/>
      <c r="NN238" s="36"/>
      <c r="NO238" s="36"/>
      <c r="NP238" s="36"/>
      <c r="NQ238" s="36"/>
      <c r="NR238" s="36"/>
      <c r="NS238" s="36"/>
      <c r="NT238" s="36"/>
      <c r="NU238" s="36"/>
      <c r="NV238" s="36"/>
      <c r="NW238" s="36"/>
      <c r="NX238" s="36"/>
      <c r="NY238" s="36"/>
      <c r="NZ238" s="36"/>
      <c r="OA238" s="36"/>
      <c r="OB238" s="36"/>
      <c r="OC238" s="36"/>
      <c r="OD238" s="36"/>
      <c r="OE238" s="36"/>
      <c r="OF238" s="36"/>
      <c r="OG238" s="36"/>
      <c r="OH238" s="36"/>
      <c r="OI238" s="36"/>
      <c r="OJ238" s="36"/>
      <c r="OK238" s="36"/>
      <c r="OL238" s="36"/>
      <c r="OM238" s="36"/>
      <c r="ON238" s="36"/>
      <c r="OO238" s="36"/>
      <c r="OP238" s="36"/>
      <c r="OQ238" s="36"/>
      <c r="OR238" s="36"/>
      <c r="OS238" s="36"/>
      <c r="OT238" s="36"/>
      <c r="OU238" s="36"/>
      <c r="OV238" s="36"/>
      <c r="OW238" s="36"/>
      <c r="OX238" s="36"/>
      <c r="OY238" s="36"/>
      <c r="OZ238" s="36"/>
      <c r="PA238" s="36"/>
      <c r="PB238" s="36"/>
      <c r="PC238" s="36"/>
      <c r="PD238" s="36"/>
      <c r="PE238" s="36"/>
      <c r="PF238" s="36"/>
      <c r="PG238" s="36"/>
      <c r="PH238" s="36"/>
      <c r="PI238" s="36"/>
      <c r="PJ238" s="36"/>
      <c r="PK238" s="36"/>
      <c r="PL238" s="36"/>
      <c r="PM238" s="36"/>
      <c r="PN238" s="36"/>
      <c r="PO238" s="36"/>
      <c r="PP238" s="36"/>
      <c r="PQ238" s="36"/>
      <c r="PR238" s="36"/>
      <c r="PS238" s="36"/>
      <c r="PT238" s="36"/>
      <c r="PU238" s="36"/>
      <c r="PV238" s="36"/>
      <c r="PW238" s="36"/>
      <c r="PX238" s="36"/>
      <c r="PY238" s="36"/>
      <c r="PZ238" s="36"/>
      <c r="QA238" s="36"/>
      <c r="QB238" s="36"/>
      <c r="QC238" s="36"/>
      <c r="QD238" s="36"/>
      <c r="QE238" s="36"/>
      <c r="QF238" s="36"/>
      <c r="QG238" s="36"/>
      <c r="QH238" s="36"/>
      <c r="QI238" s="36"/>
      <c r="QJ238" s="36"/>
      <c r="QK238" s="36"/>
      <c r="QL238" s="36"/>
      <c r="QM238" s="36"/>
      <c r="QN238" s="36"/>
      <c r="QO238" s="36"/>
      <c r="QP238" s="36"/>
      <c r="QQ238" s="36"/>
      <c r="QR238" s="36"/>
      <c r="QS238" s="36"/>
      <c r="QT238" s="36"/>
      <c r="QU238" s="36"/>
      <c r="QV238" s="36"/>
      <c r="QW238" s="36"/>
      <c r="QX238" s="36"/>
      <c r="QY238" s="36"/>
      <c r="QZ238" s="36"/>
      <c r="RA238" s="36"/>
      <c r="RB238" s="36"/>
      <c r="RC238" s="36"/>
      <c r="RD238" s="36"/>
      <c r="RE238" s="36"/>
      <c r="RF238" s="36"/>
      <c r="RG238" s="36"/>
      <c r="RH238" s="36"/>
      <c r="RI238" s="36"/>
      <c r="RJ238" s="36"/>
      <c r="RK238" s="36"/>
      <c r="RL238" s="36"/>
      <c r="RM238" s="36"/>
      <c r="RN238" s="36"/>
      <c r="RO238" s="36"/>
      <c r="RP238" s="36"/>
      <c r="RQ238" s="36"/>
      <c r="RR238" s="36"/>
      <c r="RS238" s="36"/>
      <c r="RT238" s="36"/>
      <c r="RU238" s="36"/>
      <c r="RV238" s="36"/>
      <c r="RW238" s="36"/>
      <c r="RX238" s="36"/>
      <c r="RY238" s="36"/>
      <c r="RZ238" s="36"/>
      <c r="SA238" s="36"/>
      <c r="SB238" s="36"/>
      <c r="SC238" s="36"/>
      <c r="SD238" s="36"/>
      <c r="SE238" s="36"/>
      <c r="SF238" s="36"/>
      <c r="SG238" s="36"/>
      <c r="SH238" s="36"/>
      <c r="SI238" s="36"/>
      <c r="SJ238" s="36"/>
      <c r="SK238" s="36"/>
      <c r="SL238" s="36"/>
      <c r="SM238" s="36"/>
      <c r="SN238" s="36"/>
      <c r="SO238" s="36"/>
      <c r="SP238" s="36"/>
      <c r="SQ238" s="36"/>
      <c r="SR238" s="36"/>
      <c r="SS238" s="36"/>
      <c r="ST238" s="36"/>
      <c r="SU238" s="36"/>
      <c r="SV238" s="36"/>
      <c r="SW238" s="36"/>
      <c r="SX238" s="36"/>
      <c r="SY238" s="36"/>
      <c r="SZ238" s="36"/>
      <c r="TA238" s="36"/>
      <c r="TB238" s="36"/>
      <c r="TC238" s="36"/>
      <c r="TD238" s="36"/>
      <c r="TE238" s="36"/>
      <c r="TF238" s="36"/>
      <c r="TG238" s="36"/>
      <c r="TH238" s="36"/>
      <c r="TI238" s="36"/>
    </row>
    <row r="239" spans="1:529" s="23" customFormat="1" ht="93.75" customHeight="1" x14ac:dyDescent="0.25">
      <c r="A239" s="43" t="s">
        <v>413</v>
      </c>
      <c r="B239" s="44">
        <v>7691</v>
      </c>
      <c r="C239" s="46" t="s">
        <v>89</v>
      </c>
      <c r="D239" s="24" t="s">
        <v>345</v>
      </c>
      <c r="E239" s="66">
        <f t="shared" si="119"/>
        <v>0</v>
      </c>
      <c r="F239" s="66"/>
      <c r="G239" s="66"/>
      <c r="H239" s="66"/>
      <c r="I239" s="66"/>
      <c r="J239" s="66">
        <f t="shared" si="121"/>
        <v>833117.12</v>
      </c>
      <c r="K239" s="66"/>
      <c r="L239" s="68"/>
      <c r="M239" s="66"/>
      <c r="N239" s="66"/>
      <c r="O239" s="66">
        <v>833117.12</v>
      </c>
      <c r="P239" s="66">
        <f t="shared" si="120"/>
        <v>833117.12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  <c r="LB239" s="26"/>
      <c r="LC239" s="26"/>
      <c r="LD239" s="26"/>
      <c r="LE239" s="26"/>
      <c r="LF239" s="26"/>
      <c r="LG239" s="26"/>
      <c r="LH239" s="26"/>
      <c r="LI239" s="26"/>
      <c r="LJ239" s="26"/>
      <c r="LK239" s="26"/>
      <c r="LL239" s="26"/>
      <c r="LM239" s="26"/>
      <c r="LN239" s="26"/>
      <c r="LO239" s="26"/>
      <c r="LP239" s="26"/>
      <c r="LQ239" s="26"/>
      <c r="LR239" s="26"/>
      <c r="LS239" s="26"/>
      <c r="LT239" s="26"/>
      <c r="LU239" s="26"/>
      <c r="LV239" s="26"/>
      <c r="LW239" s="26"/>
      <c r="LX239" s="26"/>
      <c r="LY239" s="26"/>
      <c r="LZ239" s="26"/>
      <c r="MA239" s="26"/>
      <c r="MB239" s="26"/>
      <c r="MC239" s="26"/>
      <c r="MD239" s="26"/>
      <c r="ME239" s="26"/>
      <c r="MF239" s="26"/>
      <c r="MG239" s="26"/>
      <c r="MH239" s="26"/>
      <c r="MI239" s="26"/>
      <c r="MJ239" s="26"/>
      <c r="MK239" s="26"/>
      <c r="ML239" s="26"/>
      <c r="MM239" s="26"/>
      <c r="MN239" s="26"/>
      <c r="MO239" s="26"/>
      <c r="MP239" s="26"/>
      <c r="MQ239" s="26"/>
      <c r="MR239" s="26"/>
      <c r="MS239" s="26"/>
      <c r="MT239" s="26"/>
      <c r="MU239" s="26"/>
      <c r="MV239" s="26"/>
      <c r="MW239" s="26"/>
      <c r="MX239" s="26"/>
      <c r="MY239" s="26"/>
      <c r="MZ239" s="26"/>
      <c r="NA239" s="26"/>
      <c r="NB239" s="26"/>
      <c r="NC239" s="26"/>
      <c r="ND239" s="26"/>
      <c r="NE239" s="26"/>
      <c r="NF239" s="26"/>
      <c r="NG239" s="26"/>
      <c r="NH239" s="26"/>
      <c r="NI239" s="26"/>
      <c r="NJ239" s="26"/>
      <c r="NK239" s="26"/>
      <c r="NL239" s="26"/>
      <c r="NM239" s="26"/>
      <c r="NN239" s="26"/>
      <c r="NO239" s="26"/>
      <c r="NP239" s="26"/>
      <c r="NQ239" s="26"/>
      <c r="NR239" s="26"/>
      <c r="NS239" s="26"/>
      <c r="NT239" s="26"/>
      <c r="NU239" s="26"/>
      <c r="NV239" s="26"/>
      <c r="NW239" s="26"/>
      <c r="NX239" s="26"/>
      <c r="NY239" s="26"/>
      <c r="NZ239" s="26"/>
      <c r="OA239" s="26"/>
      <c r="OB239" s="26"/>
      <c r="OC239" s="26"/>
      <c r="OD239" s="26"/>
      <c r="OE239" s="26"/>
      <c r="OF239" s="26"/>
      <c r="OG239" s="26"/>
      <c r="OH239" s="26"/>
      <c r="OI239" s="26"/>
      <c r="OJ239" s="26"/>
      <c r="OK239" s="26"/>
      <c r="OL239" s="26"/>
      <c r="OM239" s="26"/>
      <c r="ON239" s="26"/>
      <c r="OO239" s="26"/>
      <c r="OP239" s="26"/>
      <c r="OQ239" s="26"/>
      <c r="OR239" s="26"/>
      <c r="OS239" s="26"/>
      <c r="OT239" s="26"/>
      <c r="OU239" s="26"/>
      <c r="OV239" s="26"/>
      <c r="OW239" s="26"/>
      <c r="OX239" s="26"/>
      <c r="OY239" s="26"/>
      <c r="OZ239" s="26"/>
      <c r="PA239" s="26"/>
      <c r="PB239" s="26"/>
      <c r="PC239" s="26"/>
      <c r="PD239" s="26"/>
      <c r="PE239" s="26"/>
      <c r="PF239" s="26"/>
      <c r="PG239" s="26"/>
      <c r="PH239" s="26"/>
      <c r="PI239" s="26"/>
      <c r="PJ239" s="26"/>
      <c r="PK239" s="26"/>
      <c r="PL239" s="26"/>
      <c r="PM239" s="26"/>
      <c r="PN239" s="26"/>
      <c r="PO239" s="26"/>
      <c r="PP239" s="26"/>
      <c r="PQ239" s="26"/>
      <c r="PR239" s="26"/>
      <c r="PS239" s="26"/>
      <c r="PT239" s="26"/>
      <c r="PU239" s="26"/>
      <c r="PV239" s="26"/>
      <c r="PW239" s="26"/>
      <c r="PX239" s="26"/>
      <c r="PY239" s="26"/>
      <c r="PZ239" s="26"/>
      <c r="QA239" s="26"/>
      <c r="QB239" s="26"/>
      <c r="QC239" s="26"/>
      <c r="QD239" s="26"/>
      <c r="QE239" s="26"/>
      <c r="QF239" s="26"/>
      <c r="QG239" s="26"/>
      <c r="QH239" s="26"/>
      <c r="QI239" s="26"/>
      <c r="QJ239" s="26"/>
      <c r="QK239" s="26"/>
      <c r="QL239" s="26"/>
      <c r="QM239" s="26"/>
      <c r="QN239" s="26"/>
      <c r="QO239" s="26"/>
      <c r="QP239" s="26"/>
      <c r="QQ239" s="26"/>
      <c r="QR239" s="26"/>
      <c r="QS239" s="26"/>
      <c r="QT239" s="26"/>
      <c r="QU239" s="26"/>
      <c r="QV239" s="26"/>
      <c r="QW239" s="26"/>
      <c r="QX239" s="26"/>
      <c r="QY239" s="26"/>
      <c r="QZ239" s="26"/>
      <c r="RA239" s="26"/>
      <c r="RB239" s="26"/>
      <c r="RC239" s="26"/>
      <c r="RD239" s="26"/>
      <c r="RE239" s="26"/>
      <c r="RF239" s="26"/>
      <c r="RG239" s="26"/>
      <c r="RH239" s="26"/>
      <c r="RI239" s="26"/>
      <c r="RJ239" s="26"/>
      <c r="RK239" s="26"/>
      <c r="RL239" s="26"/>
      <c r="RM239" s="26"/>
      <c r="RN239" s="26"/>
      <c r="RO239" s="26"/>
      <c r="RP239" s="26"/>
      <c r="RQ239" s="26"/>
      <c r="RR239" s="26"/>
      <c r="RS239" s="26"/>
      <c r="RT239" s="26"/>
      <c r="RU239" s="26"/>
      <c r="RV239" s="26"/>
      <c r="RW239" s="26"/>
      <c r="RX239" s="26"/>
      <c r="RY239" s="26"/>
      <c r="RZ239" s="26"/>
      <c r="SA239" s="26"/>
      <c r="SB239" s="26"/>
      <c r="SC239" s="26"/>
      <c r="SD239" s="26"/>
      <c r="SE239" s="26"/>
      <c r="SF239" s="26"/>
      <c r="SG239" s="26"/>
      <c r="SH239" s="26"/>
      <c r="SI239" s="26"/>
      <c r="SJ239" s="26"/>
      <c r="SK239" s="26"/>
      <c r="SL239" s="26"/>
      <c r="SM239" s="26"/>
      <c r="SN239" s="26"/>
      <c r="SO239" s="26"/>
      <c r="SP239" s="26"/>
      <c r="SQ239" s="26"/>
      <c r="SR239" s="26"/>
      <c r="SS239" s="26"/>
      <c r="ST239" s="26"/>
      <c r="SU239" s="26"/>
      <c r="SV239" s="26"/>
      <c r="SW239" s="26"/>
      <c r="SX239" s="26"/>
      <c r="SY239" s="26"/>
      <c r="SZ239" s="26"/>
      <c r="TA239" s="26"/>
      <c r="TB239" s="26"/>
      <c r="TC239" s="26"/>
      <c r="TD239" s="26"/>
      <c r="TE239" s="26"/>
      <c r="TF239" s="26"/>
      <c r="TG239" s="26"/>
      <c r="TH239" s="26"/>
      <c r="TI239" s="26"/>
    </row>
    <row r="240" spans="1:529" s="31" customFormat="1" ht="30.75" customHeight="1" x14ac:dyDescent="0.2">
      <c r="A240" s="174" t="s">
        <v>224</v>
      </c>
      <c r="B240" s="71"/>
      <c r="C240" s="71"/>
      <c r="D240" s="30" t="s">
        <v>44</v>
      </c>
      <c r="E240" s="63">
        <f>E241</f>
        <v>9090541</v>
      </c>
      <c r="F240" s="63">
        <f t="shared" ref="F240:J240" si="124">F241</f>
        <v>9090541</v>
      </c>
      <c r="G240" s="63">
        <f t="shared" si="124"/>
        <v>6943906</v>
      </c>
      <c r="H240" s="63">
        <f t="shared" si="124"/>
        <v>92400</v>
      </c>
      <c r="I240" s="63">
        <f t="shared" si="124"/>
        <v>0</v>
      </c>
      <c r="J240" s="63">
        <f t="shared" si="124"/>
        <v>2696249.54</v>
      </c>
      <c r="K240" s="63">
        <f t="shared" ref="K240" si="125">K241</f>
        <v>0</v>
      </c>
      <c r="L240" s="63">
        <f t="shared" ref="L240" si="126">L241</f>
        <v>1716249.54</v>
      </c>
      <c r="M240" s="63">
        <f t="shared" ref="M240" si="127">M241</f>
        <v>0</v>
      </c>
      <c r="N240" s="63">
        <f t="shared" ref="N240" si="128">N241</f>
        <v>0</v>
      </c>
      <c r="O240" s="63">
        <f t="shared" ref="O240:P240" si="129">O241</f>
        <v>980000</v>
      </c>
      <c r="P240" s="63">
        <f t="shared" si="129"/>
        <v>11786790.539999999</v>
      </c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  <c r="IR240" s="38"/>
      <c r="IS240" s="38"/>
      <c r="IT240" s="38"/>
      <c r="IU240" s="38"/>
      <c r="IV240" s="38"/>
      <c r="IW240" s="38"/>
      <c r="IX240" s="38"/>
      <c r="IY240" s="38"/>
      <c r="IZ240" s="38"/>
      <c r="JA240" s="38"/>
      <c r="JB240" s="38"/>
      <c r="JC240" s="38"/>
      <c r="JD240" s="38"/>
      <c r="JE240" s="38"/>
      <c r="JF240" s="38"/>
      <c r="JG240" s="38"/>
      <c r="JH240" s="38"/>
      <c r="JI240" s="38"/>
      <c r="JJ240" s="38"/>
      <c r="JK240" s="38"/>
      <c r="JL240" s="38"/>
      <c r="JM240" s="38"/>
      <c r="JN240" s="38"/>
      <c r="JO240" s="38"/>
      <c r="JP240" s="38"/>
      <c r="JQ240" s="38"/>
      <c r="JR240" s="38"/>
      <c r="JS240" s="38"/>
      <c r="JT240" s="38"/>
      <c r="JU240" s="38"/>
      <c r="JV240" s="38"/>
      <c r="JW240" s="38"/>
      <c r="JX240" s="38"/>
      <c r="JY240" s="38"/>
      <c r="JZ240" s="38"/>
      <c r="KA240" s="38"/>
      <c r="KB240" s="38"/>
      <c r="KC240" s="38"/>
      <c r="KD240" s="38"/>
      <c r="KE240" s="38"/>
      <c r="KF240" s="38"/>
      <c r="KG240" s="38"/>
      <c r="KH240" s="38"/>
      <c r="KI240" s="38"/>
      <c r="KJ240" s="38"/>
      <c r="KK240" s="38"/>
      <c r="KL240" s="38"/>
      <c r="KM240" s="38"/>
      <c r="KN240" s="38"/>
      <c r="KO240" s="38"/>
      <c r="KP240" s="38"/>
      <c r="KQ240" s="38"/>
      <c r="KR240" s="38"/>
      <c r="KS240" s="38"/>
      <c r="KT240" s="38"/>
      <c r="KU240" s="38"/>
      <c r="KV240" s="38"/>
      <c r="KW240" s="38"/>
      <c r="KX240" s="38"/>
      <c r="KY240" s="38"/>
      <c r="KZ240" s="38"/>
      <c r="LA240" s="38"/>
      <c r="LB240" s="38"/>
      <c r="LC240" s="38"/>
      <c r="LD240" s="38"/>
      <c r="LE240" s="38"/>
      <c r="LF240" s="38"/>
      <c r="LG240" s="38"/>
      <c r="LH240" s="38"/>
      <c r="LI240" s="38"/>
      <c r="LJ240" s="38"/>
      <c r="LK240" s="38"/>
      <c r="LL240" s="38"/>
      <c r="LM240" s="38"/>
      <c r="LN240" s="38"/>
      <c r="LO240" s="38"/>
      <c r="LP240" s="38"/>
      <c r="LQ240" s="38"/>
      <c r="LR240" s="38"/>
      <c r="LS240" s="38"/>
      <c r="LT240" s="38"/>
      <c r="LU240" s="38"/>
      <c r="LV240" s="38"/>
      <c r="LW240" s="38"/>
      <c r="LX240" s="38"/>
      <c r="LY240" s="38"/>
      <c r="LZ240" s="38"/>
      <c r="MA240" s="38"/>
      <c r="MB240" s="38"/>
      <c r="MC240" s="38"/>
      <c r="MD240" s="38"/>
      <c r="ME240" s="38"/>
      <c r="MF240" s="38"/>
      <c r="MG240" s="38"/>
      <c r="MH240" s="38"/>
      <c r="MI240" s="38"/>
      <c r="MJ240" s="38"/>
      <c r="MK240" s="38"/>
      <c r="ML240" s="38"/>
      <c r="MM240" s="38"/>
      <c r="MN240" s="38"/>
      <c r="MO240" s="38"/>
      <c r="MP240" s="38"/>
      <c r="MQ240" s="38"/>
      <c r="MR240" s="38"/>
      <c r="MS240" s="38"/>
      <c r="MT240" s="38"/>
      <c r="MU240" s="38"/>
      <c r="MV240" s="38"/>
      <c r="MW240" s="38"/>
      <c r="MX240" s="38"/>
      <c r="MY240" s="38"/>
      <c r="MZ240" s="38"/>
      <c r="NA240" s="38"/>
      <c r="NB240" s="38"/>
      <c r="NC240" s="38"/>
      <c r="ND240" s="38"/>
      <c r="NE240" s="38"/>
      <c r="NF240" s="38"/>
      <c r="NG240" s="38"/>
      <c r="NH240" s="38"/>
      <c r="NI240" s="38"/>
      <c r="NJ240" s="38"/>
      <c r="NK240" s="38"/>
      <c r="NL240" s="38"/>
      <c r="NM240" s="38"/>
      <c r="NN240" s="38"/>
      <c r="NO240" s="38"/>
      <c r="NP240" s="38"/>
      <c r="NQ240" s="38"/>
      <c r="NR240" s="38"/>
      <c r="NS240" s="38"/>
      <c r="NT240" s="38"/>
      <c r="NU240" s="38"/>
      <c r="NV240" s="38"/>
      <c r="NW240" s="38"/>
      <c r="NX240" s="38"/>
      <c r="NY240" s="38"/>
      <c r="NZ240" s="38"/>
      <c r="OA240" s="38"/>
      <c r="OB240" s="38"/>
      <c r="OC240" s="38"/>
      <c r="OD240" s="38"/>
      <c r="OE240" s="38"/>
      <c r="OF240" s="38"/>
      <c r="OG240" s="38"/>
      <c r="OH240" s="38"/>
      <c r="OI240" s="38"/>
      <c r="OJ240" s="38"/>
      <c r="OK240" s="38"/>
      <c r="OL240" s="38"/>
      <c r="OM240" s="38"/>
      <c r="ON240" s="38"/>
      <c r="OO240" s="38"/>
      <c r="OP240" s="38"/>
      <c r="OQ240" s="38"/>
      <c r="OR240" s="38"/>
      <c r="OS240" s="38"/>
      <c r="OT240" s="38"/>
      <c r="OU240" s="38"/>
      <c r="OV240" s="38"/>
      <c r="OW240" s="38"/>
      <c r="OX240" s="38"/>
      <c r="OY240" s="38"/>
      <c r="OZ240" s="38"/>
      <c r="PA240" s="38"/>
      <c r="PB240" s="38"/>
      <c r="PC240" s="38"/>
      <c r="PD240" s="38"/>
      <c r="PE240" s="38"/>
      <c r="PF240" s="38"/>
      <c r="PG240" s="38"/>
      <c r="PH240" s="38"/>
      <c r="PI240" s="38"/>
      <c r="PJ240" s="38"/>
      <c r="PK240" s="38"/>
      <c r="PL240" s="38"/>
      <c r="PM240" s="38"/>
      <c r="PN240" s="38"/>
      <c r="PO240" s="38"/>
      <c r="PP240" s="38"/>
      <c r="PQ240" s="38"/>
      <c r="PR240" s="38"/>
      <c r="PS240" s="38"/>
      <c r="PT240" s="38"/>
      <c r="PU240" s="38"/>
      <c r="PV240" s="38"/>
      <c r="PW240" s="38"/>
      <c r="PX240" s="38"/>
      <c r="PY240" s="38"/>
      <c r="PZ240" s="38"/>
      <c r="QA240" s="38"/>
      <c r="QB240" s="38"/>
      <c r="QC240" s="38"/>
      <c r="QD240" s="38"/>
      <c r="QE240" s="38"/>
      <c r="QF240" s="38"/>
      <c r="QG240" s="38"/>
      <c r="QH240" s="38"/>
      <c r="QI240" s="38"/>
      <c r="QJ240" s="38"/>
      <c r="QK240" s="38"/>
      <c r="QL240" s="38"/>
      <c r="QM240" s="38"/>
      <c r="QN240" s="38"/>
      <c r="QO240" s="38"/>
      <c r="QP240" s="38"/>
      <c r="QQ240" s="38"/>
      <c r="QR240" s="38"/>
      <c r="QS240" s="38"/>
      <c r="QT240" s="38"/>
      <c r="QU240" s="38"/>
      <c r="QV240" s="38"/>
      <c r="QW240" s="38"/>
      <c r="QX240" s="38"/>
      <c r="QY240" s="38"/>
      <c r="QZ240" s="38"/>
      <c r="RA240" s="38"/>
      <c r="RB240" s="38"/>
      <c r="RC240" s="38"/>
      <c r="RD240" s="38"/>
      <c r="RE240" s="38"/>
      <c r="RF240" s="38"/>
      <c r="RG240" s="38"/>
      <c r="RH240" s="38"/>
      <c r="RI240" s="38"/>
      <c r="RJ240" s="38"/>
      <c r="RK240" s="38"/>
      <c r="RL240" s="38"/>
      <c r="RM240" s="38"/>
      <c r="RN240" s="38"/>
      <c r="RO240" s="38"/>
      <c r="RP240" s="38"/>
      <c r="RQ240" s="38"/>
      <c r="RR240" s="38"/>
      <c r="RS240" s="38"/>
      <c r="RT240" s="38"/>
      <c r="RU240" s="38"/>
      <c r="RV240" s="38"/>
      <c r="RW240" s="38"/>
      <c r="RX240" s="38"/>
      <c r="RY240" s="38"/>
      <c r="RZ240" s="38"/>
      <c r="SA240" s="38"/>
      <c r="SB240" s="38"/>
      <c r="SC240" s="38"/>
      <c r="SD240" s="38"/>
      <c r="SE240" s="38"/>
      <c r="SF240" s="38"/>
      <c r="SG240" s="38"/>
      <c r="SH240" s="38"/>
      <c r="SI240" s="38"/>
      <c r="SJ240" s="38"/>
      <c r="SK240" s="38"/>
      <c r="SL240" s="38"/>
      <c r="SM240" s="38"/>
      <c r="SN240" s="38"/>
      <c r="SO240" s="38"/>
      <c r="SP240" s="38"/>
      <c r="SQ240" s="38"/>
      <c r="SR240" s="38"/>
      <c r="SS240" s="38"/>
      <c r="ST240" s="38"/>
      <c r="SU240" s="38"/>
      <c r="SV240" s="38"/>
      <c r="SW240" s="38"/>
      <c r="SX240" s="38"/>
      <c r="SY240" s="38"/>
      <c r="SZ240" s="38"/>
      <c r="TA240" s="38"/>
      <c r="TB240" s="38"/>
      <c r="TC240" s="38"/>
      <c r="TD240" s="38"/>
      <c r="TE240" s="38"/>
      <c r="TF240" s="38"/>
      <c r="TG240" s="38"/>
      <c r="TH240" s="38"/>
      <c r="TI240" s="38"/>
    </row>
    <row r="241" spans="1:529" s="40" customFormat="1" ht="35.25" customHeight="1" x14ac:dyDescent="0.25">
      <c r="A241" s="73" t="s">
        <v>225</v>
      </c>
      <c r="B241" s="72"/>
      <c r="C241" s="72"/>
      <c r="D241" s="33" t="s">
        <v>44</v>
      </c>
      <c r="E241" s="65">
        <f>E242+E243+E244</f>
        <v>9090541</v>
      </c>
      <c r="F241" s="65">
        <f t="shared" ref="F241:P241" si="130">F242+F243+F244</f>
        <v>9090541</v>
      </c>
      <c r="G241" s="65">
        <f t="shared" si="130"/>
        <v>6943906</v>
      </c>
      <c r="H241" s="65">
        <f t="shared" si="130"/>
        <v>92400</v>
      </c>
      <c r="I241" s="65">
        <f t="shared" si="130"/>
        <v>0</v>
      </c>
      <c r="J241" s="65">
        <f t="shared" si="130"/>
        <v>2696249.54</v>
      </c>
      <c r="K241" s="65">
        <f t="shared" si="130"/>
        <v>0</v>
      </c>
      <c r="L241" s="65">
        <f>L242+L243+L244</f>
        <v>1716249.54</v>
      </c>
      <c r="M241" s="65">
        <f t="shared" si="130"/>
        <v>0</v>
      </c>
      <c r="N241" s="65">
        <f t="shared" si="130"/>
        <v>0</v>
      </c>
      <c r="O241" s="65">
        <f t="shared" si="130"/>
        <v>980000</v>
      </c>
      <c r="P241" s="65">
        <f t="shared" si="130"/>
        <v>11786790.539999999</v>
      </c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  <c r="IW241" s="39"/>
      <c r="IX241" s="39"/>
      <c r="IY241" s="39"/>
      <c r="IZ241" s="39"/>
      <c r="JA241" s="39"/>
      <c r="JB241" s="39"/>
      <c r="JC241" s="39"/>
      <c r="JD241" s="39"/>
      <c r="JE241" s="39"/>
      <c r="JF241" s="39"/>
      <c r="JG241" s="39"/>
      <c r="JH241" s="39"/>
      <c r="JI241" s="39"/>
      <c r="JJ241" s="39"/>
      <c r="JK241" s="39"/>
      <c r="JL241" s="39"/>
      <c r="JM241" s="39"/>
      <c r="JN241" s="39"/>
      <c r="JO241" s="39"/>
      <c r="JP241" s="39"/>
      <c r="JQ241" s="39"/>
      <c r="JR241" s="39"/>
      <c r="JS241" s="39"/>
      <c r="JT241" s="39"/>
      <c r="JU241" s="39"/>
      <c r="JV241" s="39"/>
      <c r="JW241" s="39"/>
      <c r="JX241" s="39"/>
      <c r="JY241" s="39"/>
      <c r="JZ241" s="39"/>
      <c r="KA241" s="39"/>
      <c r="KB241" s="39"/>
      <c r="KC241" s="39"/>
      <c r="KD241" s="39"/>
      <c r="KE241" s="39"/>
      <c r="KF241" s="39"/>
      <c r="KG241" s="39"/>
      <c r="KH241" s="39"/>
      <c r="KI241" s="39"/>
      <c r="KJ241" s="39"/>
      <c r="KK241" s="39"/>
      <c r="KL241" s="39"/>
      <c r="KM241" s="39"/>
      <c r="KN241" s="39"/>
      <c r="KO241" s="39"/>
      <c r="KP241" s="39"/>
      <c r="KQ241" s="39"/>
      <c r="KR241" s="39"/>
      <c r="KS241" s="39"/>
      <c r="KT241" s="39"/>
      <c r="KU241" s="39"/>
      <c r="KV241" s="39"/>
      <c r="KW241" s="39"/>
      <c r="KX241" s="39"/>
      <c r="KY241" s="39"/>
      <c r="KZ241" s="39"/>
      <c r="LA241" s="39"/>
      <c r="LB241" s="39"/>
      <c r="LC241" s="39"/>
      <c r="LD241" s="39"/>
      <c r="LE241" s="39"/>
      <c r="LF241" s="39"/>
      <c r="LG241" s="39"/>
      <c r="LH241" s="39"/>
      <c r="LI241" s="39"/>
      <c r="LJ241" s="39"/>
      <c r="LK241" s="39"/>
      <c r="LL241" s="39"/>
      <c r="LM241" s="39"/>
      <c r="LN241" s="39"/>
      <c r="LO241" s="39"/>
      <c r="LP241" s="39"/>
      <c r="LQ241" s="39"/>
      <c r="LR241" s="39"/>
      <c r="LS241" s="39"/>
      <c r="LT241" s="39"/>
      <c r="LU241" s="39"/>
      <c r="LV241" s="39"/>
      <c r="LW241" s="39"/>
      <c r="LX241" s="39"/>
      <c r="LY241" s="39"/>
      <c r="LZ241" s="39"/>
      <c r="MA241" s="39"/>
      <c r="MB241" s="39"/>
      <c r="MC241" s="39"/>
      <c r="MD241" s="39"/>
      <c r="ME241" s="39"/>
      <c r="MF241" s="39"/>
      <c r="MG241" s="39"/>
      <c r="MH241" s="39"/>
      <c r="MI241" s="39"/>
      <c r="MJ241" s="39"/>
      <c r="MK241" s="39"/>
      <c r="ML241" s="39"/>
      <c r="MM241" s="39"/>
      <c r="MN241" s="39"/>
      <c r="MO241" s="39"/>
      <c r="MP241" s="39"/>
      <c r="MQ241" s="39"/>
      <c r="MR241" s="39"/>
      <c r="MS241" s="39"/>
      <c r="MT241" s="39"/>
      <c r="MU241" s="39"/>
      <c r="MV241" s="39"/>
      <c r="MW241" s="39"/>
      <c r="MX241" s="39"/>
      <c r="MY241" s="39"/>
      <c r="MZ241" s="39"/>
      <c r="NA241" s="39"/>
      <c r="NB241" s="39"/>
      <c r="NC241" s="39"/>
      <c r="ND241" s="39"/>
      <c r="NE241" s="39"/>
      <c r="NF241" s="39"/>
      <c r="NG241" s="39"/>
      <c r="NH241" s="39"/>
      <c r="NI241" s="39"/>
      <c r="NJ241" s="39"/>
      <c r="NK241" s="39"/>
      <c r="NL241" s="39"/>
      <c r="NM241" s="39"/>
      <c r="NN241" s="39"/>
      <c r="NO241" s="39"/>
      <c r="NP241" s="39"/>
      <c r="NQ241" s="39"/>
      <c r="NR241" s="39"/>
      <c r="NS241" s="39"/>
      <c r="NT241" s="39"/>
      <c r="NU241" s="39"/>
      <c r="NV241" s="39"/>
      <c r="NW241" s="39"/>
      <c r="NX241" s="39"/>
      <c r="NY241" s="39"/>
      <c r="NZ241" s="39"/>
      <c r="OA241" s="39"/>
      <c r="OB241" s="39"/>
      <c r="OC241" s="39"/>
      <c r="OD241" s="39"/>
      <c r="OE241" s="39"/>
      <c r="OF241" s="39"/>
      <c r="OG241" s="39"/>
      <c r="OH241" s="39"/>
      <c r="OI241" s="39"/>
      <c r="OJ241" s="39"/>
      <c r="OK241" s="39"/>
      <c r="OL241" s="39"/>
      <c r="OM241" s="39"/>
      <c r="ON241" s="39"/>
      <c r="OO241" s="39"/>
      <c r="OP241" s="39"/>
      <c r="OQ241" s="39"/>
      <c r="OR241" s="39"/>
      <c r="OS241" s="39"/>
      <c r="OT241" s="39"/>
      <c r="OU241" s="39"/>
      <c r="OV241" s="39"/>
      <c r="OW241" s="39"/>
      <c r="OX241" s="39"/>
      <c r="OY241" s="39"/>
      <c r="OZ241" s="39"/>
      <c r="PA241" s="39"/>
      <c r="PB241" s="39"/>
      <c r="PC241" s="39"/>
      <c r="PD241" s="39"/>
      <c r="PE241" s="39"/>
      <c r="PF241" s="39"/>
      <c r="PG241" s="39"/>
      <c r="PH241" s="39"/>
      <c r="PI241" s="39"/>
      <c r="PJ241" s="39"/>
      <c r="PK241" s="39"/>
      <c r="PL241" s="39"/>
      <c r="PM241" s="39"/>
      <c r="PN241" s="39"/>
      <c r="PO241" s="39"/>
      <c r="PP241" s="39"/>
      <c r="PQ241" s="39"/>
      <c r="PR241" s="39"/>
      <c r="PS241" s="39"/>
      <c r="PT241" s="39"/>
      <c r="PU241" s="39"/>
      <c r="PV241" s="39"/>
      <c r="PW241" s="39"/>
      <c r="PX241" s="39"/>
      <c r="PY241" s="39"/>
      <c r="PZ241" s="39"/>
      <c r="QA241" s="39"/>
      <c r="QB241" s="39"/>
      <c r="QC241" s="39"/>
      <c r="QD241" s="39"/>
      <c r="QE241" s="39"/>
      <c r="QF241" s="39"/>
      <c r="QG241" s="39"/>
      <c r="QH241" s="39"/>
      <c r="QI241" s="39"/>
      <c r="QJ241" s="39"/>
      <c r="QK241" s="39"/>
      <c r="QL241" s="39"/>
      <c r="QM241" s="39"/>
      <c r="QN241" s="39"/>
      <c r="QO241" s="39"/>
      <c r="QP241" s="39"/>
      <c r="QQ241" s="39"/>
      <c r="QR241" s="39"/>
      <c r="QS241" s="39"/>
      <c r="QT241" s="39"/>
      <c r="QU241" s="39"/>
      <c r="QV241" s="39"/>
      <c r="QW241" s="39"/>
      <c r="QX241" s="39"/>
      <c r="QY241" s="39"/>
      <c r="QZ241" s="39"/>
      <c r="RA241" s="39"/>
      <c r="RB241" s="39"/>
      <c r="RC241" s="39"/>
      <c r="RD241" s="39"/>
      <c r="RE241" s="39"/>
      <c r="RF241" s="39"/>
      <c r="RG241" s="39"/>
      <c r="RH241" s="39"/>
      <c r="RI241" s="39"/>
      <c r="RJ241" s="39"/>
      <c r="RK241" s="39"/>
      <c r="RL241" s="39"/>
      <c r="RM241" s="39"/>
      <c r="RN241" s="39"/>
      <c r="RO241" s="39"/>
      <c r="RP241" s="39"/>
      <c r="RQ241" s="39"/>
      <c r="RR241" s="39"/>
      <c r="RS241" s="39"/>
      <c r="RT241" s="39"/>
      <c r="RU241" s="39"/>
      <c r="RV241" s="39"/>
      <c r="RW241" s="39"/>
      <c r="RX241" s="39"/>
      <c r="RY241" s="39"/>
      <c r="RZ241" s="39"/>
      <c r="SA241" s="39"/>
      <c r="SB241" s="39"/>
      <c r="SC241" s="39"/>
      <c r="SD241" s="39"/>
      <c r="SE241" s="39"/>
      <c r="SF241" s="39"/>
      <c r="SG241" s="39"/>
      <c r="SH241" s="39"/>
      <c r="SI241" s="39"/>
      <c r="SJ241" s="39"/>
      <c r="SK241" s="39"/>
      <c r="SL241" s="39"/>
      <c r="SM241" s="39"/>
      <c r="SN241" s="39"/>
      <c r="SO241" s="39"/>
      <c r="SP241" s="39"/>
      <c r="SQ241" s="39"/>
      <c r="SR241" s="39"/>
      <c r="SS241" s="39"/>
      <c r="ST241" s="39"/>
      <c r="SU241" s="39"/>
      <c r="SV241" s="39"/>
      <c r="SW241" s="39"/>
      <c r="SX241" s="39"/>
      <c r="SY241" s="39"/>
      <c r="SZ241" s="39"/>
      <c r="TA241" s="39"/>
      <c r="TB241" s="39"/>
      <c r="TC241" s="39"/>
      <c r="TD241" s="39"/>
      <c r="TE241" s="39"/>
      <c r="TF241" s="39"/>
      <c r="TG241" s="39"/>
      <c r="TH241" s="39"/>
      <c r="TI241" s="39"/>
    </row>
    <row r="242" spans="1:529" s="23" customFormat="1" ht="45" customHeight="1" x14ac:dyDescent="0.25">
      <c r="A242" s="43" t="s">
        <v>226</v>
      </c>
      <c r="B242" s="44" t="str">
        <f>'дод 4'!A20</f>
        <v>0160</v>
      </c>
      <c r="C242" s="44" t="str">
        <f>'дод 4'!B20</f>
        <v>0111</v>
      </c>
      <c r="D24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42" s="66">
        <f>F242+I242</f>
        <v>8915541</v>
      </c>
      <c r="F242" s="66">
        <f>8936200+12100+288619-394119+50000-19500+11841+30400</f>
        <v>8915541</v>
      </c>
      <c r="G242" s="66">
        <f>7036700+236573-323073-16000+9706</f>
        <v>6943906</v>
      </c>
      <c r="H242" s="66">
        <v>92400</v>
      </c>
      <c r="I242" s="66"/>
      <c r="J242" s="66">
        <f t="shared" si="121"/>
        <v>0</v>
      </c>
      <c r="K242" s="66"/>
      <c r="L242" s="66"/>
      <c r="M242" s="66"/>
      <c r="N242" s="66"/>
      <c r="O242" s="66"/>
      <c r="P242" s="66">
        <f>E242+J242</f>
        <v>8915541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  <c r="JK242" s="26"/>
      <c r="JL242" s="26"/>
      <c r="JM242" s="26"/>
      <c r="JN242" s="26"/>
      <c r="JO242" s="26"/>
      <c r="JP242" s="26"/>
      <c r="JQ242" s="26"/>
      <c r="JR242" s="26"/>
      <c r="JS242" s="26"/>
      <c r="JT242" s="26"/>
      <c r="JU242" s="26"/>
      <c r="JV242" s="26"/>
      <c r="JW242" s="26"/>
      <c r="JX242" s="26"/>
      <c r="JY242" s="26"/>
      <c r="JZ242" s="26"/>
      <c r="KA242" s="26"/>
      <c r="KB242" s="26"/>
      <c r="KC242" s="26"/>
      <c r="KD242" s="26"/>
      <c r="KE242" s="26"/>
      <c r="KF242" s="26"/>
      <c r="KG242" s="26"/>
      <c r="KH242" s="26"/>
      <c r="KI242" s="26"/>
      <c r="KJ242" s="26"/>
      <c r="KK242" s="26"/>
      <c r="KL242" s="26"/>
      <c r="KM242" s="26"/>
      <c r="KN242" s="26"/>
      <c r="KO242" s="26"/>
      <c r="KP242" s="26"/>
      <c r="KQ242" s="26"/>
      <c r="KR242" s="26"/>
      <c r="KS242" s="26"/>
      <c r="KT242" s="26"/>
      <c r="KU242" s="26"/>
      <c r="KV242" s="26"/>
      <c r="KW242" s="26"/>
      <c r="KX242" s="26"/>
      <c r="KY242" s="26"/>
      <c r="KZ242" s="26"/>
      <c r="LA242" s="26"/>
      <c r="LB242" s="26"/>
      <c r="LC242" s="26"/>
      <c r="LD242" s="26"/>
      <c r="LE242" s="26"/>
      <c r="LF242" s="26"/>
      <c r="LG242" s="26"/>
      <c r="LH242" s="26"/>
      <c r="LI242" s="26"/>
      <c r="LJ242" s="26"/>
      <c r="LK242" s="26"/>
      <c r="LL242" s="26"/>
      <c r="LM242" s="26"/>
      <c r="LN242" s="26"/>
      <c r="LO242" s="26"/>
      <c r="LP242" s="26"/>
      <c r="LQ242" s="26"/>
      <c r="LR242" s="26"/>
      <c r="LS242" s="26"/>
      <c r="LT242" s="26"/>
      <c r="LU242" s="26"/>
      <c r="LV242" s="26"/>
      <c r="LW242" s="26"/>
      <c r="LX242" s="26"/>
      <c r="LY242" s="26"/>
      <c r="LZ242" s="26"/>
      <c r="MA242" s="26"/>
      <c r="MB242" s="26"/>
      <c r="MC242" s="26"/>
      <c r="MD242" s="26"/>
      <c r="ME242" s="26"/>
      <c r="MF242" s="26"/>
      <c r="MG242" s="26"/>
      <c r="MH242" s="26"/>
      <c r="MI242" s="26"/>
      <c r="MJ242" s="26"/>
      <c r="MK242" s="26"/>
      <c r="ML242" s="26"/>
      <c r="MM242" s="26"/>
      <c r="MN242" s="26"/>
      <c r="MO242" s="26"/>
      <c r="MP242" s="26"/>
      <c r="MQ242" s="26"/>
      <c r="MR242" s="26"/>
      <c r="MS242" s="26"/>
      <c r="MT242" s="26"/>
      <c r="MU242" s="26"/>
      <c r="MV242" s="26"/>
      <c r="MW242" s="26"/>
      <c r="MX242" s="26"/>
      <c r="MY242" s="26"/>
      <c r="MZ242" s="26"/>
      <c r="NA242" s="26"/>
      <c r="NB242" s="26"/>
      <c r="NC242" s="26"/>
      <c r="ND242" s="26"/>
      <c r="NE242" s="26"/>
      <c r="NF242" s="26"/>
      <c r="NG242" s="26"/>
      <c r="NH242" s="26"/>
      <c r="NI242" s="26"/>
      <c r="NJ242" s="26"/>
      <c r="NK242" s="26"/>
      <c r="NL242" s="26"/>
      <c r="NM242" s="26"/>
      <c r="NN242" s="26"/>
      <c r="NO242" s="26"/>
      <c r="NP242" s="26"/>
      <c r="NQ242" s="26"/>
      <c r="NR242" s="26"/>
      <c r="NS242" s="26"/>
      <c r="NT242" s="26"/>
      <c r="NU242" s="26"/>
      <c r="NV242" s="26"/>
      <c r="NW242" s="26"/>
      <c r="NX242" s="26"/>
      <c r="NY242" s="26"/>
      <c r="NZ242" s="26"/>
      <c r="OA242" s="26"/>
      <c r="OB242" s="26"/>
      <c r="OC242" s="26"/>
      <c r="OD242" s="26"/>
      <c r="OE242" s="26"/>
      <c r="OF242" s="26"/>
      <c r="OG242" s="26"/>
      <c r="OH242" s="26"/>
      <c r="OI242" s="26"/>
      <c r="OJ242" s="26"/>
      <c r="OK242" s="26"/>
      <c r="OL242" s="26"/>
      <c r="OM242" s="26"/>
      <c r="ON242" s="26"/>
      <c r="OO242" s="26"/>
      <c r="OP242" s="26"/>
      <c r="OQ242" s="26"/>
      <c r="OR242" s="26"/>
      <c r="OS242" s="26"/>
      <c r="OT242" s="26"/>
      <c r="OU242" s="26"/>
      <c r="OV242" s="26"/>
      <c r="OW242" s="26"/>
      <c r="OX242" s="26"/>
      <c r="OY242" s="26"/>
      <c r="OZ242" s="26"/>
      <c r="PA242" s="26"/>
      <c r="PB242" s="26"/>
      <c r="PC242" s="26"/>
      <c r="PD242" s="26"/>
      <c r="PE242" s="26"/>
      <c r="PF242" s="26"/>
      <c r="PG242" s="26"/>
      <c r="PH242" s="26"/>
      <c r="PI242" s="26"/>
      <c r="PJ242" s="26"/>
      <c r="PK242" s="26"/>
      <c r="PL242" s="26"/>
      <c r="PM242" s="26"/>
      <c r="PN242" s="26"/>
      <c r="PO242" s="26"/>
      <c r="PP242" s="26"/>
      <c r="PQ242" s="26"/>
      <c r="PR242" s="26"/>
      <c r="PS242" s="26"/>
      <c r="PT242" s="26"/>
      <c r="PU242" s="26"/>
      <c r="PV242" s="26"/>
      <c r="PW242" s="26"/>
      <c r="PX242" s="26"/>
      <c r="PY242" s="26"/>
      <c r="PZ242" s="26"/>
      <c r="QA242" s="26"/>
      <c r="QB242" s="26"/>
      <c r="QC242" s="26"/>
      <c r="QD242" s="26"/>
      <c r="QE242" s="26"/>
      <c r="QF242" s="26"/>
      <c r="QG242" s="26"/>
      <c r="QH242" s="26"/>
      <c r="QI242" s="26"/>
      <c r="QJ242" s="26"/>
      <c r="QK242" s="26"/>
      <c r="QL242" s="26"/>
      <c r="QM242" s="26"/>
      <c r="QN242" s="26"/>
      <c r="QO242" s="26"/>
      <c r="QP242" s="26"/>
      <c r="QQ242" s="26"/>
      <c r="QR242" s="26"/>
      <c r="QS242" s="26"/>
      <c r="QT242" s="26"/>
      <c r="QU242" s="26"/>
      <c r="QV242" s="26"/>
      <c r="QW242" s="26"/>
      <c r="QX242" s="26"/>
      <c r="QY242" s="26"/>
      <c r="QZ242" s="26"/>
      <c r="RA242" s="26"/>
      <c r="RB242" s="26"/>
      <c r="RC242" s="26"/>
      <c r="RD242" s="26"/>
      <c r="RE242" s="26"/>
      <c r="RF242" s="26"/>
      <c r="RG242" s="26"/>
      <c r="RH242" s="26"/>
      <c r="RI242" s="26"/>
      <c r="RJ242" s="26"/>
      <c r="RK242" s="26"/>
      <c r="RL242" s="26"/>
      <c r="RM242" s="26"/>
      <c r="RN242" s="26"/>
      <c r="RO242" s="26"/>
      <c r="RP242" s="26"/>
      <c r="RQ242" s="26"/>
      <c r="RR242" s="26"/>
      <c r="RS242" s="26"/>
      <c r="RT242" s="26"/>
      <c r="RU242" s="26"/>
      <c r="RV242" s="26"/>
      <c r="RW242" s="26"/>
      <c r="RX242" s="26"/>
      <c r="RY242" s="26"/>
      <c r="RZ242" s="26"/>
      <c r="SA242" s="26"/>
      <c r="SB242" s="26"/>
      <c r="SC242" s="26"/>
      <c r="SD242" s="26"/>
      <c r="SE242" s="26"/>
      <c r="SF242" s="26"/>
      <c r="SG242" s="26"/>
      <c r="SH242" s="26"/>
      <c r="SI242" s="26"/>
      <c r="SJ242" s="26"/>
      <c r="SK242" s="26"/>
      <c r="SL242" s="26"/>
      <c r="SM242" s="26"/>
      <c r="SN242" s="26"/>
      <c r="SO242" s="26"/>
      <c r="SP242" s="26"/>
      <c r="SQ242" s="26"/>
      <c r="SR242" s="26"/>
      <c r="SS242" s="26"/>
      <c r="ST242" s="26"/>
      <c r="SU242" s="26"/>
      <c r="SV242" s="26"/>
      <c r="SW242" s="26"/>
      <c r="SX242" s="26"/>
      <c r="SY242" s="26"/>
      <c r="SZ242" s="26"/>
      <c r="TA242" s="26"/>
      <c r="TB242" s="26"/>
      <c r="TC242" s="26"/>
      <c r="TD242" s="26"/>
      <c r="TE242" s="26"/>
      <c r="TF242" s="26"/>
      <c r="TG242" s="26"/>
      <c r="TH242" s="26"/>
      <c r="TI242" s="26"/>
    </row>
    <row r="243" spans="1:529" s="23" customFormat="1" ht="34.5" customHeight="1" x14ac:dyDescent="0.25">
      <c r="A243" s="43" t="s">
        <v>341</v>
      </c>
      <c r="B243" s="44" t="str">
        <f>'дод 4'!A134</f>
        <v>6090</v>
      </c>
      <c r="C243" s="44" t="str">
        <f>'дод 4'!B134</f>
        <v>0640</v>
      </c>
      <c r="D243" s="24" t="str">
        <f>'дод 4'!C134</f>
        <v>Інша діяльність у сфері житлово-комунального господарства</v>
      </c>
      <c r="E243" s="66">
        <f>F243+I243</f>
        <v>175000</v>
      </c>
      <c r="F243" s="66">
        <v>175000</v>
      </c>
      <c r="G243" s="66"/>
      <c r="H243" s="66"/>
      <c r="I243" s="66"/>
      <c r="J243" s="66">
        <f t="shared" si="121"/>
        <v>0</v>
      </c>
      <c r="K243" s="66"/>
      <c r="L243" s="66"/>
      <c r="M243" s="66"/>
      <c r="N243" s="66"/>
      <c r="O243" s="66"/>
      <c r="P243" s="66">
        <f>E243+J243</f>
        <v>175000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  <c r="IW243" s="26"/>
      <c r="IX243" s="26"/>
      <c r="IY243" s="26"/>
      <c r="IZ243" s="26"/>
      <c r="JA243" s="26"/>
      <c r="JB243" s="26"/>
      <c r="JC243" s="26"/>
      <c r="JD243" s="26"/>
      <c r="JE243" s="26"/>
      <c r="JF243" s="26"/>
      <c r="JG243" s="26"/>
      <c r="JH243" s="26"/>
      <c r="JI243" s="26"/>
      <c r="JJ243" s="26"/>
      <c r="JK243" s="26"/>
      <c r="JL243" s="26"/>
      <c r="JM243" s="26"/>
      <c r="JN243" s="26"/>
      <c r="JO243" s="26"/>
      <c r="JP243" s="26"/>
      <c r="JQ243" s="26"/>
      <c r="JR243" s="26"/>
      <c r="JS243" s="26"/>
      <c r="JT243" s="26"/>
      <c r="JU243" s="26"/>
      <c r="JV243" s="26"/>
      <c r="JW243" s="26"/>
      <c r="JX243" s="26"/>
      <c r="JY243" s="26"/>
      <c r="JZ243" s="26"/>
      <c r="KA243" s="26"/>
      <c r="KB243" s="26"/>
      <c r="KC243" s="26"/>
      <c r="KD243" s="26"/>
      <c r="KE243" s="26"/>
      <c r="KF243" s="26"/>
      <c r="KG243" s="26"/>
      <c r="KH243" s="26"/>
      <c r="KI243" s="26"/>
      <c r="KJ243" s="26"/>
      <c r="KK243" s="26"/>
      <c r="KL243" s="26"/>
      <c r="KM243" s="26"/>
      <c r="KN243" s="26"/>
      <c r="KO243" s="26"/>
      <c r="KP243" s="26"/>
      <c r="KQ243" s="26"/>
      <c r="KR243" s="26"/>
      <c r="KS243" s="26"/>
      <c r="KT243" s="26"/>
      <c r="KU243" s="26"/>
      <c r="KV243" s="26"/>
      <c r="KW243" s="26"/>
      <c r="KX243" s="26"/>
      <c r="KY243" s="26"/>
      <c r="KZ243" s="26"/>
      <c r="LA243" s="26"/>
      <c r="LB243" s="26"/>
      <c r="LC243" s="26"/>
      <c r="LD243" s="26"/>
      <c r="LE243" s="26"/>
      <c r="LF243" s="26"/>
      <c r="LG243" s="26"/>
      <c r="LH243" s="26"/>
      <c r="LI243" s="26"/>
      <c r="LJ243" s="26"/>
      <c r="LK243" s="26"/>
      <c r="LL243" s="26"/>
      <c r="LM243" s="26"/>
      <c r="LN243" s="26"/>
      <c r="LO243" s="26"/>
      <c r="LP243" s="26"/>
      <c r="LQ243" s="26"/>
      <c r="LR243" s="26"/>
      <c r="LS243" s="26"/>
      <c r="LT243" s="26"/>
      <c r="LU243" s="26"/>
      <c r="LV243" s="26"/>
      <c r="LW243" s="26"/>
      <c r="LX243" s="26"/>
      <c r="LY243" s="26"/>
      <c r="LZ243" s="26"/>
      <c r="MA243" s="26"/>
      <c r="MB243" s="26"/>
      <c r="MC243" s="26"/>
      <c r="MD243" s="26"/>
      <c r="ME243" s="26"/>
      <c r="MF243" s="26"/>
      <c r="MG243" s="26"/>
      <c r="MH243" s="26"/>
      <c r="MI243" s="26"/>
      <c r="MJ243" s="26"/>
      <c r="MK243" s="26"/>
      <c r="ML243" s="26"/>
      <c r="MM243" s="26"/>
      <c r="MN243" s="26"/>
      <c r="MO243" s="26"/>
      <c r="MP243" s="26"/>
      <c r="MQ243" s="26"/>
      <c r="MR243" s="26"/>
      <c r="MS243" s="26"/>
      <c r="MT243" s="26"/>
      <c r="MU243" s="26"/>
      <c r="MV243" s="26"/>
      <c r="MW243" s="26"/>
      <c r="MX243" s="26"/>
      <c r="MY243" s="26"/>
      <c r="MZ243" s="26"/>
      <c r="NA243" s="26"/>
      <c r="NB243" s="26"/>
      <c r="NC243" s="26"/>
      <c r="ND243" s="26"/>
      <c r="NE243" s="26"/>
      <c r="NF243" s="26"/>
      <c r="NG243" s="26"/>
      <c r="NH243" s="26"/>
      <c r="NI243" s="26"/>
      <c r="NJ243" s="26"/>
      <c r="NK243" s="26"/>
      <c r="NL243" s="26"/>
      <c r="NM243" s="26"/>
      <c r="NN243" s="26"/>
      <c r="NO243" s="26"/>
      <c r="NP243" s="26"/>
      <c r="NQ243" s="26"/>
      <c r="NR243" s="26"/>
      <c r="NS243" s="26"/>
      <c r="NT243" s="26"/>
      <c r="NU243" s="26"/>
      <c r="NV243" s="26"/>
      <c r="NW243" s="26"/>
      <c r="NX243" s="26"/>
      <c r="NY243" s="26"/>
      <c r="NZ243" s="26"/>
      <c r="OA243" s="26"/>
      <c r="OB243" s="26"/>
      <c r="OC243" s="26"/>
      <c r="OD243" s="26"/>
      <c r="OE243" s="26"/>
      <c r="OF243" s="26"/>
      <c r="OG243" s="26"/>
      <c r="OH243" s="26"/>
      <c r="OI243" s="26"/>
      <c r="OJ243" s="26"/>
      <c r="OK243" s="26"/>
      <c r="OL243" s="26"/>
      <c r="OM243" s="26"/>
      <c r="ON243" s="26"/>
      <c r="OO243" s="26"/>
      <c r="OP243" s="26"/>
      <c r="OQ243" s="26"/>
      <c r="OR243" s="26"/>
      <c r="OS243" s="26"/>
      <c r="OT243" s="26"/>
      <c r="OU243" s="26"/>
      <c r="OV243" s="26"/>
      <c r="OW243" s="26"/>
      <c r="OX243" s="26"/>
      <c r="OY243" s="26"/>
      <c r="OZ243" s="26"/>
      <c r="PA243" s="26"/>
      <c r="PB243" s="26"/>
      <c r="PC243" s="26"/>
      <c r="PD243" s="26"/>
      <c r="PE243" s="26"/>
      <c r="PF243" s="26"/>
      <c r="PG243" s="26"/>
      <c r="PH243" s="26"/>
      <c r="PI243" s="26"/>
      <c r="PJ243" s="26"/>
      <c r="PK243" s="26"/>
      <c r="PL243" s="26"/>
      <c r="PM243" s="26"/>
      <c r="PN243" s="26"/>
      <c r="PO243" s="26"/>
      <c r="PP243" s="26"/>
      <c r="PQ243" s="26"/>
      <c r="PR243" s="26"/>
      <c r="PS243" s="26"/>
      <c r="PT243" s="26"/>
      <c r="PU243" s="26"/>
      <c r="PV243" s="26"/>
      <c r="PW243" s="26"/>
      <c r="PX243" s="26"/>
      <c r="PY243" s="26"/>
      <c r="PZ243" s="26"/>
      <c r="QA243" s="26"/>
      <c r="QB243" s="26"/>
      <c r="QC243" s="26"/>
      <c r="QD243" s="26"/>
      <c r="QE243" s="26"/>
      <c r="QF243" s="26"/>
      <c r="QG243" s="26"/>
      <c r="QH243" s="26"/>
      <c r="QI243" s="26"/>
      <c r="QJ243" s="26"/>
      <c r="QK243" s="26"/>
      <c r="QL243" s="26"/>
      <c r="QM243" s="26"/>
      <c r="QN243" s="26"/>
      <c r="QO243" s="26"/>
      <c r="QP243" s="26"/>
      <c r="QQ243" s="26"/>
      <c r="QR243" s="26"/>
      <c r="QS243" s="26"/>
      <c r="QT243" s="26"/>
      <c r="QU243" s="26"/>
      <c r="QV243" s="26"/>
      <c r="QW243" s="26"/>
      <c r="QX243" s="26"/>
      <c r="QY243" s="26"/>
      <c r="QZ243" s="26"/>
      <c r="RA243" s="26"/>
      <c r="RB243" s="26"/>
      <c r="RC243" s="26"/>
      <c r="RD243" s="26"/>
      <c r="RE243" s="26"/>
      <c r="RF243" s="26"/>
      <c r="RG243" s="26"/>
      <c r="RH243" s="26"/>
      <c r="RI243" s="26"/>
      <c r="RJ243" s="26"/>
      <c r="RK243" s="26"/>
      <c r="RL243" s="26"/>
      <c r="RM243" s="26"/>
      <c r="RN243" s="26"/>
      <c r="RO243" s="26"/>
      <c r="RP243" s="26"/>
      <c r="RQ243" s="26"/>
      <c r="RR243" s="26"/>
      <c r="RS243" s="26"/>
      <c r="RT243" s="26"/>
      <c r="RU243" s="26"/>
      <c r="RV243" s="26"/>
      <c r="RW243" s="26"/>
      <c r="RX243" s="26"/>
      <c r="RY243" s="26"/>
      <c r="RZ243" s="26"/>
      <c r="SA243" s="26"/>
      <c r="SB243" s="26"/>
      <c r="SC243" s="26"/>
      <c r="SD243" s="26"/>
      <c r="SE243" s="26"/>
      <c r="SF243" s="26"/>
      <c r="SG243" s="26"/>
      <c r="SH243" s="26"/>
      <c r="SI243" s="26"/>
      <c r="SJ243" s="26"/>
      <c r="SK243" s="26"/>
      <c r="SL243" s="26"/>
      <c r="SM243" s="26"/>
      <c r="SN243" s="26"/>
      <c r="SO243" s="26"/>
      <c r="SP243" s="26"/>
      <c r="SQ243" s="26"/>
      <c r="SR243" s="26"/>
      <c r="SS243" s="26"/>
      <c r="ST243" s="26"/>
      <c r="SU243" s="26"/>
      <c r="SV243" s="26"/>
      <c r="SW243" s="26"/>
      <c r="SX243" s="26"/>
      <c r="SY243" s="26"/>
      <c r="SZ243" s="26"/>
      <c r="TA243" s="26"/>
      <c r="TB243" s="26"/>
      <c r="TC243" s="26"/>
      <c r="TD243" s="26"/>
      <c r="TE243" s="26"/>
      <c r="TF243" s="26"/>
      <c r="TG243" s="26"/>
      <c r="TH243" s="26"/>
      <c r="TI243" s="26"/>
    </row>
    <row r="244" spans="1:529" s="23" customFormat="1" ht="90.75" customHeight="1" x14ac:dyDescent="0.25">
      <c r="A244" s="52" t="s">
        <v>327</v>
      </c>
      <c r="B244" s="45" t="str">
        <f>'дод 4'!A173</f>
        <v>7691</v>
      </c>
      <c r="C244" s="45" t="str">
        <f>'дод 4'!B173</f>
        <v>0490</v>
      </c>
      <c r="D244" s="22" t="str">
        <f>'дод 4'!C173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4" s="66">
        <f>F244+I244</f>
        <v>0</v>
      </c>
      <c r="F244" s="66"/>
      <c r="G244" s="66"/>
      <c r="H244" s="66"/>
      <c r="I244" s="66"/>
      <c r="J244" s="66">
        <f t="shared" si="121"/>
        <v>2696249.54</v>
      </c>
      <c r="K244" s="66"/>
      <c r="L244" s="66">
        <f>1321371+1074878.54-450000-230000</f>
        <v>1716249.54</v>
      </c>
      <c r="M244" s="66"/>
      <c r="N244" s="66"/>
      <c r="O244" s="66">
        <f>300000+450000+230000</f>
        <v>980000</v>
      </c>
      <c r="P244" s="66">
        <f>E244+J244</f>
        <v>2696249.54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  <c r="IW244" s="26"/>
      <c r="IX244" s="26"/>
      <c r="IY244" s="26"/>
      <c r="IZ244" s="26"/>
      <c r="JA244" s="26"/>
      <c r="JB244" s="26"/>
      <c r="JC244" s="26"/>
      <c r="JD244" s="26"/>
      <c r="JE244" s="26"/>
      <c r="JF244" s="26"/>
      <c r="JG244" s="26"/>
      <c r="JH244" s="26"/>
      <c r="JI244" s="26"/>
      <c r="JJ244" s="26"/>
      <c r="JK244" s="26"/>
      <c r="JL244" s="26"/>
      <c r="JM244" s="26"/>
      <c r="JN244" s="26"/>
      <c r="JO244" s="26"/>
      <c r="JP244" s="26"/>
      <c r="JQ244" s="26"/>
      <c r="JR244" s="26"/>
      <c r="JS244" s="26"/>
      <c r="JT244" s="26"/>
      <c r="JU244" s="26"/>
      <c r="JV244" s="26"/>
      <c r="JW244" s="26"/>
      <c r="JX244" s="26"/>
      <c r="JY244" s="26"/>
      <c r="JZ244" s="26"/>
      <c r="KA244" s="26"/>
      <c r="KB244" s="26"/>
      <c r="KC244" s="26"/>
      <c r="KD244" s="26"/>
      <c r="KE244" s="26"/>
      <c r="KF244" s="26"/>
      <c r="KG244" s="26"/>
      <c r="KH244" s="26"/>
      <c r="KI244" s="26"/>
      <c r="KJ244" s="26"/>
      <c r="KK244" s="26"/>
      <c r="KL244" s="26"/>
      <c r="KM244" s="26"/>
      <c r="KN244" s="26"/>
      <c r="KO244" s="26"/>
      <c r="KP244" s="26"/>
      <c r="KQ244" s="26"/>
      <c r="KR244" s="26"/>
      <c r="KS244" s="26"/>
      <c r="KT244" s="26"/>
      <c r="KU244" s="26"/>
      <c r="KV244" s="26"/>
      <c r="KW244" s="26"/>
      <c r="KX244" s="26"/>
      <c r="KY244" s="26"/>
      <c r="KZ244" s="26"/>
      <c r="LA244" s="26"/>
      <c r="LB244" s="26"/>
      <c r="LC244" s="26"/>
      <c r="LD244" s="26"/>
      <c r="LE244" s="26"/>
      <c r="LF244" s="26"/>
      <c r="LG244" s="26"/>
      <c r="LH244" s="26"/>
      <c r="LI244" s="26"/>
      <c r="LJ244" s="26"/>
      <c r="LK244" s="26"/>
      <c r="LL244" s="26"/>
      <c r="LM244" s="26"/>
      <c r="LN244" s="26"/>
      <c r="LO244" s="26"/>
      <c r="LP244" s="26"/>
      <c r="LQ244" s="26"/>
      <c r="LR244" s="26"/>
      <c r="LS244" s="26"/>
      <c r="LT244" s="26"/>
      <c r="LU244" s="26"/>
      <c r="LV244" s="26"/>
      <c r="LW244" s="26"/>
      <c r="LX244" s="26"/>
      <c r="LY244" s="26"/>
      <c r="LZ244" s="26"/>
      <c r="MA244" s="26"/>
      <c r="MB244" s="26"/>
      <c r="MC244" s="26"/>
      <c r="MD244" s="26"/>
      <c r="ME244" s="26"/>
      <c r="MF244" s="26"/>
      <c r="MG244" s="26"/>
      <c r="MH244" s="26"/>
      <c r="MI244" s="26"/>
      <c r="MJ244" s="26"/>
      <c r="MK244" s="26"/>
      <c r="ML244" s="26"/>
      <c r="MM244" s="26"/>
      <c r="MN244" s="26"/>
      <c r="MO244" s="26"/>
      <c r="MP244" s="26"/>
      <c r="MQ244" s="26"/>
      <c r="MR244" s="26"/>
      <c r="MS244" s="26"/>
      <c r="MT244" s="26"/>
      <c r="MU244" s="26"/>
      <c r="MV244" s="26"/>
      <c r="MW244" s="26"/>
      <c r="MX244" s="26"/>
      <c r="MY244" s="26"/>
      <c r="MZ244" s="26"/>
      <c r="NA244" s="26"/>
      <c r="NB244" s="26"/>
      <c r="NC244" s="26"/>
      <c r="ND244" s="26"/>
      <c r="NE244" s="26"/>
      <c r="NF244" s="26"/>
      <c r="NG244" s="26"/>
      <c r="NH244" s="26"/>
      <c r="NI244" s="26"/>
      <c r="NJ244" s="26"/>
      <c r="NK244" s="26"/>
      <c r="NL244" s="26"/>
      <c r="NM244" s="26"/>
      <c r="NN244" s="26"/>
      <c r="NO244" s="26"/>
      <c r="NP244" s="26"/>
      <c r="NQ244" s="26"/>
      <c r="NR244" s="26"/>
      <c r="NS244" s="26"/>
      <c r="NT244" s="26"/>
      <c r="NU244" s="26"/>
      <c r="NV244" s="26"/>
      <c r="NW244" s="26"/>
      <c r="NX244" s="26"/>
      <c r="NY244" s="26"/>
      <c r="NZ244" s="26"/>
      <c r="OA244" s="26"/>
      <c r="OB244" s="26"/>
      <c r="OC244" s="26"/>
      <c r="OD244" s="26"/>
      <c r="OE244" s="26"/>
      <c r="OF244" s="26"/>
      <c r="OG244" s="26"/>
      <c r="OH244" s="26"/>
      <c r="OI244" s="26"/>
      <c r="OJ244" s="26"/>
      <c r="OK244" s="26"/>
      <c r="OL244" s="26"/>
      <c r="OM244" s="26"/>
      <c r="ON244" s="26"/>
      <c r="OO244" s="26"/>
      <c r="OP244" s="26"/>
      <c r="OQ244" s="26"/>
      <c r="OR244" s="26"/>
      <c r="OS244" s="26"/>
      <c r="OT244" s="26"/>
      <c r="OU244" s="26"/>
      <c r="OV244" s="26"/>
      <c r="OW244" s="26"/>
      <c r="OX244" s="26"/>
      <c r="OY244" s="26"/>
      <c r="OZ244" s="26"/>
      <c r="PA244" s="26"/>
      <c r="PB244" s="26"/>
      <c r="PC244" s="26"/>
      <c r="PD244" s="26"/>
      <c r="PE244" s="26"/>
      <c r="PF244" s="26"/>
      <c r="PG244" s="26"/>
      <c r="PH244" s="26"/>
      <c r="PI244" s="26"/>
      <c r="PJ244" s="26"/>
      <c r="PK244" s="26"/>
      <c r="PL244" s="26"/>
      <c r="PM244" s="26"/>
      <c r="PN244" s="26"/>
      <c r="PO244" s="26"/>
      <c r="PP244" s="26"/>
      <c r="PQ244" s="26"/>
      <c r="PR244" s="26"/>
      <c r="PS244" s="26"/>
      <c r="PT244" s="26"/>
      <c r="PU244" s="26"/>
      <c r="PV244" s="26"/>
      <c r="PW244" s="26"/>
      <c r="PX244" s="26"/>
      <c r="PY244" s="26"/>
      <c r="PZ244" s="26"/>
      <c r="QA244" s="26"/>
      <c r="QB244" s="26"/>
      <c r="QC244" s="26"/>
      <c r="QD244" s="26"/>
      <c r="QE244" s="26"/>
      <c r="QF244" s="26"/>
      <c r="QG244" s="26"/>
      <c r="QH244" s="26"/>
      <c r="QI244" s="26"/>
      <c r="QJ244" s="26"/>
      <c r="QK244" s="26"/>
      <c r="QL244" s="26"/>
      <c r="QM244" s="26"/>
      <c r="QN244" s="26"/>
      <c r="QO244" s="26"/>
      <c r="QP244" s="26"/>
      <c r="QQ244" s="26"/>
      <c r="QR244" s="26"/>
      <c r="QS244" s="26"/>
      <c r="QT244" s="26"/>
      <c r="QU244" s="26"/>
      <c r="QV244" s="26"/>
      <c r="QW244" s="26"/>
      <c r="QX244" s="26"/>
      <c r="QY244" s="26"/>
      <c r="QZ244" s="26"/>
      <c r="RA244" s="26"/>
      <c r="RB244" s="26"/>
      <c r="RC244" s="26"/>
      <c r="RD244" s="26"/>
      <c r="RE244" s="26"/>
      <c r="RF244" s="26"/>
      <c r="RG244" s="26"/>
      <c r="RH244" s="26"/>
      <c r="RI244" s="26"/>
      <c r="RJ244" s="26"/>
      <c r="RK244" s="26"/>
      <c r="RL244" s="26"/>
      <c r="RM244" s="26"/>
      <c r="RN244" s="26"/>
      <c r="RO244" s="26"/>
      <c r="RP244" s="26"/>
      <c r="RQ244" s="26"/>
      <c r="RR244" s="26"/>
      <c r="RS244" s="26"/>
      <c r="RT244" s="26"/>
      <c r="RU244" s="26"/>
      <c r="RV244" s="26"/>
      <c r="RW244" s="26"/>
      <c r="RX244" s="26"/>
      <c r="RY244" s="26"/>
      <c r="RZ244" s="26"/>
      <c r="SA244" s="26"/>
      <c r="SB244" s="26"/>
      <c r="SC244" s="26"/>
      <c r="SD244" s="26"/>
      <c r="SE244" s="26"/>
      <c r="SF244" s="26"/>
      <c r="SG244" s="26"/>
      <c r="SH244" s="26"/>
      <c r="SI244" s="26"/>
      <c r="SJ244" s="26"/>
      <c r="SK244" s="26"/>
      <c r="SL244" s="26"/>
      <c r="SM244" s="26"/>
      <c r="SN244" s="26"/>
      <c r="SO244" s="26"/>
      <c r="SP244" s="26"/>
      <c r="SQ244" s="26"/>
      <c r="SR244" s="26"/>
      <c r="SS244" s="26"/>
      <c r="ST244" s="26"/>
      <c r="SU244" s="26"/>
      <c r="SV244" s="26"/>
      <c r="SW244" s="26"/>
      <c r="SX244" s="26"/>
      <c r="SY244" s="26"/>
      <c r="SZ244" s="26"/>
      <c r="TA244" s="26"/>
      <c r="TB244" s="26"/>
      <c r="TC244" s="26"/>
      <c r="TD244" s="26"/>
      <c r="TE244" s="26"/>
      <c r="TF244" s="26"/>
      <c r="TG244" s="26"/>
      <c r="TH244" s="26"/>
      <c r="TI244" s="26"/>
    </row>
    <row r="245" spans="1:529" s="31" customFormat="1" ht="34.5" customHeight="1" x14ac:dyDescent="0.2">
      <c r="A245" s="174" t="s">
        <v>229</v>
      </c>
      <c r="B245" s="71"/>
      <c r="C245" s="71"/>
      <c r="D245" s="30" t="s">
        <v>46</v>
      </c>
      <c r="E245" s="63">
        <f>E246</f>
        <v>4307418</v>
      </c>
      <c r="F245" s="63">
        <f t="shared" ref="F245:J246" si="131">F246</f>
        <v>4307418</v>
      </c>
      <c r="G245" s="63">
        <f t="shared" si="131"/>
        <v>3320099</v>
      </c>
      <c r="H245" s="63">
        <f t="shared" si="131"/>
        <v>52700</v>
      </c>
      <c r="I245" s="63">
        <f t="shared" si="131"/>
        <v>0</v>
      </c>
      <c r="J245" s="63">
        <f t="shared" si="131"/>
        <v>0</v>
      </c>
      <c r="K245" s="63">
        <f t="shared" ref="K245:K246" si="132">K246</f>
        <v>0</v>
      </c>
      <c r="L245" s="63">
        <f t="shared" ref="L245:L246" si="133">L246</f>
        <v>0</v>
      </c>
      <c r="M245" s="63">
        <f t="shared" ref="M245:M246" si="134">M246</f>
        <v>0</v>
      </c>
      <c r="N245" s="63">
        <f t="shared" ref="N245:N246" si="135">N246</f>
        <v>0</v>
      </c>
      <c r="O245" s="63">
        <f t="shared" ref="O245:P246" si="136">O246</f>
        <v>0</v>
      </c>
      <c r="P245" s="63">
        <f t="shared" si="136"/>
        <v>4307418</v>
      </c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  <c r="IH245" s="38"/>
      <c r="II245" s="38"/>
      <c r="IJ245" s="38"/>
      <c r="IK245" s="38"/>
      <c r="IL245" s="38"/>
      <c r="IM245" s="38"/>
      <c r="IN245" s="38"/>
      <c r="IO245" s="38"/>
      <c r="IP245" s="38"/>
      <c r="IQ245" s="38"/>
      <c r="IR245" s="38"/>
      <c r="IS245" s="38"/>
      <c r="IT245" s="38"/>
      <c r="IU245" s="38"/>
      <c r="IV245" s="38"/>
      <c r="IW245" s="38"/>
      <c r="IX245" s="38"/>
      <c r="IY245" s="38"/>
      <c r="IZ245" s="38"/>
      <c r="JA245" s="38"/>
      <c r="JB245" s="38"/>
      <c r="JC245" s="38"/>
      <c r="JD245" s="38"/>
      <c r="JE245" s="38"/>
      <c r="JF245" s="38"/>
      <c r="JG245" s="38"/>
      <c r="JH245" s="38"/>
      <c r="JI245" s="38"/>
      <c r="JJ245" s="38"/>
      <c r="JK245" s="38"/>
      <c r="JL245" s="38"/>
      <c r="JM245" s="38"/>
      <c r="JN245" s="38"/>
      <c r="JO245" s="38"/>
      <c r="JP245" s="38"/>
      <c r="JQ245" s="38"/>
      <c r="JR245" s="38"/>
      <c r="JS245" s="38"/>
      <c r="JT245" s="38"/>
      <c r="JU245" s="38"/>
      <c r="JV245" s="38"/>
      <c r="JW245" s="38"/>
      <c r="JX245" s="38"/>
      <c r="JY245" s="38"/>
      <c r="JZ245" s="38"/>
      <c r="KA245" s="38"/>
      <c r="KB245" s="38"/>
      <c r="KC245" s="38"/>
      <c r="KD245" s="38"/>
      <c r="KE245" s="38"/>
      <c r="KF245" s="38"/>
      <c r="KG245" s="38"/>
      <c r="KH245" s="38"/>
      <c r="KI245" s="38"/>
      <c r="KJ245" s="38"/>
      <c r="KK245" s="38"/>
      <c r="KL245" s="38"/>
      <c r="KM245" s="38"/>
      <c r="KN245" s="38"/>
      <c r="KO245" s="38"/>
      <c r="KP245" s="38"/>
      <c r="KQ245" s="38"/>
      <c r="KR245" s="38"/>
      <c r="KS245" s="38"/>
      <c r="KT245" s="38"/>
      <c r="KU245" s="38"/>
      <c r="KV245" s="38"/>
      <c r="KW245" s="38"/>
      <c r="KX245" s="38"/>
      <c r="KY245" s="38"/>
      <c r="KZ245" s="38"/>
      <c r="LA245" s="38"/>
      <c r="LB245" s="38"/>
      <c r="LC245" s="38"/>
      <c r="LD245" s="38"/>
      <c r="LE245" s="38"/>
      <c r="LF245" s="38"/>
      <c r="LG245" s="38"/>
      <c r="LH245" s="38"/>
      <c r="LI245" s="38"/>
      <c r="LJ245" s="38"/>
      <c r="LK245" s="38"/>
      <c r="LL245" s="38"/>
      <c r="LM245" s="38"/>
      <c r="LN245" s="38"/>
      <c r="LO245" s="38"/>
      <c r="LP245" s="38"/>
      <c r="LQ245" s="38"/>
      <c r="LR245" s="38"/>
      <c r="LS245" s="38"/>
      <c r="LT245" s="38"/>
      <c r="LU245" s="38"/>
      <c r="LV245" s="38"/>
      <c r="LW245" s="38"/>
      <c r="LX245" s="38"/>
      <c r="LY245" s="38"/>
      <c r="LZ245" s="38"/>
      <c r="MA245" s="38"/>
      <c r="MB245" s="38"/>
      <c r="MC245" s="38"/>
      <c r="MD245" s="38"/>
      <c r="ME245" s="38"/>
      <c r="MF245" s="38"/>
      <c r="MG245" s="38"/>
      <c r="MH245" s="38"/>
      <c r="MI245" s="38"/>
      <c r="MJ245" s="38"/>
      <c r="MK245" s="38"/>
      <c r="ML245" s="38"/>
      <c r="MM245" s="38"/>
      <c r="MN245" s="38"/>
      <c r="MO245" s="38"/>
      <c r="MP245" s="38"/>
      <c r="MQ245" s="38"/>
      <c r="MR245" s="38"/>
      <c r="MS245" s="38"/>
      <c r="MT245" s="38"/>
      <c r="MU245" s="38"/>
      <c r="MV245" s="38"/>
      <c r="MW245" s="38"/>
      <c r="MX245" s="38"/>
      <c r="MY245" s="38"/>
      <c r="MZ245" s="38"/>
      <c r="NA245" s="38"/>
      <c r="NB245" s="38"/>
      <c r="NC245" s="38"/>
      <c r="ND245" s="38"/>
      <c r="NE245" s="38"/>
      <c r="NF245" s="38"/>
      <c r="NG245" s="38"/>
      <c r="NH245" s="38"/>
      <c r="NI245" s="38"/>
      <c r="NJ245" s="38"/>
      <c r="NK245" s="38"/>
      <c r="NL245" s="38"/>
      <c r="NM245" s="38"/>
      <c r="NN245" s="38"/>
      <c r="NO245" s="38"/>
      <c r="NP245" s="38"/>
      <c r="NQ245" s="38"/>
      <c r="NR245" s="38"/>
      <c r="NS245" s="38"/>
      <c r="NT245" s="38"/>
      <c r="NU245" s="38"/>
      <c r="NV245" s="38"/>
      <c r="NW245" s="38"/>
      <c r="NX245" s="38"/>
      <c r="NY245" s="38"/>
      <c r="NZ245" s="38"/>
      <c r="OA245" s="38"/>
      <c r="OB245" s="38"/>
      <c r="OC245" s="38"/>
      <c r="OD245" s="38"/>
      <c r="OE245" s="38"/>
      <c r="OF245" s="38"/>
      <c r="OG245" s="38"/>
      <c r="OH245" s="38"/>
      <c r="OI245" s="38"/>
      <c r="OJ245" s="38"/>
      <c r="OK245" s="38"/>
      <c r="OL245" s="38"/>
      <c r="OM245" s="38"/>
      <c r="ON245" s="38"/>
      <c r="OO245" s="38"/>
      <c r="OP245" s="38"/>
      <c r="OQ245" s="38"/>
      <c r="OR245" s="38"/>
      <c r="OS245" s="38"/>
      <c r="OT245" s="38"/>
      <c r="OU245" s="38"/>
      <c r="OV245" s="38"/>
      <c r="OW245" s="38"/>
      <c r="OX245" s="38"/>
      <c r="OY245" s="38"/>
      <c r="OZ245" s="38"/>
      <c r="PA245" s="38"/>
      <c r="PB245" s="38"/>
      <c r="PC245" s="38"/>
      <c r="PD245" s="38"/>
      <c r="PE245" s="38"/>
      <c r="PF245" s="38"/>
      <c r="PG245" s="38"/>
      <c r="PH245" s="38"/>
      <c r="PI245" s="38"/>
      <c r="PJ245" s="38"/>
      <c r="PK245" s="38"/>
      <c r="PL245" s="38"/>
      <c r="PM245" s="38"/>
      <c r="PN245" s="38"/>
      <c r="PO245" s="38"/>
      <c r="PP245" s="38"/>
      <c r="PQ245" s="38"/>
      <c r="PR245" s="38"/>
      <c r="PS245" s="38"/>
      <c r="PT245" s="38"/>
      <c r="PU245" s="38"/>
      <c r="PV245" s="38"/>
      <c r="PW245" s="38"/>
      <c r="PX245" s="38"/>
      <c r="PY245" s="38"/>
      <c r="PZ245" s="38"/>
      <c r="QA245" s="38"/>
      <c r="QB245" s="38"/>
      <c r="QC245" s="38"/>
      <c r="QD245" s="38"/>
      <c r="QE245" s="38"/>
      <c r="QF245" s="38"/>
      <c r="QG245" s="38"/>
      <c r="QH245" s="38"/>
      <c r="QI245" s="38"/>
      <c r="QJ245" s="38"/>
      <c r="QK245" s="38"/>
      <c r="QL245" s="38"/>
      <c r="QM245" s="38"/>
      <c r="QN245" s="38"/>
      <c r="QO245" s="38"/>
      <c r="QP245" s="38"/>
      <c r="QQ245" s="38"/>
      <c r="QR245" s="38"/>
      <c r="QS245" s="38"/>
      <c r="QT245" s="38"/>
      <c r="QU245" s="38"/>
      <c r="QV245" s="38"/>
      <c r="QW245" s="38"/>
      <c r="QX245" s="38"/>
      <c r="QY245" s="38"/>
      <c r="QZ245" s="38"/>
      <c r="RA245" s="38"/>
      <c r="RB245" s="38"/>
      <c r="RC245" s="38"/>
      <c r="RD245" s="38"/>
      <c r="RE245" s="38"/>
      <c r="RF245" s="38"/>
      <c r="RG245" s="38"/>
      <c r="RH245" s="38"/>
      <c r="RI245" s="38"/>
      <c r="RJ245" s="38"/>
      <c r="RK245" s="38"/>
      <c r="RL245" s="38"/>
      <c r="RM245" s="38"/>
      <c r="RN245" s="38"/>
      <c r="RO245" s="38"/>
      <c r="RP245" s="38"/>
      <c r="RQ245" s="38"/>
      <c r="RR245" s="38"/>
      <c r="RS245" s="38"/>
      <c r="RT245" s="38"/>
      <c r="RU245" s="38"/>
      <c r="RV245" s="38"/>
      <c r="RW245" s="38"/>
      <c r="RX245" s="38"/>
      <c r="RY245" s="38"/>
      <c r="RZ245" s="38"/>
      <c r="SA245" s="38"/>
      <c r="SB245" s="38"/>
      <c r="SC245" s="38"/>
      <c r="SD245" s="38"/>
      <c r="SE245" s="38"/>
      <c r="SF245" s="38"/>
      <c r="SG245" s="38"/>
      <c r="SH245" s="38"/>
      <c r="SI245" s="38"/>
      <c r="SJ245" s="38"/>
      <c r="SK245" s="38"/>
      <c r="SL245" s="38"/>
      <c r="SM245" s="38"/>
      <c r="SN245" s="38"/>
      <c r="SO245" s="38"/>
      <c r="SP245" s="38"/>
      <c r="SQ245" s="38"/>
      <c r="SR245" s="38"/>
      <c r="SS245" s="38"/>
      <c r="ST245" s="38"/>
      <c r="SU245" s="38"/>
      <c r="SV245" s="38"/>
      <c r="SW245" s="38"/>
      <c r="SX245" s="38"/>
      <c r="SY245" s="38"/>
      <c r="SZ245" s="38"/>
      <c r="TA245" s="38"/>
      <c r="TB245" s="38"/>
      <c r="TC245" s="38"/>
      <c r="TD245" s="38"/>
      <c r="TE245" s="38"/>
      <c r="TF245" s="38"/>
      <c r="TG245" s="38"/>
      <c r="TH245" s="38"/>
      <c r="TI245" s="38"/>
    </row>
    <row r="246" spans="1:529" s="40" customFormat="1" ht="35.25" customHeight="1" x14ac:dyDescent="0.25">
      <c r="A246" s="73" t="s">
        <v>227</v>
      </c>
      <c r="B246" s="72"/>
      <c r="C246" s="72"/>
      <c r="D246" s="33" t="s">
        <v>46</v>
      </c>
      <c r="E246" s="65">
        <f>E247</f>
        <v>4307418</v>
      </c>
      <c r="F246" s="65">
        <f t="shared" si="131"/>
        <v>4307418</v>
      </c>
      <c r="G246" s="65">
        <f t="shared" si="131"/>
        <v>3320099</v>
      </c>
      <c r="H246" s="65">
        <f t="shared" si="131"/>
        <v>52700</v>
      </c>
      <c r="I246" s="65">
        <f t="shared" si="131"/>
        <v>0</v>
      </c>
      <c r="J246" s="65">
        <f t="shared" si="131"/>
        <v>0</v>
      </c>
      <c r="K246" s="65">
        <f t="shared" si="132"/>
        <v>0</v>
      </c>
      <c r="L246" s="65">
        <f t="shared" si="133"/>
        <v>0</v>
      </c>
      <c r="M246" s="65">
        <f t="shared" si="134"/>
        <v>0</v>
      </c>
      <c r="N246" s="65">
        <f t="shared" si="135"/>
        <v>0</v>
      </c>
      <c r="O246" s="65">
        <f t="shared" si="136"/>
        <v>0</v>
      </c>
      <c r="P246" s="65">
        <f t="shared" si="136"/>
        <v>4307418</v>
      </c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  <c r="IW246" s="39"/>
      <c r="IX246" s="39"/>
      <c r="IY246" s="39"/>
      <c r="IZ246" s="39"/>
      <c r="JA246" s="39"/>
      <c r="JB246" s="39"/>
      <c r="JC246" s="39"/>
      <c r="JD246" s="39"/>
      <c r="JE246" s="39"/>
      <c r="JF246" s="39"/>
      <c r="JG246" s="39"/>
      <c r="JH246" s="39"/>
      <c r="JI246" s="39"/>
      <c r="JJ246" s="39"/>
      <c r="JK246" s="39"/>
      <c r="JL246" s="39"/>
      <c r="JM246" s="39"/>
      <c r="JN246" s="39"/>
      <c r="JO246" s="39"/>
      <c r="JP246" s="39"/>
      <c r="JQ246" s="39"/>
      <c r="JR246" s="39"/>
      <c r="JS246" s="39"/>
      <c r="JT246" s="39"/>
      <c r="JU246" s="39"/>
      <c r="JV246" s="39"/>
      <c r="JW246" s="39"/>
      <c r="JX246" s="39"/>
      <c r="JY246" s="39"/>
      <c r="JZ246" s="39"/>
      <c r="KA246" s="39"/>
      <c r="KB246" s="39"/>
      <c r="KC246" s="39"/>
      <c r="KD246" s="39"/>
      <c r="KE246" s="39"/>
      <c r="KF246" s="39"/>
      <c r="KG246" s="39"/>
      <c r="KH246" s="39"/>
      <c r="KI246" s="39"/>
      <c r="KJ246" s="39"/>
      <c r="KK246" s="39"/>
      <c r="KL246" s="39"/>
      <c r="KM246" s="39"/>
      <c r="KN246" s="39"/>
      <c r="KO246" s="39"/>
      <c r="KP246" s="39"/>
      <c r="KQ246" s="39"/>
      <c r="KR246" s="39"/>
      <c r="KS246" s="39"/>
      <c r="KT246" s="39"/>
      <c r="KU246" s="39"/>
      <c r="KV246" s="39"/>
      <c r="KW246" s="39"/>
      <c r="KX246" s="39"/>
      <c r="KY246" s="39"/>
      <c r="KZ246" s="39"/>
      <c r="LA246" s="39"/>
      <c r="LB246" s="39"/>
      <c r="LC246" s="39"/>
      <c r="LD246" s="39"/>
      <c r="LE246" s="39"/>
      <c r="LF246" s="39"/>
      <c r="LG246" s="39"/>
      <c r="LH246" s="39"/>
      <c r="LI246" s="39"/>
      <c r="LJ246" s="39"/>
      <c r="LK246" s="39"/>
      <c r="LL246" s="39"/>
      <c r="LM246" s="39"/>
      <c r="LN246" s="39"/>
      <c r="LO246" s="39"/>
      <c r="LP246" s="39"/>
      <c r="LQ246" s="39"/>
      <c r="LR246" s="39"/>
      <c r="LS246" s="39"/>
      <c r="LT246" s="39"/>
      <c r="LU246" s="39"/>
      <c r="LV246" s="39"/>
      <c r="LW246" s="39"/>
      <c r="LX246" s="39"/>
      <c r="LY246" s="39"/>
      <c r="LZ246" s="39"/>
      <c r="MA246" s="39"/>
      <c r="MB246" s="39"/>
      <c r="MC246" s="39"/>
      <c r="MD246" s="39"/>
      <c r="ME246" s="39"/>
      <c r="MF246" s="39"/>
      <c r="MG246" s="39"/>
      <c r="MH246" s="39"/>
      <c r="MI246" s="39"/>
      <c r="MJ246" s="39"/>
      <c r="MK246" s="39"/>
      <c r="ML246" s="39"/>
      <c r="MM246" s="39"/>
      <c r="MN246" s="39"/>
      <c r="MO246" s="39"/>
      <c r="MP246" s="39"/>
      <c r="MQ246" s="39"/>
      <c r="MR246" s="39"/>
      <c r="MS246" s="39"/>
      <c r="MT246" s="39"/>
      <c r="MU246" s="39"/>
      <c r="MV246" s="39"/>
      <c r="MW246" s="39"/>
      <c r="MX246" s="39"/>
      <c r="MY246" s="39"/>
      <c r="MZ246" s="39"/>
      <c r="NA246" s="39"/>
      <c r="NB246" s="39"/>
      <c r="NC246" s="39"/>
      <c r="ND246" s="39"/>
      <c r="NE246" s="39"/>
      <c r="NF246" s="39"/>
      <c r="NG246" s="39"/>
      <c r="NH246" s="39"/>
      <c r="NI246" s="39"/>
      <c r="NJ246" s="39"/>
      <c r="NK246" s="39"/>
      <c r="NL246" s="39"/>
      <c r="NM246" s="39"/>
      <c r="NN246" s="39"/>
      <c r="NO246" s="39"/>
      <c r="NP246" s="39"/>
      <c r="NQ246" s="39"/>
      <c r="NR246" s="39"/>
      <c r="NS246" s="39"/>
      <c r="NT246" s="39"/>
      <c r="NU246" s="39"/>
      <c r="NV246" s="39"/>
      <c r="NW246" s="39"/>
      <c r="NX246" s="39"/>
      <c r="NY246" s="39"/>
      <c r="NZ246" s="39"/>
      <c r="OA246" s="39"/>
      <c r="OB246" s="39"/>
      <c r="OC246" s="39"/>
      <c r="OD246" s="39"/>
      <c r="OE246" s="39"/>
      <c r="OF246" s="39"/>
      <c r="OG246" s="39"/>
      <c r="OH246" s="39"/>
      <c r="OI246" s="39"/>
      <c r="OJ246" s="39"/>
      <c r="OK246" s="39"/>
      <c r="OL246" s="39"/>
      <c r="OM246" s="39"/>
      <c r="ON246" s="39"/>
      <c r="OO246" s="39"/>
      <c r="OP246" s="39"/>
      <c r="OQ246" s="39"/>
      <c r="OR246" s="39"/>
      <c r="OS246" s="39"/>
      <c r="OT246" s="39"/>
      <c r="OU246" s="39"/>
      <c r="OV246" s="39"/>
      <c r="OW246" s="39"/>
      <c r="OX246" s="39"/>
      <c r="OY246" s="39"/>
      <c r="OZ246" s="39"/>
      <c r="PA246" s="39"/>
      <c r="PB246" s="39"/>
      <c r="PC246" s="39"/>
      <c r="PD246" s="39"/>
      <c r="PE246" s="39"/>
      <c r="PF246" s="39"/>
      <c r="PG246" s="39"/>
      <c r="PH246" s="39"/>
      <c r="PI246" s="39"/>
      <c r="PJ246" s="39"/>
      <c r="PK246" s="39"/>
      <c r="PL246" s="39"/>
      <c r="PM246" s="39"/>
      <c r="PN246" s="39"/>
      <c r="PO246" s="39"/>
      <c r="PP246" s="39"/>
      <c r="PQ246" s="39"/>
      <c r="PR246" s="39"/>
      <c r="PS246" s="39"/>
      <c r="PT246" s="39"/>
      <c r="PU246" s="39"/>
      <c r="PV246" s="39"/>
      <c r="PW246" s="39"/>
      <c r="PX246" s="39"/>
      <c r="PY246" s="39"/>
      <c r="PZ246" s="39"/>
      <c r="QA246" s="39"/>
      <c r="QB246" s="39"/>
      <c r="QC246" s="39"/>
      <c r="QD246" s="39"/>
      <c r="QE246" s="39"/>
      <c r="QF246" s="39"/>
      <c r="QG246" s="39"/>
      <c r="QH246" s="39"/>
      <c r="QI246" s="39"/>
      <c r="QJ246" s="39"/>
      <c r="QK246" s="39"/>
      <c r="QL246" s="39"/>
      <c r="QM246" s="39"/>
      <c r="QN246" s="39"/>
      <c r="QO246" s="39"/>
      <c r="QP246" s="39"/>
      <c r="QQ246" s="39"/>
      <c r="QR246" s="39"/>
      <c r="QS246" s="39"/>
      <c r="QT246" s="39"/>
      <c r="QU246" s="39"/>
      <c r="QV246" s="39"/>
      <c r="QW246" s="39"/>
      <c r="QX246" s="39"/>
      <c r="QY246" s="39"/>
      <c r="QZ246" s="39"/>
      <c r="RA246" s="39"/>
      <c r="RB246" s="39"/>
      <c r="RC246" s="39"/>
      <c r="RD246" s="39"/>
      <c r="RE246" s="39"/>
      <c r="RF246" s="39"/>
      <c r="RG246" s="39"/>
      <c r="RH246" s="39"/>
      <c r="RI246" s="39"/>
      <c r="RJ246" s="39"/>
      <c r="RK246" s="39"/>
      <c r="RL246" s="39"/>
      <c r="RM246" s="39"/>
      <c r="RN246" s="39"/>
      <c r="RO246" s="39"/>
      <c r="RP246" s="39"/>
      <c r="RQ246" s="39"/>
      <c r="RR246" s="39"/>
      <c r="RS246" s="39"/>
      <c r="RT246" s="39"/>
      <c r="RU246" s="39"/>
      <c r="RV246" s="39"/>
      <c r="RW246" s="39"/>
      <c r="RX246" s="39"/>
      <c r="RY246" s="39"/>
      <c r="RZ246" s="39"/>
      <c r="SA246" s="39"/>
      <c r="SB246" s="39"/>
      <c r="SC246" s="39"/>
      <c r="SD246" s="39"/>
      <c r="SE246" s="39"/>
      <c r="SF246" s="39"/>
      <c r="SG246" s="39"/>
      <c r="SH246" s="39"/>
      <c r="SI246" s="39"/>
      <c r="SJ246" s="39"/>
      <c r="SK246" s="39"/>
      <c r="SL246" s="39"/>
      <c r="SM246" s="39"/>
      <c r="SN246" s="39"/>
      <c r="SO246" s="39"/>
      <c r="SP246" s="39"/>
      <c r="SQ246" s="39"/>
      <c r="SR246" s="39"/>
      <c r="SS246" s="39"/>
      <c r="ST246" s="39"/>
      <c r="SU246" s="39"/>
      <c r="SV246" s="39"/>
      <c r="SW246" s="39"/>
      <c r="SX246" s="39"/>
      <c r="SY246" s="39"/>
      <c r="SZ246" s="39"/>
      <c r="TA246" s="39"/>
      <c r="TB246" s="39"/>
      <c r="TC246" s="39"/>
      <c r="TD246" s="39"/>
      <c r="TE246" s="39"/>
      <c r="TF246" s="39"/>
      <c r="TG246" s="39"/>
      <c r="TH246" s="39"/>
      <c r="TI246" s="39"/>
    </row>
    <row r="247" spans="1:529" s="23" customFormat="1" ht="43.5" customHeight="1" x14ac:dyDescent="0.25">
      <c r="A247" s="43" t="s">
        <v>228</v>
      </c>
      <c r="B247" s="44" t="str">
        <f>'дод 4'!A20</f>
        <v>0160</v>
      </c>
      <c r="C247" s="44" t="str">
        <f>'дод 4'!B20</f>
        <v>0111</v>
      </c>
      <c r="D24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47" s="66">
        <f>F247+I247</f>
        <v>4307418</v>
      </c>
      <c r="F247" s="66">
        <f>4985700+21800-233000-243482-9500-230000+15900</f>
        <v>4307418</v>
      </c>
      <c r="G247" s="66">
        <f>3907000-191000-199575-7800-188526</f>
        <v>3320099</v>
      </c>
      <c r="H247" s="66">
        <v>52700</v>
      </c>
      <c r="I247" s="66"/>
      <c r="J247" s="66">
        <f>L247+O247</f>
        <v>0</v>
      </c>
      <c r="K247" s="66"/>
      <c r="L247" s="66"/>
      <c r="M247" s="66"/>
      <c r="N247" s="66"/>
      <c r="O247" s="66"/>
      <c r="P247" s="66">
        <f>E247+J247</f>
        <v>4307418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  <c r="IW247" s="26"/>
      <c r="IX247" s="26"/>
      <c r="IY247" s="26"/>
      <c r="IZ247" s="26"/>
      <c r="JA247" s="26"/>
      <c r="JB247" s="26"/>
      <c r="JC247" s="26"/>
      <c r="JD247" s="26"/>
      <c r="JE247" s="26"/>
      <c r="JF247" s="26"/>
      <c r="JG247" s="26"/>
      <c r="JH247" s="26"/>
      <c r="JI247" s="26"/>
      <c r="JJ247" s="26"/>
      <c r="JK247" s="26"/>
      <c r="JL247" s="26"/>
      <c r="JM247" s="26"/>
      <c r="JN247" s="26"/>
      <c r="JO247" s="26"/>
      <c r="JP247" s="26"/>
      <c r="JQ247" s="26"/>
      <c r="JR247" s="26"/>
      <c r="JS247" s="26"/>
      <c r="JT247" s="26"/>
      <c r="JU247" s="26"/>
      <c r="JV247" s="26"/>
      <c r="JW247" s="26"/>
      <c r="JX247" s="26"/>
      <c r="JY247" s="26"/>
      <c r="JZ247" s="26"/>
      <c r="KA247" s="26"/>
      <c r="KB247" s="26"/>
      <c r="KC247" s="26"/>
      <c r="KD247" s="26"/>
      <c r="KE247" s="26"/>
      <c r="KF247" s="26"/>
      <c r="KG247" s="26"/>
      <c r="KH247" s="26"/>
      <c r="KI247" s="26"/>
      <c r="KJ247" s="26"/>
      <c r="KK247" s="26"/>
      <c r="KL247" s="26"/>
      <c r="KM247" s="26"/>
      <c r="KN247" s="26"/>
      <c r="KO247" s="26"/>
      <c r="KP247" s="26"/>
      <c r="KQ247" s="26"/>
      <c r="KR247" s="26"/>
      <c r="KS247" s="26"/>
      <c r="KT247" s="26"/>
      <c r="KU247" s="26"/>
      <c r="KV247" s="26"/>
      <c r="KW247" s="26"/>
      <c r="KX247" s="26"/>
      <c r="KY247" s="26"/>
      <c r="KZ247" s="26"/>
      <c r="LA247" s="26"/>
      <c r="LB247" s="26"/>
      <c r="LC247" s="26"/>
      <c r="LD247" s="26"/>
      <c r="LE247" s="26"/>
      <c r="LF247" s="26"/>
      <c r="LG247" s="26"/>
      <c r="LH247" s="26"/>
      <c r="LI247" s="26"/>
      <c r="LJ247" s="26"/>
      <c r="LK247" s="26"/>
      <c r="LL247" s="26"/>
      <c r="LM247" s="26"/>
      <c r="LN247" s="26"/>
      <c r="LO247" s="26"/>
      <c r="LP247" s="26"/>
      <c r="LQ247" s="26"/>
      <c r="LR247" s="26"/>
      <c r="LS247" s="26"/>
      <c r="LT247" s="26"/>
      <c r="LU247" s="26"/>
      <c r="LV247" s="26"/>
      <c r="LW247" s="26"/>
      <c r="LX247" s="26"/>
      <c r="LY247" s="26"/>
      <c r="LZ247" s="26"/>
      <c r="MA247" s="26"/>
      <c r="MB247" s="26"/>
      <c r="MC247" s="26"/>
      <c r="MD247" s="26"/>
      <c r="ME247" s="26"/>
      <c r="MF247" s="26"/>
      <c r="MG247" s="26"/>
      <c r="MH247" s="26"/>
      <c r="MI247" s="26"/>
      <c r="MJ247" s="26"/>
      <c r="MK247" s="26"/>
      <c r="ML247" s="26"/>
      <c r="MM247" s="26"/>
      <c r="MN247" s="26"/>
      <c r="MO247" s="26"/>
      <c r="MP247" s="26"/>
      <c r="MQ247" s="26"/>
      <c r="MR247" s="26"/>
      <c r="MS247" s="26"/>
      <c r="MT247" s="26"/>
      <c r="MU247" s="26"/>
      <c r="MV247" s="26"/>
      <c r="MW247" s="26"/>
      <c r="MX247" s="26"/>
      <c r="MY247" s="26"/>
      <c r="MZ247" s="26"/>
      <c r="NA247" s="26"/>
      <c r="NB247" s="26"/>
      <c r="NC247" s="26"/>
      <c r="ND247" s="26"/>
      <c r="NE247" s="26"/>
      <c r="NF247" s="26"/>
      <c r="NG247" s="26"/>
      <c r="NH247" s="26"/>
      <c r="NI247" s="26"/>
      <c r="NJ247" s="26"/>
      <c r="NK247" s="26"/>
      <c r="NL247" s="26"/>
      <c r="NM247" s="26"/>
      <c r="NN247" s="26"/>
      <c r="NO247" s="26"/>
      <c r="NP247" s="26"/>
      <c r="NQ247" s="26"/>
      <c r="NR247" s="26"/>
      <c r="NS247" s="26"/>
      <c r="NT247" s="26"/>
      <c r="NU247" s="26"/>
      <c r="NV247" s="26"/>
      <c r="NW247" s="26"/>
      <c r="NX247" s="26"/>
      <c r="NY247" s="26"/>
      <c r="NZ247" s="26"/>
      <c r="OA247" s="26"/>
      <c r="OB247" s="26"/>
      <c r="OC247" s="26"/>
      <c r="OD247" s="26"/>
      <c r="OE247" s="26"/>
      <c r="OF247" s="26"/>
      <c r="OG247" s="26"/>
      <c r="OH247" s="26"/>
      <c r="OI247" s="26"/>
      <c r="OJ247" s="26"/>
      <c r="OK247" s="26"/>
      <c r="OL247" s="26"/>
      <c r="OM247" s="26"/>
      <c r="ON247" s="26"/>
      <c r="OO247" s="26"/>
      <c r="OP247" s="26"/>
      <c r="OQ247" s="26"/>
      <c r="OR247" s="26"/>
      <c r="OS247" s="26"/>
      <c r="OT247" s="26"/>
      <c r="OU247" s="26"/>
      <c r="OV247" s="26"/>
      <c r="OW247" s="26"/>
      <c r="OX247" s="26"/>
      <c r="OY247" s="26"/>
      <c r="OZ247" s="26"/>
      <c r="PA247" s="26"/>
      <c r="PB247" s="26"/>
      <c r="PC247" s="26"/>
      <c r="PD247" s="26"/>
      <c r="PE247" s="26"/>
      <c r="PF247" s="26"/>
      <c r="PG247" s="26"/>
      <c r="PH247" s="26"/>
      <c r="PI247" s="26"/>
      <c r="PJ247" s="26"/>
      <c r="PK247" s="26"/>
      <c r="PL247" s="26"/>
      <c r="PM247" s="26"/>
      <c r="PN247" s="26"/>
      <c r="PO247" s="26"/>
      <c r="PP247" s="26"/>
      <c r="PQ247" s="26"/>
      <c r="PR247" s="26"/>
      <c r="PS247" s="26"/>
      <c r="PT247" s="26"/>
      <c r="PU247" s="26"/>
      <c r="PV247" s="26"/>
      <c r="PW247" s="26"/>
      <c r="PX247" s="26"/>
      <c r="PY247" s="26"/>
      <c r="PZ247" s="26"/>
      <c r="QA247" s="26"/>
      <c r="QB247" s="26"/>
      <c r="QC247" s="26"/>
      <c r="QD247" s="26"/>
      <c r="QE247" s="26"/>
      <c r="QF247" s="26"/>
      <c r="QG247" s="26"/>
      <c r="QH247" s="26"/>
      <c r="QI247" s="26"/>
      <c r="QJ247" s="26"/>
      <c r="QK247" s="26"/>
      <c r="QL247" s="26"/>
      <c r="QM247" s="26"/>
      <c r="QN247" s="26"/>
      <c r="QO247" s="26"/>
      <c r="QP247" s="26"/>
      <c r="QQ247" s="26"/>
      <c r="QR247" s="26"/>
      <c r="QS247" s="26"/>
      <c r="QT247" s="26"/>
      <c r="QU247" s="26"/>
      <c r="QV247" s="26"/>
      <c r="QW247" s="26"/>
      <c r="QX247" s="26"/>
      <c r="QY247" s="26"/>
      <c r="QZ247" s="26"/>
      <c r="RA247" s="26"/>
      <c r="RB247" s="26"/>
      <c r="RC247" s="26"/>
      <c r="RD247" s="26"/>
      <c r="RE247" s="26"/>
      <c r="RF247" s="26"/>
      <c r="RG247" s="26"/>
      <c r="RH247" s="26"/>
      <c r="RI247" s="26"/>
      <c r="RJ247" s="26"/>
      <c r="RK247" s="26"/>
      <c r="RL247" s="26"/>
      <c r="RM247" s="26"/>
      <c r="RN247" s="26"/>
      <c r="RO247" s="26"/>
      <c r="RP247" s="26"/>
      <c r="RQ247" s="26"/>
      <c r="RR247" s="26"/>
      <c r="RS247" s="26"/>
      <c r="RT247" s="26"/>
      <c r="RU247" s="26"/>
      <c r="RV247" s="26"/>
      <c r="RW247" s="26"/>
      <c r="RX247" s="26"/>
      <c r="RY247" s="26"/>
      <c r="RZ247" s="26"/>
      <c r="SA247" s="26"/>
      <c r="SB247" s="26"/>
      <c r="SC247" s="26"/>
      <c r="SD247" s="26"/>
      <c r="SE247" s="26"/>
      <c r="SF247" s="26"/>
      <c r="SG247" s="26"/>
      <c r="SH247" s="26"/>
      <c r="SI247" s="26"/>
      <c r="SJ247" s="26"/>
      <c r="SK247" s="26"/>
      <c r="SL247" s="26"/>
      <c r="SM247" s="26"/>
      <c r="SN247" s="26"/>
      <c r="SO247" s="26"/>
      <c r="SP247" s="26"/>
      <c r="SQ247" s="26"/>
      <c r="SR247" s="26"/>
      <c r="SS247" s="26"/>
      <c r="ST247" s="26"/>
      <c r="SU247" s="26"/>
      <c r="SV247" s="26"/>
      <c r="SW247" s="26"/>
      <c r="SX247" s="26"/>
      <c r="SY247" s="26"/>
      <c r="SZ247" s="26"/>
      <c r="TA247" s="26"/>
      <c r="TB247" s="26"/>
      <c r="TC247" s="26"/>
      <c r="TD247" s="26"/>
      <c r="TE247" s="26"/>
      <c r="TF247" s="26"/>
      <c r="TG247" s="26"/>
      <c r="TH247" s="26"/>
      <c r="TI247" s="26"/>
    </row>
    <row r="248" spans="1:529" s="31" customFormat="1" ht="37.5" customHeight="1" x14ac:dyDescent="0.2">
      <c r="A248" s="174" t="s">
        <v>230</v>
      </c>
      <c r="B248" s="71"/>
      <c r="C248" s="71"/>
      <c r="D248" s="30" t="s">
        <v>43</v>
      </c>
      <c r="E248" s="63">
        <f>E249</f>
        <v>20366500</v>
      </c>
      <c r="F248" s="63">
        <f t="shared" ref="F248:J248" si="137">F249</f>
        <v>19748500</v>
      </c>
      <c r="G248" s="63">
        <f t="shared" si="137"/>
        <v>13897700</v>
      </c>
      <c r="H248" s="63">
        <f t="shared" si="137"/>
        <v>314600</v>
      </c>
      <c r="I248" s="63">
        <f t="shared" si="137"/>
        <v>618000</v>
      </c>
      <c r="J248" s="63">
        <f t="shared" si="137"/>
        <v>135000</v>
      </c>
      <c r="K248" s="63">
        <f t="shared" ref="K248" si="138">K249</f>
        <v>135000</v>
      </c>
      <c r="L248" s="63">
        <f t="shared" ref="L248" si="139">L249</f>
        <v>0</v>
      </c>
      <c r="M248" s="63">
        <f t="shared" ref="M248" si="140">M249</f>
        <v>0</v>
      </c>
      <c r="N248" s="63">
        <f t="shared" ref="N248" si="141">N249</f>
        <v>0</v>
      </c>
      <c r="O248" s="63">
        <f t="shared" ref="O248" si="142">O249</f>
        <v>135000</v>
      </c>
      <c r="P248" s="63">
        <f>P249</f>
        <v>20501500</v>
      </c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  <c r="IR248" s="38"/>
      <c r="IS248" s="38"/>
      <c r="IT248" s="38"/>
      <c r="IU248" s="38"/>
      <c r="IV248" s="38"/>
      <c r="IW248" s="38"/>
      <c r="IX248" s="38"/>
      <c r="IY248" s="38"/>
      <c r="IZ248" s="38"/>
      <c r="JA248" s="38"/>
      <c r="JB248" s="38"/>
      <c r="JC248" s="38"/>
      <c r="JD248" s="38"/>
      <c r="JE248" s="38"/>
      <c r="JF248" s="38"/>
      <c r="JG248" s="38"/>
      <c r="JH248" s="38"/>
      <c r="JI248" s="38"/>
      <c r="JJ248" s="38"/>
      <c r="JK248" s="38"/>
      <c r="JL248" s="38"/>
      <c r="JM248" s="38"/>
      <c r="JN248" s="38"/>
      <c r="JO248" s="38"/>
      <c r="JP248" s="38"/>
      <c r="JQ248" s="38"/>
      <c r="JR248" s="38"/>
      <c r="JS248" s="38"/>
      <c r="JT248" s="38"/>
      <c r="JU248" s="38"/>
      <c r="JV248" s="38"/>
      <c r="JW248" s="38"/>
      <c r="JX248" s="38"/>
      <c r="JY248" s="38"/>
      <c r="JZ248" s="38"/>
      <c r="KA248" s="38"/>
      <c r="KB248" s="38"/>
      <c r="KC248" s="38"/>
      <c r="KD248" s="38"/>
      <c r="KE248" s="38"/>
      <c r="KF248" s="38"/>
      <c r="KG248" s="38"/>
      <c r="KH248" s="38"/>
      <c r="KI248" s="38"/>
      <c r="KJ248" s="38"/>
      <c r="KK248" s="38"/>
      <c r="KL248" s="38"/>
      <c r="KM248" s="38"/>
      <c r="KN248" s="38"/>
      <c r="KO248" s="38"/>
      <c r="KP248" s="38"/>
      <c r="KQ248" s="38"/>
      <c r="KR248" s="38"/>
      <c r="KS248" s="38"/>
      <c r="KT248" s="38"/>
      <c r="KU248" s="38"/>
      <c r="KV248" s="38"/>
      <c r="KW248" s="38"/>
      <c r="KX248" s="38"/>
      <c r="KY248" s="38"/>
      <c r="KZ248" s="38"/>
      <c r="LA248" s="38"/>
      <c r="LB248" s="38"/>
      <c r="LC248" s="38"/>
      <c r="LD248" s="38"/>
      <c r="LE248" s="38"/>
      <c r="LF248" s="38"/>
      <c r="LG248" s="38"/>
      <c r="LH248" s="38"/>
      <c r="LI248" s="38"/>
      <c r="LJ248" s="38"/>
      <c r="LK248" s="38"/>
      <c r="LL248" s="38"/>
      <c r="LM248" s="38"/>
      <c r="LN248" s="38"/>
      <c r="LO248" s="38"/>
      <c r="LP248" s="38"/>
      <c r="LQ248" s="38"/>
      <c r="LR248" s="38"/>
      <c r="LS248" s="38"/>
      <c r="LT248" s="38"/>
      <c r="LU248" s="38"/>
      <c r="LV248" s="38"/>
      <c r="LW248" s="38"/>
      <c r="LX248" s="38"/>
      <c r="LY248" s="38"/>
      <c r="LZ248" s="38"/>
      <c r="MA248" s="38"/>
      <c r="MB248" s="38"/>
      <c r="MC248" s="38"/>
      <c r="MD248" s="38"/>
      <c r="ME248" s="38"/>
      <c r="MF248" s="38"/>
      <c r="MG248" s="38"/>
      <c r="MH248" s="38"/>
      <c r="MI248" s="38"/>
      <c r="MJ248" s="38"/>
      <c r="MK248" s="38"/>
      <c r="ML248" s="38"/>
      <c r="MM248" s="38"/>
      <c r="MN248" s="38"/>
      <c r="MO248" s="38"/>
      <c r="MP248" s="38"/>
      <c r="MQ248" s="38"/>
      <c r="MR248" s="38"/>
      <c r="MS248" s="38"/>
      <c r="MT248" s="38"/>
      <c r="MU248" s="38"/>
      <c r="MV248" s="38"/>
      <c r="MW248" s="38"/>
      <c r="MX248" s="38"/>
      <c r="MY248" s="38"/>
      <c r="MZ248" s="38"/>
      <c r="NA248" s="38"/>
      <c r="NB248" s="38"/>
      <c r="NC248" s="38"/>
      <c r="ND248" s="38"/>
      <c r="NE248" s="38"/>
      <c r="NF248" s="38"/>
      <c r="NG248" s="38"/>
      <c r="NH248" s="38"/>
      <c r="NI248" s="38"/>
      <c r="NJ248" s="38"/>
      <c r="NK248" s="38"/>
      <c r="NL248" s="38"/>
      <c r="NM248" s="38"/>
      <c r="NN248" s="38"/>
      <c r="NO248" s="38"/>
      <c r="NP248" s="38"/>
      <c r="NQ248" s="38"/>
      <c r="NR248" s="38"/>
      <c r="NS248" s="38"/>
      <c r="NT248" s="38"/>
      <c r="NU248" s="38"/>
      <c r="NV248" s="38"/>
      <c r="NW248" s="38"/>
      <c r="NX248" s="38"/>
      <c r="NY248" s="38"/>
      <c r="NZ248" s="38"/>
      <c r="OA248" s="38"/>
      <c r="OB248" s="38"/>
      <c r="OC248" s="38"/>
      <c r="OD248" s="38"/>
      <c r="OE248" s="38"/>
      <c r="OF248" s="38"/>
      <c r="OG248" s="38"/>
      <c r="OH248" s="38"/>
      <c r="OI248" s="38"/>
      <c r="OJ248" s="38"/>
      <c r="OK248" s="38"/>
      <c r="OL248" s="38"/>
      <c r="OM248" s="38"/>
      <c r="ON248" s="38"/>
      <c r="OO248" s="38"/>
      <c r="OP248" s="38"/>
      <c r="OQ248" s="38"/>
      <c r="OR248" s="38"/>
      <c r="OS248" s="38"/>
      <c r="OT248" s="38"/>
      <c r="OU248" s="38"/>
      <c r="OV248" s="38"/>
      <c r="OW248" s="38"/>
      <c r="OX248" s="38"/>
      <c r="OY248" s="38"/>
      <c r="OZ248" s="38"/>
      <c r="PA248" s="38"/>
      <c r="PB248" s="38"/>
      <c r="PC248" s="38"/>
      <c r="PD248" s="38"/>
      <c r="PE248" s="38"/>
      <c r="PF248" s="38"/>
      <c r="PG248" s="38"/>
      <c r="PH248" s="38"/>
      <c r="PI248" s="38"/>
      <c r="PJ248" s="38"/>
      <c r="PK248" s="38"/>
      <c r="PL248" s="38"/>
      <c r="PM248" s="38"/>
      <c r="PN248" s="38"/>
      <c r="PO248" s="38"/>
      <c r="PP248" s="38"/>
      <c r="PQ248" s="38"/>
      <c r="PR248" s="38"/>
      <c r="PS248" s="38"/>
      <c r="PT248" s="38"/>
      <c r="PU248" s="38"/>
      <c r="PV248" s="38"/>
      <c r="PW248" s="38"/>
      <c r="PX248" s="38"/>
      <c r="PY248" s="38"/>
      <c r="PZ248" s="38"/>
      <c r="QA248" s="38"/>
      <c r="QB248" s="38"/>
      <c r="QC248" s="38"/>
      <c r="QD248" s="38"/>
      <c r="QE248" s="38"/>
      <c r="QF248" s="38"/>
      <c r="QG248" s="38"/>
      <c r="QH248" s="38"/>
      <c r="QI248" s="38"/>
      <c r="QJ248" s="38"/>
      <c r="QK248" s="38"/>
      <c r="QL248" s="38"/>
      <c r="QM248" s="38"/>
      <c r="QN248" s="38"/>
      <c r="QO248" s="38"/>
      <c r="QP248" s="38"/>
      <c r="QQ248" s="38"/>
      <c r="QR248" s="38"/>
      <c r="QS248" s="38"/>
      <c r="QT248" s="38"/>
      <c r="QU248" s="38"/>
      <c r="QV248" s="38"/>
      <c r="QW248" s="38"/>
      <c r="QX248" s="38"/>
      <c r="QY248" s="38"/>
      <c r="QZ248" s="38"/>
      <c r="RA248" s="38"/>
      <c r="RB248" s="38"/>
      <c r="RC248" s="38"/>
      <c r="RD248" s="38"/>
      <c r="RE248" s="38"/>
      <c r="RF248" s="38"/>
      <c r="RG248" s="38"/>
      <c r="RH248" s="38"/>
      <c r="RI248" s="38"/>
      <c r="RJ248" s="38"/>
      <c r="RK248" s="38"/>
      <c r="RL248" s="38"/>
      <c r="RM248" s="38"/>
      <c r="RN248" s="38"/>
      <c r="RO248" s="38"/>
      <c r="RP248" s="38"/>
      <c r="RQ248" s="38"/>
      <c r="RR248" s="38"/>
      <c r="RS248" s="38"/>
      <c r="RT248" s="38"/>
      <c r="RU248" s="38"/>
      <c r="RV248" s="38"/>
      <c r="RW248" s="38"/>
      <c r="RX248" s="38"/>
      <c r="RY248" s="38"/>
      <c r="RZ248" s="38"/>
      <c r="SA248" s="38"/>
      <c r="SB248" s="38"/>
      <c r="SC248" s="38"/>
      <c r="SD248" s="38"/>
      <c r="SE248" s="38"/>
      <c r="SF248" s="38"/>
      <c r="SG248" s="38"/>
      <c r="SH248" s="38"/>
      <c r="SI248" s="38"/>
      <c r="SJ248" s="38"/>
      <c r="SK248" s="38"/>
      <c r="SL248" s="38"/>
      <c r="SM248" s="38"/>
      <c r="SN248" s="38"/>
      <c r="SO248" s="38"/>
      <c r="SP248" s="38"/>
      <c r="SQ248" s="38"/>
      <c r="SR248" s="38"/>
      <c r="SS248" s="38"/>
      <c r="ST248" s="38"/>
      <c r="SU248" s="38"/>
      <c r="SV248" s="38"/>
      <c r="SW248" s="38"/>
      <c r="SX248" s="38"/>
      <c r="SY248" s="38"/>
      <c r="SZ248" s="38"/>
      <c r="TA248" s="38"/>
      <c r="TB248" s="38"/>
      <c r="TC248" s="38"/>
      <c r="TD248" s="38"/>
      <c r="TE248" s="38"/>
      <c r="TF248" s="38"/>
      <c r="TG248" s="38"/>
      <c r="TH248" s="38"/>
      <c r="TI248" s="38"/>
    </row>
    <row r="249" spans="1:529" s="40" customFormat="1" ht="37.5" customHeight="1" x14ac:dyDescent="0.25">
      <c r="A249" s="73" t="s">
        <v>231</v>
      </c>
      <c r="B249" s="72"/>
      <c r="C249" s="72"/>
      <c r="D249" s="33" t="s">
        <v>43</v>
      </c>
      <c r="E249" s="65">
        <f>E250+E251++E252+E253+E254+E255</f>
        <v>20366500</v>
      </c>
      <c r="F249" s="65">
        <f t="shared" ref="F249:P249" si="143">F250+F251++F252+F253+F254+F255</f>
        <v>19748500</v>
      </c>
      <c r="G249" s="65">
        <f t="shared" si="143"/>
        <v>13897700</v>
      </c>
      <c r="H249" s="65">
        <f t="shared" si="143"/>
        <v>314600</v>
      </c>
      <c r="I249" s="65">
        <f t="shared" si="143"/>
        <v>618000</v>
      </c>
      <c r="J249" s="65">
        <f t="shared" si="143"/>
        <v>135000</v>
      </c>
      <c r="K249" s="65">
        <f>K250+K251++K252+K253+K254+K255</f>
        <v>135000</v>
      </c>
      <c r="L249" s="65">
        <f t="shared" si="143"/>
        <v>0</v>
      </c>
      <c r="M249" s="65">
        <f t="shared" si="143"/>
        <v>0</v>
      </c>
      <c r="N249" s="65">
        <f t="shared" si="143"/>
        <v>0</v>
      </c>
      <c r="O249" s="65">
        <f t="shared" si="143"/>
        <v>135000</v>
      </c>
      <c r="P249" s="65">
        <f t="shared" si="143"/>
        <v>20501500</v>
      </c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 s="39"/>
      <c r="IL249" s="39"/>
      <c r="IM249" s="39"/>
      <c r="IN249" s="39"/>
      <c r="IO249" s="39"/>
      <c r="IP249" s="39"/>
      <c r="IQ249" s="39"/>
      <c r="IR249" s="39"/>
      <c r="IS249" s="39"/>
      <c r="IT249" s="39"/>
      <c r="IU249" s="39"/>
      <c r="IV249" s="39"/>
      <c r="IW249" s="39"/>
      <c r="IX249" s="39"/>
      <c r="IY249" s="39"/>
      <c r="IZ249" s="39"/>
      <c r="JA249" s="39"/>
      <c r="JB249" s="39"/>
      <c r="JC249" s="39"/>
      <c r="JD249" s="39"/>
      <c r="JE249" s="39"/>
      <c r="JF249" s="39"/>
      <c r="JG249" s="39"/>
      <c r="JH249" s="39"/>
      <c r="JI249" s="39"/>
      <c r="JJ249" s="39"/>
      <c r="JK249" s="39"/>
      <c r="JL249" s="39"/>
      <c r="JM249" s="39"/>
      <c r="JN249" s="39"/>
      <c r="JO249" s="39"/>
      <c r="JP249" s="39"/>
      <c r="JQ249" s="39"/>
      <c r="JR249" s="39"/>
      <c r="JS249" s="39"/>
      <c r="JT249" s="39"/>
      <c r="JU249" s="39"/>
      <c r="JV249" s="39"/>
      <c r="JW249" s="39"/>
      <c r="JX249" s="39"/>
      <c r="JY249" s="39"/>
      <c r="JZ249" s="39"/>
      <c r="KA249" s="39"/>
      <c r="KB249" s="39"/>
      <c r="KC249" s="39"/>
      <c r="KD249" s="39"/>
      <c r="KE249" s="39"/>
      <c r="KF249" s="39"/>
      <c r="KG249" s="39"/>
      <c r="KH249" s="39"/>
      <c r="KI249" s="39"/>
      <c r="KJ249" s="39"/>
      <c r="KK249" s="39"/>
      <c r="KL249" s="39"/>
      <c r="KM249" s="39"/>
      <c r="KN249" s="39"/>
      <c r="KO249" s="39"/>
      <c r="KP249" s="39"/>
      <c r="KQ249" s="39"/>
      <c r="KR249" s="39"/>
      <c r="KS249" s="39"/>
      <c r="KT249" s="39"/>
      <c r="KU249" s="39"/>
      <c r="KV249" s="39"/>
      <c r="KW249" s="39"/>
      <c r="KX249" s="39"/>
      <c r="KY249" s="39"/>
      <c r="KZ249" s="39"/>
      <c r="LA249" s="39"/>
      <c r="LB249" s="39"/>
      <c r="LC249" s="39"/>
      <c r="LD249" s="39"/>
      <c r="LE249" s="39"/>
      <c r="LF249" s="39"/>
      <c r="LG249" s="39"/>
      <c r="LH249" s="39"/>
      <c r="LI249" s="39"/>
      <c r="LJ249" s="39"/>
      <c r="LK249" s="39"/>
      <c r="LL249" s="39"/>
      <c r="LM249" s="39"/>
      <c r="LN249" s="39"/>
      <c r="LO249" s="39"/>
      <c r="LP249" s="39"/>
      <c r="LQ249" s="39"/>
      <c r="LR249" s="39"/>
      <c r="LS249" s="39"/>
      <c r="LT249" s="39"/>
      <c r="LU249" s="39"/>
      <c r="LV249" s="39"/>
      <c r="LW249" s="39"/>
      <c r="LX249" s="39"/>
      <c r="LY249" s="39"/>
      <c r="LZ249" s="39"/>
      <c r="MA249" s="39"/>
      <c r="MB249" s="39"/>
      <c r="MC249" s="39"/>
      <c r="MD249" s="39"/>
      <c r="ME249" s="39"/>
      <c r="MF249" s="39"/>
      <c r="MG249" s="39"/>
      <c r="MH249" s="39"/>
      <c r="MI249" s="39"/>
      <c r="MJ249" s="39"/>
      <c r="MK249" s="39"/>
      <c r="ML249" s="39"/>
      <c r="MM249" s="39"/>
      <c r="MN249" s="39"/>
      <c r="MO249" s="39"/>
      <c r="MP249" s="39"/>
      <c r="MQ249" s="39"/>
      <c r="MR249" s="39"/>
      <c r="MS249" s="39"/>
      <c r="MT249" s="39"/>
      <c r="MU249" s="39"/>
      <c r="MV249" s="39"/>
      <c r="MW249" s="39"/>
      <c r="MX249" s="39"/>
      <c r="MY249" s="39"/>
      <c r="MZ249" s="39"/>
      <c r="NA249" s="39"/>
      <c r="NB249" s="39"/>
      <c r="NC249" s="39"/>
      <c r="ND249" s="39"/>
      <c r="NE249" s="39"/>
      <c r="NF249" s="39"/>
      <c r="NG249" s="39"/>
      <c r="NH249" s="39"/>
      <c r="NI249" s="39"/>
      <c r="NJ249" s="39"/>
      <c r="NK249" s="39"/>
      <c r="NL249" s="39"/>
      <c r="NM249" s="39"/>
      <c r="NN249" s="39"/>
      <c r="NO249" s="39"/>
      <c r="NP249" s="39"/>
      <c r="NQ249" s="39"/>
      <c r="NR249" s="39"/>
      <c r="NS249" s="39"/>
      <c r="NT249" s="39"/>
      <c r="NU249" s="39"/>
      <c r="NV249" s="39"/>
      <c r="NW249" s="39"/>
      <c r="NX249" s="39"/>
      <c r="NY249" s="39"/>
      <c r="NZ249" s="39"/>
      <c r="OA249" s="39"/>
      <c r="OB249" s="39"/>
      <c r="OC249" s="39"/>
      <c r="OD249" s="39"/>
      <c r="OE249" s="39"/>
      <c r="OF249" s="39"/>
      <c r="OG249" s="39"/>
      <c r="OH249" s="39"/>
      <c r="OI249" s="39"/>
      <c r="OJ249" s="39"/>
      <c r="OK249" s="39"/>
      <c r="OL249" s="39"/>
      <c r="OM249" s="39"/>
      <c r="ON249" s="39"/>
      <c r="OO249" s="39"/>
      <c r="OP249" s="39"/>
      <c r="OQ249" s="39"/>
      <c r="OR249" s="39"/>
      <c r="OS249" s="39"/>
      <c r="OT249" s="39"/>
      <c r="OU249" s="39"/>
      <c r="OV249" s="39"/>
      <c r="OW249" s="39"/>
      <c r="OX249" s="39"/>
      <c r="OY249" s="39"/>
      <c r="OZ249" s="39"/>
      <c r="PA249" s="39"/>
      <c r="PB249" s="39"/>
      <c r="PC249" s="39"/>
      <c r="PD249" s="39"/>
      <c r="PE249" s="39"/>
      <c r="PF249" s="39"/>
      <c r="PG249" s="39"/>
      <c r="PH249" s="39"/>
      <c r="PI249" s="39"/>
      <c r="PJ249" s="39"/>
      <c r="PK249" s="39"/>
      <c r="PL249" s="39"/>
      <c r="PM249" s="39"/>
      <c r="PN249" s="39"/>
      <c r="PO249" s="39"/>
      <c r="PP249" s="39"/>
      <c r="PQ249" s="39"/>
      <c r="PR249" s="39"/>
      <c r="PS249" s="39"/>
      <c r="PT249" s="39"/>
      <c r="PU249" s="39"/>
      <c r="PV249" s="39"/>
      <c r="PW249" s="39"/>
      <c r="PX249" s="39"/>
      <c r="PY249" s="39"/>
      <c r="PZ249" s="39"/>
      <c r="QA249" s="39"/>
      <c r="QB249" s="39"/>
      <c r="QC249" s="39"/>
      <c r="QD249" s="39"/>
      <c r="QE249" s="39"/>
      <c r="QF249" s="39"/>
      <c r="QG249" s="39"/>
      <c r="QH249" s="39"/>
      <c r="QI249" s="39"/>
      <c r="QJ249" s="39"/>
      <c r="QK249" s="39"/>
      <c r="QL249" s="39"/>
      <c r="QM249" s="39"/>
      <c r="QN249" s="39"/>
      <c r="QO249" s="39"/>
      <c r="QP249" s="39"/>
      <c r="QQ249" s="39"/>
      <c r="QR249" s="39"/>
      <c r="QS249" s="39"/>
      <c r="QT249" s="39"/>
      <c r="QU249" s="39"/>
      <c r="QV249" s="39"/>
      <c r="QW249" s="39"/>
      <c r="QX249" s="39"/>
      <c r="QY249" s="39"/>
      <c r="QZ249" s="39"/>
      <c r="RA249" s="39"/>
      <c r="RB249" s="39"/>
      <c r="RC249" s="39"/>
      <c r="RD249" s="39"/>
      <c r="RE249" s="39"/>
      <c r="RF249" s="39"/>
      <c r="RG249" s="39"/>
      <c r="RH249" s="39"/>
      <c r="RI249" s="39"/>
      <c r="RJ249" s="39"/>
      <c r="RK249" s="39"/>
      <c r="RL249" s="39"/>
      <c r="RM249" s="39"/>
      <c r="RN249" s="39"/>
      <c r="RO249" s="39"/>
      <c r="RP249" s="39"/>
      <c r="RQ249" s="39"/>
      <c r="RR249" s="39"/>
      <c r="RS249" s="39"/>
      <c r="RT249" s="39"/>
      <c r="RU249" s="39"/>
      <c r="RV249" s="39"/>
      <c r="RW249" s="39"/>
      <c r="RX249" s="39"/>
      <c r="RY249" s="39"/>
      <c r="RZ249" s="39"/>
      <c r="SA249" s="39"/>
      <c r="SB249" s="39"/>
      <c r="SC249" s="39"/>
      <c r="SD249" s="39"/>
      <c r="SE249" s="39"/>
      <c r="SF249" s="39"/>
      <c r="SG249" s="39"/>
      <c r="SH249" s="39"/>
      <c r="SI249" s="39"/>
      <c r="SJ249" s="39"/>
      <c r="SK249" s="39"/>
      <c r="SL249" s="39"/>
      <c r="SM249" s="39"/>
      <c r="SN249" s="39"/>
      <c r="SO249" s="39"/>
      <c r="SP249" s="39"/>
      <c r="SQ249" s="39"/>
      <c r="SR249" s="39"/>
      <c r="SS249" s="39"/>
      <c r="ST249" s="39"/>
      <c r="SU249" s="39"/>
      <c r="SV249" s="39"/>
      <c r="SW249" s="39"/>
      <c r="SX249" s="39"/>
      <c r="SY249" s="39"/>
      <c r="SZ249" s="39"/>
      <c r="TA249" s="39"/>
      <c r="TB249" s="39"/>
      <c r="TC249" s="39"/>
      <c r="TD249" s="39"/>
      <c r="TE249" s="39"/>
      <c r="TF249" s="39"/>
      <c r="TG249" s="39"/>
      <c r="TH249" s="39"/>
      <c r="TI249" s="39"/>
    </row>
    <row r="250" spans="1:529" s="23" customFormat="1" ht="47.25" customHeight="1" x14ac:dyDescent="0.25">
      <c r="A250" s="43" t="s">
        <v>232</v>
      </c>
      <c r="B250" s="44" t="str">
        <f>'дод 4'!A20</f>
        <v>0160</v>
      </c>
      <c r="C250" s="44" t="str">
        <f>'дод 4'!B20</f>
        <v>0111</v>
      </c>
      <c r="D250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50" s="66">
        <f t="shared" ref="E250:E255" si="144">F250+I250</f>
        <v>17991500</v>
      </c>
      <c r="F250" s="66">
        <f>18803900+108500-929400-41000+49500</f>
        <v>17991500</v>
      </c>
      <c r="G250" s="66">
        <f>14693100-761800-33600</f>
        <v>13897700</v>
      </c>
      <c r="H250" s="66">
        <v>314600</v>
      </c>
      <c r="I250" s="66"/>
      <c r="J250" s="66">
        <f>L250+O250</f>
        <v>25000</v>
      </c>
      <c r="K250" s="66">
        <v>25000</v>
      </c>
      <c r="L250" s="66"/>
      <c r="M250" s="66"/>
      <c r="N250" s="66"/>
      <c r="O250" s="66">
        <v>25000</v>
      </c>
      <c r="P250" s="66">
        <f t="shared" ref="P250:P255" si="145">E250+J250</f>
        <v>18016500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  <c r="LB250" s="26"/>
      <c r="LC250" s="26"/>
      <c r="LD250" s="26"/>
      <c r="LE250" s="26"/>
      <c r="LF250" s="26"/>
      <c r="LG250" s="26"/>
      <c r="LH250" s="26"/>
      <c r="LI250" s="26"/>
      <c r="LJ250" s="26"/>
      <c r="LK250" s="26"/>
      <c r="LL250" s="26"/>
      <c r="LM250" s="26"/>
      <c r="LN250" s="26"/>
      <c r="LO250" s="26"/>
      <c r="LP250" s="26"/>
      <c r="LQ250" s="26"/>
      <c r="LR250" s="26"/>
      <c r="LS250" s="26"/>
      <c r="LT250" s="26"/>
      <c r="LU250" s="26"/>
      <c r="LV250" s="26"/>
      <c r="LW250" s="26"/>
      <c r="LX250" s="26"/>
      <c r="LY250" s="26"/>
      <c r="LZ250" s="26"/>
      <c r="MA250" s="26"/>
      <c r="MB250" s="26"/>
      <c r="MC250" s="26"/>
      <c r="MD250" s="26"/>
      <c r="ME250" s="26"/>
      <c r="MF250" s="26"/>
      <c r="MG250" s="26"/>
      <c r="MH250" s="26"/>
      <c r="MI250" s="26"/>
      <c r="MJ250" s="26"/>
      <c r="MK250" s="26"/>
      <c r="ML250" s="26"/>
      <c r="MM250" s="26"/>
      <c r="MN250" s="26"/>
      <c r="MO250" s="26"/>
      <c r="MP250" s="26"/>
      <c r="MQ250" s="26"/>
      <c r="MR250" s="26"/>
      <c r="MS250" s="26"/>
      <c r="MT250" s="26"/>
      <c r="MU250" s="26"/>
      <c r="MV250" s="26"/>
      <c r="MW250" s="26"/>
      <c r="MX250" s="26"/>
      <c r="MY250" s="26"/>
      <c r="MZ250" s="26"/>
      <c r="NA250" s="26"/>
      <c r="NB250" s="26"/>
      <c r="NC250" s="26"/>
      <c r="ND250" s="26"/>
      <c r="NE250" s="26"/>
      <c r="NF250" s="26"/>
      <c r="NG250" s="26"/>
      <c r="NH250" s="26"/>
      <c r="NI250" s="26"/>
      <c r="NJ250" s="26"/>
      <c r="NK250" s="26"/>
      <c r="NL250" s="26"/>
      <c r="NM250" s="26"/>
      <c r="NN250" s="26"/>
      <c r="NO250" s="26"/>
      <c r="NP250" s="26"/>
      <c r="NQ250" s="26"/>
      <c r="NR250" s="26"/>
      <c r="NS250" s="26"/>
      <c r="NT250" s="26"/>
      <c r="NU250" s="26"/>
      <c r="NV250" s="26"/>
      <c r="NW250" s="26"/>
      <c r="NX250" s="26"/>
      <c r="NY250" s="26"/>
      <c r="NZ250" s="26"/>
      <c r="OA250" s="26"/>
      <c r="OB250" s="26"/>
      <c r="OC250" s="26"/>
      <c r="OD250" s="26"/>
      <c r="OE250" s="26"/>
      <c r="OF250" s="26"/>
      <c r="OG250" s="26"/>
      <c r="OH250" s="26"/>
      <c r="OI250" s="26"/>
      <c r="OJ250" s="26"/>
      <c r="OK250" s="26"/>
      <c r="OL250" s="26"/>
      <c r="OM250" s="26"/>
      <c r="ON250" s="26"/>
      <c r="OO250" s="26"/>
      <c r="OP250" s="26"/>
      <c r="OQ250" s="26"/>
      <c r="OR250" s="26"/>
      <c r="OS250" s="26"/>
      <c r="OT250" s="26"/>
      <c r="OU250" s="26"/>
      <c r="OV250" s="26"/>
      <c r="OW250" s="26"/>
      <c r="OX250" s="26"/>
      <c r="OY250" s="26"/>
      <c r="OZ250" s="26"/>
      <c r="PA250" s="26"/>
      <c r="PB250" s="26"/>
      <c r="PC250" s="26"/>
      <c r="PD250" s="26"/>
      <c r="PE250" s="26"/>
      <c r="PF250" s="26"/>
      <c r="PG250" s="26"/>
      <c r="PH250" s="26"/>
      <c r="PI250" s="26"/>
      <c r="PJ250" s="26"/>
      <c r="PK250" s="26"/>
      <c r="PL250" s="26"/>
      <c r="PM250" s="26"/>
      <c r="PN250" s="26"/>
      <c r="PO250" s="26"/>
      <c r="PP250" s="26"/>
      <c r="PQ250" s="26"/>
      <c r="PR250" s="26"/>
      <c r="PS250" s="26"/>
      <c r="PT250" s="26"/>
      <c r="PU250" s="26"/>
      <c r="PV250" s="26"/>
      <c r="PW250" s="26"/>
      <c r="PX250" s="26"/>
      <c r="PY250" s="26"/>
      <c r="PZ250" s="26"/>
      <c r="QA250" s="26"/>
      <c r="QB250" s="26"/>
      <c r="QC250" s="26"/>
      <c r="QD250" s="26"/>
      <c r="QE250" s="26"/>
      <c r="QF250" s="26"/>
      <c r="QG250" s="26"/>
      <c r="QH250" s="26"/>
      <c r="QI250" s="26"/>
      <c r="QJ250" s="26"/>
      <c r="QK250" s="26"/>
      <c r="QL250" s="26"/>
      <c r="QM250" s="26"/>
      <c r="QN250" s="26"/>
      <c r="QO250" s="26"/>
      <c r="QP250" s="26"/>
      <c r="QQ250" s="26"/>
      <c r="QR250" s="26"/>
      <c r="QS250" s="26"/>
      <c r="QT250" s="26"/>
      <c r="QU250" s="26"/>
      <c r="QV250" s="26"/>
      <c r="QW250" s="26"/>
      <c r="QX250" s="26"/>
      <c r="QY250" s="26"/>
      <c r="QZ250" s="26"/>
      <c r="RA250" s="26"/>
      <c r="RB250" s="26"/>
      <c r="RC250" s="26"/>
      <c r="RD250" s="26"/>
      <c r="RE250" s="26"/>
      <c r="RF250" s="26"/>
      <c r="RG250" s="26"/>
      <c r="RH250" s="26"/>
      <c r="RI250" s="26"/>
      <c r="RJ250" s="26"/>
      <c r="RK250" s="26"/>
      <c r="RL250" s="26"/>
      <c r="RM250" s="26"/>
      <c r="RN250" s="26"/>
      <c r="RO250" s="26"/>
      <c r="RP250" s="26"/>
      <c r="RQ250" s="26"/>
      <c r="RR250" s="26"/>
      <c r="RS250" s="26"/>
      <c r="RT250" s="26"/>
      <c r="RU250" s="26"/>
      <c r="RV250" s="26"/>
      <c r="RW250" s="26"/>
      <c r="RX250" s="26"/>
      <c r="RY250" s="26"/>
      <c r="RZ250" s="26"/>
      <c r="SA250" s="26"/>
      <c r="SB250" s="26"/>
      <c r="SC250" s="26"/>
      <c r="SD250" s="26"/>
      <c r="SE250" s="26"/>
      <c r="SF250" s="26"/>
      <c r="SG250" s="26"/>
      <c r="SH250" s="26"/>
      <c r="SI250" s="26"/>
      <c r="SJ250" s="26"/>
      <c r="SK250" s="26"/>
      <c r="SL250" s="26"/>
      <c r="SM250" s="26"/>
      <c r="SN250" s="26"/>
      <c r="SO250" s="26"/>
      <c r="SP250" s="26"/>
      <c r="SQ250" s="26"/>
      <c r="SR250" s="26"/>
      <c r="SS250" s="26"/>
      <c r="ST250" s="26"/>
      <c r="SU250" s="26"/>
      <c r="SV250" s="26"/>
      <c r="SW250" s="26"/>
      <c r="SX250" s="26"/>
      <c r="SY250" s="26"/>
      <c r="SZ250" s="26"/>
      <c r="TA250" s="26"/>
      <c r="TB250" s="26"/>
      <c r="TC250" s="26"/>
      <c r="TD250" s="26"/>
      <c r="TE250" s="26"/>
      <c r="TF250" s="26"/>
      <c r="TG250" s="26"/>
      <c r="TH250" s="26"/>
      <c r="TI250" s="26"/>
    </row>
    <row r="251" spans="1:529" s="28" customFormat="1" ht="29.25" customHeight="1" x14ac:dyDescent="0.25">
      <c r="A251" s="43" t="s">
        <v>233</v>
      </c>
      <c r="B251" s="44" t="str">
        <f>'дод 4'!A140</f>
        <v>7130</v>
      </c>
      <c r="C251" s="44" t="str">
        <f>'дод 4'!B140</f>
        <v>0421</v>
      </c>
      <c r="D251" s="24" t="str">
        <f>'дод 4'!C140</f>
        <v>Здійснення заходів із землеустрою</v>
      </c>
      <c r="E251" s="66">
        <f t="shared" si="144"/>
        <v>665000</v>
      </c>
      <c r="F251" s="66">
        <f>700000-45000+10000</f>
        <v>665000</v>
      </c>
      <c r="G251" s="66"/>
      <c r="H251" s="66"/>
      <c r="I251" s="66"/>
      <c r="J251" s="66">
        <f t="shared" ref="J251:J255" si="146">L251+O251</f>
        <v>0</v>
      </c>
      <c r="K251" s="66"/>
      <c r="L251" s="66"/>
      <c r="M251" s="66"/>
      <c r="N251" s="66"/>
      <c r="O251" s="66"/>
      <c r="P251" s="66">
        <f t="shared" si="145"/>
        <v>665000</v>
      </c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  <c r="IT251" s="37"/>
      <c r="IU251" s="37"/>
      <c r="IV251" s="37"/>
      <c r="IW251" s="37"/>
      <c r="IX251" s="37"/>
      <c r="IY251" s="37"/>
      <c r="IZ251" s="37"/>
      <c r="JA251" s="37"/>
      <c r="JB251" s="37"/>
      <c r="JC251" s="37"/>
      <c r="JD251" s="37"/>
      <c r="JE251" s="37"/>
      <c r="JF251" s="37"/>
      <c r="JG251" s="37"/>
      <c r="JH251" s="37"/>
      <c r="JI251" s="37"/>
      <c r="JJ251" s="37"/>
      <c r="JK251" s="37"/>
      <c r="JL251" s="37"/>
      <c r="JM251" s="37"/>
      <c r="JN251" s="37"/>
      <c r="JO251" s="37"/>
      <c r="JP251" s="37"/>
      <c r="JQ251" s="37"/>
      <c r="JR251" s="37"/>
      <c r="JS251" s="37"/>
      <c r="JT251" s="37"/>
      <c r="JU251" s="37"/>
      <c r="JV251" s="37"/>
      <c r="JW251" s="37"/>
      <c r="JX251" s="37"/>
      <c r="JY251" s="37"/>
      <c r="JZ251" s="37"/>
      <c r="KA251" s="37"/>
      <c r="KB251" s="37"/>
      <c r="KC251" s="37"/>
      <c r="KD251" s="37"/>
      <c r="KE251" s="37"/>
      <c r="KF251" s="37"/>
      <c r="KG251" s="37"/>
      <c r="KH251" s="37"/>
      <c r="KI251" s="37"/>
      <c r="KJ251" s="37"/>
      <c r="KK251" s="37"/>
      <c r="KL251" s="37"/>
      <c r="KM251" s="37"/>
      <c r="KN251" s="37"/>
      <c r="KO251" s="37"/>
      <c r="KP251" s="37"/>
      <c r="KQ251" s="37"/>
      <c r="KR251" s="37"/>
      <c r="KS251" s="37"/>
      <c r="KT251" s="37"/>
      <c r="KU251" s="37"/>
      <c r="KV251" s="37"/>
      <c r="KW251" s="37"/>
      <c r="KX251" s="37"/>
      <c r="KY251" s="37"/>
      <c r="KZ251" s="37"/>
      <c r="LA251" s="37"/>
      <c r="LB251" s="37"/>
      <c r="LC251" s="37"/>
      <c r="LD251" s="37"/>
      <c r="LE251" s="37"/>
      <c r="LF251" s="37"/>
      <c r="LG251" s="37"/>
      <c r="LH251" s="37"/>
      <c r="LI251" s="37"/>
      <c r="LJ251" s="37"/>
      <c r="LK251" s="37"/>
      <c r="LL251" s="37"/>
      <c r="LM251" s="37"/>
      <c r="LN251" s="37"/>
      <c r="LO251" s="37"/>
      <c r="LP251" s="37"/>
      <c r="LQ251" s="37"/>
      <c r="LR251" s="37"/>
      <c r="LS251" s="37"/>
      <c r="LT251" s="37"/>
      <c r="LU251" s="37"/>
      <c r="LV251" s="37"/>
      <c r="LW251" s="37"/>
      <c r="LX251" s="37"/>
      <c r="LY251" s="37"/>
      <c r="LZ251" s="37"/>
      <c r="MA251" s="37"/>
      <c r="MB251" s="37"/>
      <c r="MC251" s="37"/>
      <c r="MD251" s="37"/>
      <c r="ME251" s="37"/>
      <c r="MF251" s="37"/>
      <c r="MG251" s="37"/>
      <c r="MH251" s="37"/>
      <c r="MI251" s="37"/>
      <c r="MJ251" s="37"/>
      <c r="MK251" s="37"/>
      <c r="ML251" s="37"/>
      <c r="MM251" s="37"/>
      <c r="MN251" s="37"/>
      <c r="MO251" s="37"/>
      <c r="MP251" s="37"/>
      <c r="MQ251" s="37"/>
      <c r="MR251" s="37"/>
      <c r="MS251" s="37"/>
      <c r="MT251" s="37"/>
      <c r="MU251" s="37"/>
      <c r="MV251" s="37"/>
      <c r="MW251" s="37"/>
      <c r="MX251" s="37"/>
      <c r="MY251" s="37"/>
      <c r="MZ251" s="37"/>
      <c r="NA251" s="37"/>
      <c r="NB251" s="37"/>
      <c r="NC251" s="37"/>
      <c r="ND251" s="37"/>
      <c r="NE251" s="37"/>
      <c r="NF251" s="37"/>
      <c r="NG251" s="37"/>
      <c r="NH251" s="37"/>
      <c r="NI251" s="37"/>
      <c r="NJ251" s="37"/>
      <c r="NK251" s="37"/>
      <c r="NL251" s="37"/>
      <c r="NM251" s="37"/>
      <c r="NN251" s="37"/>
      <c r="NO251" s="37"/>
      <c r="NP251" s="37"/>
      <c r="NQ251" s="37"/>
      <c r="NR251" s="37"/>
      <c r="NS251" s="37"/>
      <c r="NT251" s="37"/>
      <c r="NU251" s="37"/>
      <c r="NV251" s="37"/>
      <c r="NW251" s="37"/>
      <c r="NX251" s="37"/>
      <c r="NY251" s="37"/>
      <c r="NZ251" s="37"/>
      <c r="OA251" s="37"/>
      <c r="OB251" s="37"/>
      <c r="OC251" s="37"/>
      <c r="OD251" s="37"/>
      <c r="OE251" s="37"/>
      <c r="OF251" s="37"/>
      <c r="OG251" s="37"/>
      <c r="OH251" s="37"/>
      <c r="OI251" s="37"/>
      <c r="OJ251" s="37"/>
      <c r="OK251" s="37"/>
      <c r="OL251" s="37"/>
      <c r="OM251" s="37"/>
      <c r="ON251" s="37"/>
      <c r="OO251" s="37"/>
      <c r="OP251" s="37"/>
      <c r="OQ251" s="37"/>
      <c r="OR251" s="37"/>
      <c r="OS251" s="37"/>
      <c r="OT251" s="37"/>
      <c r="OU251" s="37"/>
      <c r="OV251" s="37"/>
      <c r="OW251" s="37"/>
      <c r="OX251" s="37"/>
      <c r="OY251" s="37"/>
      <c r="OZ251" s="37"/>
      <c r="PA251" s="37"/>
      <c r="PB251" s="37"/>
      <c r="PC251" s="37"/>
      <c r="PD251" s="37"/>
      <c r="PE251" s="37"/>
      <c r="PF251" s="37"/>
      <c r="PG251" s="37"/>
      <c r="PH251" s="37"/>
      <c r="PI251" s="37"/>
      <c r="PJ251" s="37"/>
      <c r="PK251" s="37"/>
      <c r="PL251" s="37"/>
      <c r="PM251" s="37"/>
      <c r="PN251" s="37"/>
      <c r="PO251" s="37"/>
      <c r="PP251" s="37"/>
      <c r="PQ251" s="37"/>
      <c r="PR251" s="37"/>
      <c r="PS251" s="37"/>
      <c r="PT251" s="37"/>
      <c r="PU251" s="37"/>
      <c r="PV251" s="37"/>
      <c r="PW251" s="37"/>
      <c r="PX251" s="37"/>
      <c r="PY251" s="37"/>
      <c r="PZ251" s="37"/>
      <c r="QA251" s="37"/>
      <c r="QB251" s="37"/>
      <c r="QC251" s="37"/>
      <c r="QD251" s="37"/>
      <c r="QE251" s="37"/>
      <c r="QF251" s="37"/>
      <c r="QG251" s="37"/>
      <c r="QH251" s="37"/>
      <c r="QI251" s="37"/>
      <c r="QJ251" s="37"/>
      <c r="QK251" s="37"/>
      <c r="QL251" s="37"/>
      <c r="QM251" s="37"/>
      <c r="QN251" s="37"/>
      <c r="QO251" s="37"/>
      <c r="QP251" s="37"/>
      <c r="QQ251" s="37"/>
      <c r="QR251" s="37"/>
      <c r="QS251" s="37"/>
      <c r="QT251" s="37"/>
      <c r="QU251" s="37"/>
      <c r="QV251" s="37"/>
      <c r="QW251" s="37"/>
      <c r="QX251" s="37"/>
      <c r="QY251" s="37"/>
      <c r="QZ251" s="37"/>
      <c r="RA251" s="37"/>
      <c r="RB251" s="37"/>
      <c r="RC251" s="37"/>
      <c r="RD251" s="37"/>
      <c r="RE251" s="37"/>
      <c r="RF251" s="37"/>
      <c r="RG251" s="37"/>
      <c r="RH251" s="37"/>
      <c r="RI251" s="37"/>
      <c r="RJ251" s="37"/>
      <c r="RK251" s="37"/>
      <c r="RL251" s="37"/>
      <c r="RM251" s="37"/>
      <c r="RN251" s="37"/>
      <c r="RO251" s="37"/>
      <c r="RP251" s="37"/>
      <c r="RQ251" s="37"/>
      <c r="RR251" s="37"/>
      <c r="RS251" s="37"/>
      <c r="RT251" s="37"/>
      <c r="RU251" s="37"/>
      <c r="RV251" s="37"/>
      <c r="RW251" s="37"/>
      <c r="RX251" s="37"/>
      <c r="RY251" s="37"/>
      <c r="RZ251" s="37"/>
      <c r="SA251" s="37"/>
      <c r="SB251" s="37"/>
      <c r="SC251" s="37"/>
      <c r="SD251" s="37"/>
      <c r="SE251" s="37"/>
      <c r="SF251" s="37"/>
      <c r="SG251" s="37"/>
      <c r="SH251" s="37"/>
      <c r="SI251" s="37"/>
      <c r="SJ251" s="37"/>
      <c r="SK251" s="37"/>
      <c r="SL251" s="37"/>
      <c r="SM251" s="37"/>
      <c r="SN251" s="37"/>
      <c r="SO251" s="37"/>
      <c r="SP251" s="37"/>
      <c r="SQ251" s="37"/>
      <c r="SR251" s="37"/>
      <c r="SS251" s="37"/>
      <c r="ST251" s="37"/>
      <c r="SU251" s="37"/>
      <c r="SV251" s="37"/>
      <c r="SW251" s="37"/>
      <c r="SX251" s="37"/>
      <c r="SY251" s="37"/>
      <c r="SZ251" s="37"/>
      <c r="TA251" s="37"/>
      <c r="TB251" s="37"/>
      <c r="TC251" s="37"/>
      <c r="TD251" s="37"/>
      <c r="TE251" s="37"/>
      <c r="TF251" s="37"/>
      <c r="TG251" s="37"/>
      <c r="TH251" s="37"/>
      <c r="TI251" s="37"/>
    </row>
    <row r="252" spans="1:529" s="23" customFormat="1" ht="27" customHeight="1" x14ac:dyDescent="0.25">
      <c r="A252" s="52" t="s">
        <v>234</v>
      </c>
      <c r="B252" s="45" t="str">
        <f>'дод 4'!A166</f>
        <v>7610</v>
      </c>
      <c r="C252" s="45" t="str">
        <f>'дод 4'!B166</f>
        <v>0411</v>
      </c>
      <c r="D252" s="22" t="str">
        <f>'дод 4'!C166</f>
        <v>Сприяння розвитку малого та середнього підприємництва</v>
      </c>
      <c r="E252" s="66">
        <f t="shared" si="144"/>
        <v>873000</v>
      </c>
      <c r="F252" s="66">
        <f>220000+182000-147000</f>
        <v>255000</v>
      </c>
      <c r="G252" s="66"/>
      <c r="H252" s="66"/>
      <c r="I252" s="66">
        <f>1000000-200000-182000</f>
        <v>618000</v>
      </c>
      <c r="J252" s="66">
        <f t="shared" si="146"/>
        <v>0</v>
      </c>
      <c r="K252" s="66"/>
      <c r="L252" s="66"/>
      <c r="M252" s="66"/>
      <c r="N252" s="66"/>
      <c r="O252" s="66"/>
      <c r="P252" s="66">
        <f t="shared" si="145"/>
        <v>873000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  <c r="IW252" s="26"/>
      <c r="IX252" s="26"/>
      <c r="IY252" s="26"/>
      <c r="IZ252" s="26"/>
      <c r="JA252" s="26"/>
      <c r="JB252" s="26"/>
      <c r="JC252" s="26"/>
      <c r="JD252" s="26"/>
      <c r="JE252" s="26"/>
      <c r="JF252" s="26"/>
      <c r="JG252" s="26"/>
      <c r="JH252" s="26"/>
      <c r="JI252" s="26"/>
      <c r="JJ252" s="26"/>
      <c r="JK252" s="26"/>
      <c r="JL252" s="26"/>
      <c r="JM252" s="26"/>
      <c r="JN252" s="26"/>
      <c r="JO252" s="26"/>
      <c r="JP252" s="26"/>
      <c r="JQ252" s="26"/>
      <c r="JR252" s="26"/>
      <c r="JS252" s="26"/>
      <c r="JT252" s="26"/>
      <c r="JU252" s="26"/>
      <c r="JV252" s="26"/>
      <c r="JW252" s="26"/>
      <c r="JX252" s="26"/>
      <c r="JY252" s="26"/>
      <c r="JZ252" s="26"/>
      <c r="KA252" s="26"/>
      <c r="KB252" s="26"/>
      <c r="KC252" s="26"/>
      <c r="KD252" s="26"/>
      <c r="KE252" s="26"/>
      <c r="KF252" s="26"/>
      <c r="KG252" s="26"/>
      <c r="KH252" s="26"/>
      <c r="KI252" s="26"/>
      <c r="KJ252" s="26"/>
      <c r="KK252" s="26"/>
      <c r="KL252" s="26"/>
      <c r="KM252" s="26"/>
      <c r="KN252" s="26"/>
      <c r="KO252" s="26"/>
      <c r="KP252" s="26"/>
      <c r="KQ252" s="26"/>
      <c r="KR252" s="26"/>
      <c r="KS252" s="26"/>
      <c r="KT252" s="26"/>
      <c r="KU252" s="26"/>
      <c r="KV252" s="26"/>
      <c r="KW252" s="26"/>
      <c r="KX252" s="26"/>
      <c r="KY252" s="26"/>
      <c r="KZ252" s="26"/>
      <c r="LA252" s="26"/>
      <c r="LB252" s="26"/>
      <c r="LC252" s="26"/>
      <c r="LD252" s="26"/>
      <c r="LE252" s="26"/>
      <c r="LF252" s="26"/>
      <c r="LG252" s="26"/>
      <c r="LH252" s="26"/>
      <c r="LI252" s="26"/>
      <c r="LJ252" s="26"/>
      <c r="LK252" s="26"/>
      <c r="LL252" s="26"/>
      <c r="LM252" s="26"/>
      <c r="LN252" s="26"/>
      <c r="LO252" s="26"/>
      <c r="LP252" s="26"/>
      <c r="LQ252" s="26"/>
      <c r="LR252" s="26"/>
      <c r="LS252" s="26"/>
      <c r="LT252" s="26"/>
      <c r="LU252" s="26"/>
      <c r="LV252" s="26"/>
      <c r="LW252" s="26"/>
      <c r="LX252" s="26"/>
      <c r="LY252" s="26"/>
      <c r="LZ252" s="26"/>
      <c r="MA252" s="26"/>
      <c r="MB252" s="26"/>
      <c r="MC252" s="26"/>
      <c r="MD252" s="26"/>
      <c r="ME252" s="26"/>
      <c r="MF252" s="26"/>
      <c r="MG252" s="26"/>
      <c r="MH252" s="26"/>
      <c r="MI252" s="26"/>
      <c r="MJ252" s="26"/>
      <c r="MK252" s="26"/>
      <c r="ML252" s="26"/>
      <c r="MM252" s="26"/>
      <c r="MN252" s="26"/>
      <c r="MO252" s="26"/>
      <c r="MP252" s="26"/>
      <c r="MQ252" s="26"/>
      <c r="MR252" s="26"/>
      <c r="MS252" s="26"/>
      <c r="MT252" s="26"/>
      <c r="MU252" s="26"/>
      <c r="MV252" s="26"/>
      <c r="MW252" s="26"/>
      <c r="MX252" s="26"/>
      <c r="MY252" s="26"/>
      <c r="MZ252" s="26"/>
      <c r="NA252" s="26"/>
      <c r="NB252" s="26"/>
      <c r="NC252" s="26"/>
      <c r="ND252" s="26"/>
      <c r="NE252" s="26"/>
      <c r="NF252" s="26"/>
      <c r="NG252" s="26"/>
      <c r="NH252" s="26"/>
      <c r="NI252" s="26"/>
      <c r="NJ252" s="26"/>
      <c r="NK252" s="26"/>
      <c r="NL252" s="26"/>
      <c r="NM252" s="26"/>
      <c r="NN252" s="26"/>
      <c r="NO252" s="26"/>
      <c r="NP252" s="26"/>
      <c r="NQ252" s="26"/>
      <c r="NR252" s="26"/>
      <c r="NS252" s="26"/>
      <c r="NT252" s="26"/>
      <c r="NU252" s="26"/>
      <c r="NV252" s="26"/>
      <c r="NW252" s="26"/>
      <c r="NX252" s="26"/>
      <c r="NY252" s="26"/>
      <c r="NZ252" s="26"/>
      <c r="OA252" s="26"/>
      <c r="OB252" s="26"/>
      <c r="OC252" s="26"/>
      <c r="OD252" s="26"/>
      <c r="OE252" s="26"/>
      <c r="OF252" s="26"/>
      <c r="OG252" s="26"/>
      <c r="OH252" s="26"/>
      <c r="OI252" s="26"/>
      <c r="OJ252" s="26"/>
      <c r="OK252" s="26"/>
      <c r="OL252" s="26"/>
      <c r="OM252" s="26"/>
      <c r="ON252" s="26"/>
      <c r="OO252" s="26"/>
      <c r="OP252" s="26"/>
      <c r="OQ252" s="26"/>
      <c r="OR252" s="26"/>
      <c r="OS252" s="26"/>
      <c r="OT252" s="26"/>
      <c r="OU252" s="26"/>
      <c r="OV252" s="26"/>
      <c r="OW252" s="26"/>
      <c r="OX252" s="26"/>
      <c r="OY252" s="26"/>
      <c r="OZ252" s="26"/>
      <c r="PA252" s="26"/>
      <c r="PB252" s="26"/>
      <c r="PC252" s="26"/>
      <c r="PD252" s="26"/>
      <c r="PE252" s="26"/>
      <c r="PF252" s="26"/>
      <c r="PG252" s="26"/>
      <c r="PH252" s="26"/>
      <c r="PI252" s="26"/>
      <c r="PJ252" s="26"/>
      <c r="PK252" s="26"/>
      <c r="PL252" s="26"/>
      <c r="PM252" s="26"/>
      <c r="PN252" s="26"/>
      <c r="PO252" s="26"/>
      <c r="PP252" s="26"/>
      <c r="PQ252" s="26"/>
      <c r="PR252" s="26"/>
      <c r="PS252" s="26"/>
      <c r="PT252" s="26"/>
      <c r="PU252" s="26"/>
      <c r="PV252" s="26"/>
      <c r="PW252" s="26"/>
      <c r="PX252" s="26"/>
      <c r="PY252" s="26"/>
      <c r="PZ252" s="26"/>
      <c r="QA252" s="26"/>
      <c r="QB252" s="26"/>
      <c r="QC252" s="26"/>
      <c r="QD252" s="26"/>
      <c r="QE252" s="26"/>
      <c r="QF252" s="26"/>
      <c r="QG252" s="26"/>
      <c r="QH252" s="26"/>
      <c r="QI252" s="26"/>
      <c r="QJ252" s="26"/>
      <c r="QK252" s="26"/>
      <c r="QL252" s="26"/>
      <c r="QM252" s="26"/>
      <c r="QN252" s="26"/>
      <c r="QO252" s="26"/>
      <c r="QP252" s="26"/>
      <c r="QQ252" s="26"/>
      <c r="QR252" s="26"/>
      <c r="QS252" s="26"/>
      <c r="QT252" s="26"/>
      <c r="QU252" s="26"/>
      <c r="QV252" s="26"/>
      <c r="QW252" s="26"/>
      <c r="QX252" s="26"/>
      <c r="QY252" s="26"/>
      <c r="QZ252" s="26"/>
      <c r="RA252" s="26"/>
      <c r="RB252" s="26"/>
      <c r="RC252" s="26"/>
      <c r="RD252" s="26"/>
      <c r="RE252" s="26"/>
      <c r="RF252" s="26"/>
      <c r="RG252" s="26"/>
      <c r="RH252" s="26"/>
      <c r="RI252" s="26"/>
      <c r="RJ252" s="26"/>
      <c r="RK252" s="26"/>
      <c r="RL252" s="26"/>
      <c r="RM252" s="26"/>
      <c r="RN252" s="26"/>
      <c r="RO252" s="26"/>
      <c r="RP252" s="26"/>
      <c r="RQ252" s="26"/>
      <c r="RR252" s="26"/>
      <c r="RS252" s="26"/>
      <c r="RT252" s="26"/>
      <c r="RU252" s="26"/>
      <c r="RV252" s="26"/>
      <c r="RW252" s="26"/>
      <c r="RX252" s="26"/>
      <c r="RY252" s="26"/>
      <c r="RZ252" s="26"/>
      <c r="SA252" s="26"/>
      <c r="SB252" s="26"/>
      <c r="SC252" s="26"/>
      <c r="SD252" s="26"/>
      <c r="SE252" s="26"/>
      <c r="SF252" s="26"/>
      <c r="SG252" s="26"/>
      <c r="SH252" s="26"/>
      <c r="SI252" s="26"/>
      <c r="SJ252" s="26"/>
      <c r="SK252" s="26"/>
      <c r="SL252" s="26"/>
      <c r="SM252" s="26"/>
      <c r="SN252" s="26"/>
      <c r="SO252" s="26"/>
      <c r="SP252" s="26"/>
      <c r="SQ252" s="26"/>
      <c r="SR252" s="26"/>
      <c r="SS252" s="26"/>
      <c r="ST252" s="26"/>
      <c r="SU252" s="26"/>
      <c r="SV252" s="26"/>
      <c r="SW252" s="26"/>
      <c r="SX252" s="26"/>
      <c r="SY252" s="26"/>
      <c r="SZ252" s="26"/>
      <c r="TA252" s="26"/>
      <c r="TB252" s="26"/>
      <c r="TC252" s="26"/>
      <c r="TD252" s="26"/>
      <c r="TE252" s="26"/>
      <c r="TF252" s="26"/>
      <c r="TG252" s="26"/>
      <c r="TH252" s="26"/>
      <c r="TI252" s="26"/>
    </row>
    <row r="253" spans="1:529" s="23" customFormat="1" ht="37.5" customHeight="1" x14ac:dyDescent="0.25">
      <c r="A253" s="52" t="s">
        <v>288</v>
      </c>
      <c r="B253" s="45" t="str">
        <f>'дод 4'!A169</f>
        <v>7650</v>
      </c>
      <c r="C253" s="45" t="str">
        <f>'дод 4'!B169</f>
        <v>0490</v>
      </c>
      <c r="D253" s="22" t="str">
        <f>'дод 4'!C169</f>
        <v>Проведення експертної грошової оцінки земельної ділянки чи права на неї</v>
      </c>
      <c r="E253" s="66">
        <f t="shared" si="144"/>
        <v>0</v>
      </c>
      <c r="F253" s="66"/>
      <c r="G253" s="66"/>
      <c r="H253" s="66"/>
      <c r="I253" s="66"/>
      <c r="J253" s="66">
        <f t="shared" si="146"/>
        <v>20000</v>
      </c>
      <c r="K253" s="66">
        <f>30000-10000</f>
        <v>20000</v>
      </c>
      <c r="L253" s="66"/>
      <c r="M253" s="66"/>
      <c r="N253" s="66"/>
      <c r="O253" s="66">
        <f>30000-10000</f>
        <v>20000</v>
      </c>
      <c r="P253" s="66">
        <f t="shared" si="145"/>
        <v>20000</v>
      </c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  <c r="IW253" s="26"/>
      <c r="IX253" s="26"/>
      <c r="IY253" s="26"/>
      <c r="IZ253" s="26"/>
      <c r="JA253" s="26"/>
      <c r="JB253" s="26"/>
      <c r="JC253" s="26"/>
      <c r="JD253" s="26"/>
      <c r="JE253" s="26"/>
      <c r="JF253" s="26"/>
      <c r="JG253" s="26"/>
      <c r="JH253" s="26"/>
      <c r="JI253" s="26"/>
      <c r="JJ253" s="26"/>
      <c r="JK253" s="26"/>
      <c r="JL253" s="26"/>
      <c r="JM253" s="26"/>
      <c r="JN253" s="26"/>
      <c r="JO253" s="26"/>
      <c r="JP253" s="26"/>
      <c r="JQ253" s="26"/>
      <c r="JR253" s="26"/>
      <c r="JS253" s="26"/>
      <c r="JT253" s="26"/>
      <c r="JU253" s="26"/>
      <c r="JV253" s="26"/>
      <c r="JW253" s="26"/>
      <c r="JX253" s="26"/>
      <c r="JY253" s="26"/>
      <c r="JZ253" s="26"/>
      <c r="KA253" s="26"/>
      <c r="KB253" s="26"/>
      <c r="KC253" s="26"/>
      <c r="KD253" s="26"/>
      <c r="KE253" s="26"/>
      <c r="KF253" s="26"/>
      <c r="KG253" s="26"/>
      <c r="KH253" s="26"/>
      <c r="KI253" s="26"/>
      <c r="KJ253" s="26"/>
      <c r="KK253" s="26"/>
      <c r="KL253" s="26"/>
      <c r="KM253" s="26"/>
      <c r="KN253" s="26"/>
      <c r="KO253" s="26"/>
      <c r="KP253" s="26"/>
      <c r="KQ253" s="26"/>
      <c r="KR253" s="26"/>
      <c r="KS253" s="26"/>
      <c r="KT253" s="26"/>
      <c r="KU253" s="26"/>
      <c r="KV253" s="26"/>
      <c r="KW253" s="26"/>
      <c r="KX253" s="26"/>
      <c r="KY253" s="26"/>
      <c r="KZ253" s="26"/>
      <c r="LA253" s="26"/>
      <c r="LB253" s="26"/>
      <c r="LC253" s="26"/>
      <c r="LD253" s="26"/>
      <c r="LE253" s="26"/>
      <c r="LF253" s="26"/>
      <c r="LG253" s="26"/>
      <c r="LH253" s="26"/>
      <c r="LI253" s="26"/>
      <c r="LJ253" s="26"/>
      <c r="LK253" s="26"/>
      <c r="LL253" s="26"/>
      <c r="LM253" s="26"/>
      <c r="LN253" s="26"/>
      <c r="LO253" s="26"/>
      <c r="LP253" s="26"/>
      <c r="LQ253" s="26"/>
      <c r="LR253" s="26"/>
      <c r="LS253" s="26"/>
      <c r="LT253" s="26"/>
      <c r="LU253" s="26"/>
      <c r="LV253" s="26"/>
      <c r="LW253" s="26"/>
      <c r="LX253" s="26"/>
      <c r="LY253" s="26"/>
      <c r="LZ253" s="26"/>
      <c r="MA253" s="26"/>
      <c r="MB253" s="26"/>
      <c r="MC253" s="26"/>
      <c r="MD253" s="26"/>
      <c r="ME253" s="26"/>
      <c r="MF253" s="26"/>
      <c r="MG253" s="26"/>
      <c r="MH253" s="26"/>
      <c r="MI253" s="26"/>
      <c r="MJ253" s="26"/>
      <c r="MK253" s="26"/>
      <c r="ML253" s="26"/>
      <c r="MM253" s="26"/>
      <c r="MN253" s="26"/>
      <c r="MO253" s="26"/>
      <c r="MP253" s="26"/>
      <c r="MQ253" s="26"/>
      <c r="MR253" s="26"/>
      <c r="MS253" s="26"/>
      <c r="MT253" s="26"/>
      <c r="MU253" s="26"/>
      <c r="MV253" s="26"/>
      <c r="MW253" s="26"/>
      <c r="MX253" s="26"/>
      <c r="MY253" s="26"/>
      <c r="MZ253" s="26"/>
      <c r="NA253" s="26"/>
      <c r="NB253" s="26"/>
      <c r="NC253" s="26"/>
      <c r="ND253" s="26"/>
      <c r="NE253" s="26"/>
      <c r="NF253" s="26"/>
      <c r="NG253" s="26"/>
      <c r="NH253" s="26"/>
      <c r="NI253" s="26"/>
      <c r="NJ253" s="26"/>
      <c r="NK253" s="26"/>
      <c r="NL253" s="26"/>
      <c r="NM253" s="26"/>
      <c r="NN253" s="26"/>
      <c r="NO253" s="26"/>
      <c r="NP253" s="26"/>
      <c r="NQ253" s="26"/>
      <c r="NR253" s="26"/>
      <c r="NS253" s="26"/>
      <c r="NT253" s="26"/>
      <c r="NU253" s="26"/>
      <c r="NV253" s="26"/>
      <c r="NW253" s="26"/>
      <c r="NX253" s="26"/>
      <c r="NY253" s="26"/>
      <c r="NZ253" s="26"/>
      <c r="OA253" s="26"/>
      <c r="OB253" s="26"/>
      <c r="OC253" s="26"/>
      <c r="OD253" s="26"/>
      <c r="OE253" s="26"/>
      <c r="OF253" s="26"/>
      <c r="OG253" s="26"/>
      <c r="OH253" s="26"/>
      <c r="OI253" s="26"/>
      <c r="OJ253" s="26"/>
      <c r="OK253" s="26"/>
      <c r="OL253" s="26"/>
      <c r="OM253" s="26"/>
      <c r="ON253" s="26"/>
      <c r="OO253" s="26"/>
      <c r="OP253" s="26"/>
      <c r="OQ253" s="26"/>
      <c r="OR253" s="26"/>
      <c r="OS253" s="26"/>
      <c r="OT253" s="26"/>
      <c r="OU253" s="26"/>
      <c r="OV253" s="26"/>
      <c r="OW253" s="26"/>
      <c r="OX253" s="26"/>
      <c r="OY253" s="26"/>
      <c r="OZ253" s="26"/>
      <c r="PA253" s="26"/>
      <c r="PB253" s="26"/>
      <c r="PC253" s="26"/>
      <c r="PD253" s="26"/>
      <c r="PE253" s="26"/>
      <c r="PF253" s="26"/>
      <c r="PG253" s="26"/>
      <c r="PH253" s="26"/>
      <c r="PI253" s="26"/>
      <c r="PJ253" s="26"/>
      <c r="PK253" s="26"/>
      <c r="PL253" s="26"/>
      <c r="PM253" s="26"/>
      <c r="PN253" s="26"/>
      <c r="PO253" s="26"/>
      <c r="PP253" s="26"/>
      <c r="PQ253" s="26"/>
      <c r="PR253" s="26"/>
      <c r="PS253" s="26"/>
      <c r="PT253" s="26"/>
      <c r="PU253" s="26"/>
      <c r="PV253" s="26"/>
      <c r="PW253" s="26"/>
      <c r="PX253" s="26"/>
      <c r="PY253" s="26"/>
      <c r="PZ253" s="26"/>
      <c r="QA253" s="26"/>
      <c r="QB253" s="26"/>
      <c r="QC253" s="26"/>
      <c r="QD253" s="26"/>
      <c r="QE253" s="26"/>
      <c r="QF253" s="26"/>
      <c r="QG253" s="26"/>
      <c r="QH253" s="26"/>
      <c r="QI253" s="26"/>
      <c r="QJ253" s="26"/>
      <c r="QK253" s="26"/>
      <c r="QL253" s="26"/>
      <c r="QM253" s="26"/>
      <c r="QN253" s="26"/>
      <c r="QO253" s="26"/>
      <c r="QP253" s="26"/>
      <c r="QQ253" s="26"/>
      <c r="QR253" s="26"/>
      <c r="QS253" s="26"/>
      <c r="QT253" s="26"/>
      <c r="QU253" s="26"/>
      <c r="QV253" s="26"/>
      <c r="QW253" s="26"/>
      <c r="QX253" s="26"/>
      <c r="QY253" s="26"/>
      <c r="QZ253" s="26"/>
      <c r="RA253" s="26"/>
      <c r="RB253" s="26"/>
      <c r="RC253" s="26"/>
      <c r="RD253" s="26"/>
      <c r="RE253" s="26"/>
      <c r="RF253" s="26"/>
      <c r="RG253" s="26"/>
      <c r="RH253" s="26"/>
      <c r="RI253" s="26"/>
      <c r="RJ253" s="26"/>
      <c r="RK253" s="26"/>
      <c r="RL253" s="26"/>
      <c r="RM253" s="26"/>
      <c r="RN253" s="26"/>
      <c r="RO253" s="26"/>
      <c r="RP253" s="26"/>
      <c r="RQ253" s="26"/>
      <c r="RR253" s="26"/>
      <c r="RS253" s="26"/>
      <c r="RT253" s="26"/>
      <c r="RU253" s="26"/>
      <c r="RV253" s="26"/>
      <c r="RW253" s="26"/>
      <c r="RX253" s="26"/>
      <c r="RY253" s="26"/>
      <c r="RZ253" s="26"/>
      <c r="SA253" s="26"/>
      <c r="SB253" s="26"/>
      <c r="SC253" s="26"/>
      <c r="SD253" s="26"/>
      <c r="SE253" s="26"/>
      <c r="SF253" s="26"/>
      <c r="SG253" s="26"/>
      <c r="SH253" s="26"/>
      <c r="SI253" s="26"/>
      <c r="SJ253" s="26"/>
      <c r="SK253" s="26"/>
      <c r="SL253" s="26"/>
      <c r="SM253" s="26"/>
      <c r="SN253" s="26"/>
      <c r="SO253" s="26"/>
      <c r="SP253" s="26"/>
      <c r="SQ253" s="26"/>
      <c r="SR253" s="26"/>
      <c r="SS253" s="26"/>
      <c r="ST253" s="26"/>
      <c r="SU253" s="26"/>
      <c r="SV253" s="26"/>
      <c r="SW253" s="26"/>
      <c r="SX253" s="26"/>
      <c r="SY253" s="26"/>
      <c r="SZ253" s="26"/>
      <c r="TA253" s="26"/>
      <c r="TB253" s="26"/>
      <c r="TC253" s="26"/>
      <c r="TD253" s="26"/>
      <c r="TE253" s="26"/>
      <c r="TF253" s="26"/>
      <c r="TG253" s="26"/>
      <c r="TH253" s="26"/>
      <c r="TI253" s="26"/>
    </row>
    <row r="254" spans="1:529" s="23" customFormat="1" ht="51.75" customHeight="1" x14ac:dyDescent="0.25">
      <c r="A254" s="52" t="s">
        <v>290</v>
      </c>
      <c r="B254" s="45" t="str">
        <f>'дод 4'!A170</f>
        <v>7660</v>
      </c>
      <c r="C254" s="45" t="str">
        <f>'дод 4'!B170</f>
        <v>0490</v>
      </c>
      <c r="D254" s="22" t="str">
        <f>'дод 4'!C170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4" s="66">
        <f t="shared" si="144"/>
        <v>0</v>
      </c>
      <c r="F254" s="66"/>
      <c r="G254" s="66"/>
      <c r="H254" s="66"/>
      <c r="I254" s="66"/>
      <c r="J254" s="66">
        <f t="shared" si="146"/>
        <v>90000</v>
      </c>
      <c r="K254" s="66">
        <f>45000+45000</f>
        <v>90000</v>
      </c>
      <c r="L254" s="66"/>
      <c r="M254" s="66"/>
      <c r="N254" s="66"/>
      <c r="O254" s="66">
        <f>45000+45000</f>
        <v>90000</v>
      </c>
      <c r="P254" s="66">
        <f t="shared" si="145"/>
        <v>90000</v>
      </c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  <c r="IW254" s="26"/>
      <c r="IX254" s="26"/>
      <c r="IY254" s="26"/>
      <c r="IZ254" s="26"/>
      <c r="JA254" s="26"/>
      <c r="JB254" s="26"/>
      <c r="JC254" s="26"/>
      <c r="JD254" s="26"/>
      <c r="JE254" s="26"/>
      <c r="JF254" s="26"/>
      <c r="JG254" s="26"/>
      <c r="JH254" s="26"/>
      <c r="JI254" s="26"/>
      <c r="JJ254" s="26"/>
      <c r="JK254" s="26"/>
      <c r="JL254" s="26"/>
      <c r="JM254" s="26"/>
      <c r="JN254" s="26"/>
      <c r="JO254" s="26"/>
      <c r="JP254" s="26"/>
      <c r="JQ254" s="26"/>
      <c r="JR254" s="26"/>
      <c r="JS254" s="26"/>
      <c r="JT254" s="26"/>
      <c r="JU254" s="26"/>
      <c r="JV254" s="26"/>
      <c r="JW254" s="26"/>
      <c r="JX254" s="26"/>
      <c r="JY254" s="26"/>
      <c r="JZ254" s="26"/>
      <c r="KA254" s="26"/>
      <c r="KB254" s="26"/>
      <c r="KC254" s="26"/>
      <c r="KD254" s="26"/>
      <c r="KE254" s="26"/>
      <c r="KF254" s="26"/>
      <c r="KG254" s="26"/>
      <c r="KH254" s="26"/>
      <c r="KI254" s="26"/>
      <c r="KJ254" s="26"/>
      <c r="KK254" s="26"/>
      <c r="KL254" s="26"/>
      <c r="KM254" s="26"/>
      <c r="KN254" s="26"/>
      <c r="KO254" s="26"/>
      <c r="KP254" s="26"/>
      <c r="KQ254" s="26"/>
      <c r="KR254" s="26"/>
      <c r="KS254" s="26"/>
      <c r="KT254" s="26"/>
      <c r="KU254" s="26"/>
      <c r="KV254" s="26"/>
      <c r="KW254" s="26"/>
      <c r="KX254" s="26"/>
      <c r="KY254" s="26"/>
      <c r="KZ254" s="26"/>
      <c r="LA254" s="26"/>
      <c r="LB254" s="26"/>
      <c r="LC254" s="26"/>
      <c r="LD254" s="26"/>
      <c r="LE254" s="26"/>
      <c r="LF254" s="26"/>
      <c r="LG254" s="26"/>
      <c r="LH254" s="26"/>
      <c r="LI254" s="26"/>
      <c r="LJ254" s="26"/>
      <c r="LK254" s="26"/>
      <c r="LL254" s="26"/>
      <c r="LM254" s="26"/>
      <c r="LN254" s="26"/>
      <c r="LO254" s="26"/>
      <c r="LP254" s="26"/>
      <c r="LQ254" s="26"/>
      <c r="LR254" s="26"/>
      <c r="LS254" s="26"/>
      <c r="LT254" s="26"/>
      <c r="LU254" s="26"/>
      <c r="LV254" s="26"/>
      <c r="LW254" s="26"/>
      <c r="LX254" s="26"/>
      <c r="LY254" s="26"/>
      <c r="LZ254" s="26"/>
      <c r="MA254" s="26"/>
      <c r="MB254" s="26"/>
      <c r="MC254" s="26"/>
      <c r="MD254" s="26"/>
      <c r="ME254" s="26"/>
      <c r="MF254" s="26"/>
      <c r="MG254" s="26"/>
      <c r="MH254" s="26"/>
      <c r="MI254" s="26"/>
      <c r="MJ254" s="26"/>
      <c r="MK254" s="26"/>
      <c r="ML254" s="26"/>
      <c r="MM254" s="26"/>
      <c r="MN254" s="26"/>
      <c r="MO254" s="26"/>
      <c r="MP254" s="26"/>
      <c r="MQ254" s="26"/>
      <c r="MR254" s="26"/>
      <c r="MS254" s="26"/>
      <c r="MT254" s="26"/>
      <c r="MU254" s="26"/>
      <c r="MV254" s="26"/>
      <c r="MW254" s="26"/>
      <c r="MX254" s="26"/>
      <c r="MY254" s="26"/>
      <c r="MZ254" s="26"/>
      <c r="NA254" s="26"/>
      <c r="NB254" s="26"/>
      <c r="NC254" s="26"/>
      <c r="ND254" s="26"/>
      <c r="NE254" s="26"/>
      <c r="NF254" s="26"/>
      <c r="NG254" s="26"/>
      <c r="NH254" s="26"/>
      <c r="NI254" s="26"/>
      <c r="NJ254" s="26"/>
      <c r="NK254" s="26"/>
      <c r="NL254" s="26"/>
      <c r="NM254" s="26"/>
      <c r="NN254" s="26"/>
      <c r="NO254" s="26"/>
      <c r="NP254" s="26"/>
      <c r="NQ254" s="26"/>
      <c r="NR254" s="26"/>
      <c r="NS254" s="26"/>
      <c r="NT254" s="26"/>
      <c r="NU254" s="26"/>
      <c r="NV254" s="26"/>
      <c r="NW254" s="26"/>
      <c r="NX254" s="26"/>
      <c r="NY254" s="26"/>
      <c r="NZ254" s="26"/>
      <c r="OA254" s="26"/>
      <c r="OB254" s="26"/>
      <c r="OC254" s="26"/>
      <c r="OD254" s="26"/>
      <c r="OE254" s="26"/>
      <c r="OF254" s="26"/>
      <c r="OG254" s="26"/>
      <c r="OH254" s="26"/>
      <c r="OI254" s="26"/>
      <c r="OJ254" s="26"/>
      <c r="OK254" s="26"/>
      <c r="OL254" s="26"/>
      <c r="OM254" s="26"/>
      <c r="ON254" s="26"/>
      <c r="OO254" s="26"/>
      <c r="OP254" s="26"/>
      <c r="OQ254" s="26"/>
      <c r="OR254" s="26"/>
      <c r="OS254" s="26"/>
      <c r="OT254" s="26"/>
      <c r="OU254" s="26"/>
      <c r="OV254" s="26"/>
      <c r="OW254" s="26"/>
      <c r="OX254" s="26"/>
      <c r="OY254" s="26"/>
      <c r="OZ254" s="26"/>
      <c r="PA254" s="26"/>
      <c r="PB254" s="26"/>
      <c r="PC254" s="26"/>
      <c r="PD254" s="26"/>
      <c r="PE254" s="26"/>
      <c r="PF254" s="26"/>
      <c r="PG254" s="26"/>
      <c r="PH254" s="26"/>
      <c r="PI254" s="26"/>
      <c r="PJ254" s="26"/>
      <c r="PK254" s="26"/>
      <c r="PL254" s="26"/>
      <c r="PM254" s="26"/>
      <c r="PN254" s="26"/>
      <c r="PO254" s="26"/>
      <c r="PP254" s="26"/>
      <c r="PQ254" s="26"/>
      <c r="PR254" s="26"/>
      <c r="PS254" s="26"/>
      <c r="PT254" s="26"/>
      <c r="PU254" s="26"/>
      <c r="PV254" s="26"/>
      <c r="PW254" s="26"/>
      <c r="PX254" s="26"/>
      <c r="PY254" s="26"/>
      <c r="PZ254" s="26"/>
      <c r="QA254" s="26"/>
      <c r="QB254" s="26"/>
      <c r="QC254" s="26"/>
      <c r="QD254" s="26"/>
      <c r="QE254" s="26"/>
      <c r="QF254" s="26"/>
      <c r="QG254" s="26"/>
      <c r="QH254" s="26"/>
      <c r="QI254" s="26"/>
      <c r="QJ254" s="26"/>
      <c r="QK254" s="26"/>
      <c r="QL254" s="26"/>
      <c r="QM254" s="26"/>
      <c r="QN254" s="26"/>
      <c r="QO254" s="26"/>
      <c r="QP254" s="26"/>
      <c r="QQ254" s="26"/>
      <c r="QR254" s="26"/>
      <c r="QS254" s="26"/>
      <c r="QT254" s="26"/>
      <c r="QU254" s="26"/>
      <c r="QV254" s="26"/>
      <c r="QW254" s="26"/>
      <c r="QX254" s="26"/>
      <c r="QY254" s="26"/>
      <c r="QZ254" s="26"/>
      <c r="RA254" s="26"/>
      <c r="RB254" s="26"/>
      <c r="RC254" s="26"/>
      <c r="RD254" s="26"/>
      <c r="RE254" s="26"/>
      <c r="RF254" s="26"/>
      <c r="RG254" s="26"/>
      <c r="RH254" s="26"/>
      <c r="RI254" s="26"/>
      <c r="RJ254" s="26"/>
      <c r="RK254" s="26"/>
      <c r="RL254" s="26"/>
      <c r="RM254" s="26"/>
      <c r="RN254" s="26"/>
      <c r="RO254" s="26"/>
      <c r="RP254" s="26"/>
      <c r="RQ254" s="26"/>
      <c r="RR254" s="26"/>
      <c r="RS254" s="26"/>
      <c r="RT254" s="26"/>
      <c r="RU254" s="26"/>
      <c r="RV254" s="26"/>
      <c r="RW254" s="26"/>
      <c r="RX254" s="26"/>
      <c r="RY254" s="26"/>
      <c r="RZ254" s="26"/>
      <c r="SA254" s="26"/>
      <c r="SB254" s="26"/>
      <c r="SC254" s="26"/>
      <c r="SD254" s="26"/>
      <c r="SE254" s="26"/>
      <c r="SF254" s="26"/>
      <c r="SG254" s="26"/>
      <c r="SH254" s="26"/>
      <c r="SI254" s="26"/>
      <c r="SJ254" s="26"/>
      <c r="SK254" s="26"/>
      <c r="SL254" s="26"/>
      <c r="SM254" s="26"/>
      <c r="SN254" s="26"/>
      <c r="SO254" s="26"/>
      <c r="SP254" s="26"/>
      <c r="SQ254" s="26"/>
      <c r="SR254" s="26"/>
      <c r="SS254" s="26"/>
      <c r="ST254" s="26"/>
      <c r="SU254" s="26"/>
      <c r="SV254" s="26"/>
      <c r="SW254" s="26"/>
      <c r="SX254" s="26"/>
      <c r="SY254" s="26"/>
      <c r="SZ254" s="26"/>
      <c r="TA254" s="26"/>
      <c r="TB254" s="26"/>
      <c r="TC254" s="26"/>
      <c r="TD254" s="26"/>
      <c r="TE254" s="26"/>
      <c r="TF254" s="26"/>
      <c r="TG254" s="26"/>
      <c r="TH254" s="26"/>
      <c r="TI254" s="26"/>
    </row>
    <row r="255" spans="1:529" s="23" customFormat="1" ht="23.25" customHeight="1" x14ac:dyDescent="0.25">
      <c r="A255" s="52" t="s">
        <v>286</v>
      </c>
      <c r="B255" s="45" t="str">
        <f>'дод 4'!A174</f>
        <v>7693</v>
      </c>
      <c r="C255" s="45" t="str">
        <f>'дод 4'!B174</f>
        <v>0490</v>
      </c>
      <c r="D255" s="22" t="str">
        <f>'дод 4'!C174</f>
        <v>Інші заходи, пов'язані з економічною діяльністю</v>
      </c>
      <c r="E255" s="66">
        <f t="shared" si="144"/>
        <v>837000</v>
      </c>
      <c r="F255" s="66">
        <f>490000+200000+147000</f>
        <v>837000</v>
      </c>
      <c r="G255" s="66"/>
      <c r="H255" s="66"/>
      <c r="I255" s="66"/>
      <c r="J255" s="66">
        <f t="shared" si="146"/>
        <v>0</v>
      </c>
      <c r="K255" s="66"/>
      <c r="L255" s="66"/>
      <c r="M255" s="66"/>
      <c r="N255" s="66"/>
      <c r="O255" s="66"/>
      <c r="P255" s="66">
        <f t="shared" si="145"/>
        <v>837000</v>
      </c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  <c r="IW255" s="26"/>
      <c r="IX255" s="26"/>
      <c r="IY255" s="26"/>
      <c r="IZ255" s="26"/>
      <c r="JA255" s="26"/>
      <c r="JB255" s="26"/>
      <c r="JC255" s="26"/>
      <c r="JD255" s="26"/>
      <c r="JE255" s="26"/>
      <c r="JF255" s="26"/>
      <c r="JG255" s="26"/>
      <c r="JH255" s="26"/>
      <c r="JI255" s="26"/>
      <c r="JJ255" s="26"/>
      <c r="JK255" s="26"/>
      <c r="JL255" s="26"/>
      <c r="JM255" s="26"/>
      <c r="JN255" s="26"/>
      <c r="JO255" s="26"/>
      <c r="JP255" s="26"/>
      <c r="JQ255" s="26"/>
      <c r="JR255" s="26"/>
      <c r="JS255" s="26"/>
      <c r="JT255" s="26"/>
      <c r="JU255" s="26"/>
      <c r="JV255" s="26"/>
      <c r="JW255" s="26"/>
      <c r="JX255" s="26"/>
      <c r="JY255" s="26"/>
      <c r="JZ255" s="26"/>
      <c r="KA255" s="26"/>
      <c r="KB255" s="26"/>
      <c r="KC255" s="26"/>
      <c r="KD255" s="26"/>
      <c r="KE255" s="26"/>
      <c r="KF255" s="26"/>
      <c r="KG255" s="26"/>
      <c r="KH255" s="26"/>
      <c r="KI255" s="26"/>
      <c r="KJ255" s="26"/>
      <c r="KK255" s="26"/>
      <c r="KL255" s="26"/>
      <c r="KM255" s="26"/>
      <c r="KN255" s="26"/>
      <c r="KO255" s="26"/>
      <c r="KP255" s="26"/>
      <c r="KQ255" s="26"/>
      <c r="KR255" s="26"/>
      <c r="KS255" s="26"/>
      <c r="KT255" s="26"/>
      <c r="KU255" s="26"/>
      <c r="KV255" s="26"/>
      <c r="KW255" s="26"/>
      <c r="KX255" s="26"/>
      <c r="KY255" s="26"/>
      <c r="KZ255" s="26"/>
      <c r="LA255" s="26"/>
      <c r="LB255" s="26"/>
      <c r="LC255" s="26"/>
      <c r="LD255" s="26"/>
      <c r="LE255" s="26"/>
      <c r="LF255" s="26"/>
      <c r="LG255" s="26"/>
      <c r="LH255" s="26"/>
      <c r="LI255" s="26"/>
      <c r="LJ255" s="26"/>
      <c r="LK255" s="26"/>
      <c r="LL255" s="26"/>
      <c r="LM255" s="26"/>
      <c r="LN255" s="26"/>
      <c r="LO255" s="26"/>
      <c r="LP255" s="26"/>
      <c r="LQ255" s="26"/>
      <c r="LR255" s="26"/>
      <c r="LS255" s="26"/>
      <c r="LT255" s="26"/>
      <c r="LU255" s="26"/>
      <c r="LV255" s="26"/>
      <c r="LW255" s="26"/>
      <c r="LX255" s="26"/>
      <c r="LY255" s="26"/>
      <c r="LZ255" s="26"/>
      <c r="MA255" s="26"/>
      <c r="MB255" s="26"/>
      <c r="MC255" s="26"/>
      <c r="MD255" s="26"/>
      <c r="ME255" s="26"/>
      <c r="MF255" s="26"/>
      <c r="MG255" s="26"/>
      <c r="MH255" s="26"/>
      <c r="MI255" s="26"/>
      <c r="MJ255" s="26"/>
      <c r="MK255" s="26"/>
      <c r="ML255" s="26"/>
      <c r="MM255" s="26"/>
      <c r="MN255" s="26"/>
      <c r="MO255" s="26"/>
      <c r="MP255" s="26"/>
      <c r="MQ255" s="26"/>
      <c r="MR255" s="26"/>
      <c r="MS255" s="26"/>
      <c r="MT255" s="26"/>
      <c r="MU255" s="26"/>
      <c r="MV255" s="26"/>
      <c r="MW255" s="26"/>
      <c r="MX255" s="26"/>
      <c r="MY255" s="26"/>
      <c r="MZ255" s="26"/>
      <c r="NA255" s="26"/>
      <c r="NB255" s="26"/>
      <c r="NC255" s="26"/>
      <c r="ND255" s="26"/>
      <c r="NE255" s="26"/>
      <c r="NF255" s="26"/>
      <c r="NG255" s="26"/>
      <c r="NH255" s="26"/>
      <c r="NI255" s="26"/>
      <c r="NJ255" s="26"/>
      <c r="NK255" s="26"/>
      <c r="NL255" s="26"/>
      <c r="NM255" s="26"/>
      <c r="NN255" s="26"/>
      <c r="NO255" s="26"/>
      <c r="NP255" s="26"/>
      <c r="NQ255" s="26"/>
      <c r="NR255" s="26"/>
      <c r="NS255" s="26"/>
      <c r="NT255" s="26"/>
      <c r="NU255" s="26"/>
      <c r="NV255" s="26"/>
      <c r="NW255" s="26"/>
      <c r="NX255" s="26"/>
      <c r="NY255" s="26"/>
      <c r="NZ255" s="26"/>
      <c r="OA255" s="26"/>
      <c r="OB255" s="26"/>
      <c r="OC255" s="26"/>
      <c r="OD255" s="26"/>
      <c r="OE255" s="26"/>
      <c r="OF255" s="26"/>
      <c r="OG255" s="26"/>
      <c r="OH255" s="26"/>
      <c r="OI255" s="26"/>
      <c r="OJ255" s="26"/>
      <c r="OK255" s="26"/>
      <c r="OL255" s="26"/>
      <c r="OM255" s="26"/>
      <c r="ON255" s="26"/>
      <c r="OO255" s="26"/>
      <c r="OP255" s="26"/>
      <c r="OQ255" s="26"/>
      <c r="OR255" s="26"/>
      <c r="OS255" s="26"/>
      <c r="OT255" s="26"/>
      <c r="OU255" s="26"/>
      <c r="OV255" s="26"/>
      <c r="OW255" s="26"/>
      <c r="OX255" s="26"/>
      <c r="OY255" s="26"/>
      <c r="OZ255" s="26"/>
      <c r="PA255" s="26"/>
      <c r="PB255" s="26"/>
      <c r="PC255" s="26"/>
      <c r="PD255" s="26"/>
      <c r="PE255" s="26"/>
      <c r="PF255" s="26"/>
      <c r="PG255" s="26"/>
      <c r="PH255" s="26"/>
      <c r="PI255" s="26"/>
      <c r="PJ255" s="26"/>
      <c r="PK255" s="26"/>
      <c r="PL255" s="26"/>
      <c r="PM255" s="26"/>
      <c r="PN255" s="26"/>
      <c r="PO255" s="26"/>
      <c r="PP255" s="26"/>
      <c r="PQ255" s="26"/>
      <c r="PR255" s="26"/>
      <c r="PS255" s="26"/>
      <c r="PT255" s="26"/>
      <c r="PU255" s="26"/>
      <c r="PV255" s="26"/>
      <c r="PW255" s="26"/>
      <c r="PX255" s="26"/>
      <c r="PY255" s="26"/>
      <c r="PZ255" s="26"/>
      <c r="QA255" s="26"/>
      <c r="QB255" s="26"/>
      <c r="QC255" s="26"/>
      <c r="QD255" s="26"/>
      <c r="QE255" s="26"/>
      <c r="QF255" s="26"/>
      <c r="QG255" s="26"/>
      <c r="QH255" s="26"/>
      <c r="QI255" s="26"/>
      <c r="QJ255" s="26"/>
      <c r="QK255" s="26"/>
      <c r="QL255" s="26"/>
      <c r="QM255" s="26"/>
      <c r="QN255" s="26"/>
      <c r="QO255" s="26"/>
      <c r="QP255" s="26"/>
      <c r="QQ255" s="26"/>
      <c r="QR255" s="26"/>
      <c r="QS255" s="26"/>
      <c r="QT255" s="26"/>
      <c r="QU255" s="26"/>
      <c r="QV255" s="26"/>
      <c r="QW255" s="26"/>
      <c r="QX255" s="26"/>
      <c r="QY255" s="26"/>
      <c r="QZ255" s="26"/>
      <c r="RA255" s="26"/>
      <c r="RB255" s="26"/>
      <c r="RC255" s="26"/>
      <c r="RD255" s="26"/>
      <c r="RE255" s="26"/>
      <c r="RF255" s="26"/>
      <c r="RG255" s="26"/>
      <c r="RH255" s="26"/>
      <c r="RI255" s="26"/>
      <c r="RJ255" s="26"/>
      <c r="RK255" s="26"/>
      <c r="RL255" s="26"/>
      <c r="RM255" s="26"/>
      <c r="RN255" s="26"/>
      <c r="RO255" s="26"/>
      <c r="RP255" s="26"/>
      <c r="RQ255" s="26"/>
      <c r="RR255" s="26"/>
      <c r="RS255" s="26"/>
      <c r="RT255" s="26"/>
      <c r="RU255" s="26"/>
      <c r="RV255" s="26"/>
      <c r="RW255" s="26"/>
      <c r="RX255" s="26"/>
      <c r="RY255" s="26"/>
      <c r="RZ255" s="26"/>
      <c r="SA255" s="26"/>
      <c r="SB255" s="26"/>
      <c r="SC255" s="26"/>
      <c r="SD255" s="26"/>
      <c r="SE255" s="26"/>
      <c r="SF255" s="26"/>
      <c r="SG255" s="26"/>
      <c r="SH255" s="26"/>
      <c r="SI255" s="26"/>
      <c r="SJ255" s="26"/>
      <c r="SK255" s="26"/>
      <c r="SL255" s="26"/>
      <c r="SM255" s="26"/>
      <c r="SN255" s="26"/>
      <c r="SO255" s="26"/>
      <c r="SP255" s="26"/>
      <c r="SQ255" s="26"/>
      <c r="SR255" s="26"/>
      <c r="SS255" s="26"/>
      <c r="ST255" s="26"/>
      <c r="SU255" s="26"/>
      <c r="SV255" s="26"/>
      <c r="SW255" s="26"/>
      <c r="SX255" s="26"/>
      <c r="SY255" s="26"/>
      <c r="SZ255" s="26"/>
      <c r="TA255" s="26"/>
      <c r="TB255" s="26"/>
      <c r="TC255" s="26"/>
      <c r="TD255" s="26"/>
      <c r="TE255" s="26"/>
      <c r="TF255" s="26"/>
      <c r="TG255" s="26"/>
      <c r="TH255" s="26"/>
      <c r="TI255" s="26"/>
    </row>
    <row r="256" spans="1:529" s="23" customFormat="1" ht="29.25" customHeight="1" x14ac:dyDescent="0.2">
      <c r="A256" s="80" t="s">
        <v>517</v>
      </c>
      <c r="B256" s="69"/>
      <c r="C256" s="69"/>
      <c r="D256" s="30" t="s">
        <v>518</v>
      </c>
      <c r="E256" s="63">
        <f>E257</f>
        <v>3358</v>
      </c>
      <c r="F256" s="63">
        <f t="shared" ref="F256:P256" si="147">F257</f>
        <v>3358</v>
      </c>
      <c r="G256" s="63">
        <f t="shared" si="147"/>
        <v>0</v>
      </c>
      <c r="H256" s="63">
        <f t="shared" si="147"/>
        <v>0</v>
      </c>
      <c r="I256" s="63">
        <f t="shared" si="147"/>
        <v>0</v>
      </c>
      <c r="J256" s="63">
        <f t="shared" si="147"/>
        <v>0</v>
      </c>
      <c r="K256" s="63">
        <f t="shared" si="147"/>
        <v>0</v>
      </c>
      <c r="L256" s="63">
        <f t="shared" si="147"/>
        <v>0</v>
      </c>
      <c r="M256" s="63">
        <f t="shared" si="147"/>
        <v>0</v>
      </c>
      <c r="N256" s="63">
        <f t="shared" si="147"/>
        <v>0</v>
      </c>
      <c r="O256" s="63">
        <f t="shared" si="147"/>
        <v>0</v>
      </c>
      <c r="P256" s="63">
        <f t="shared" si="147"/>
        <v>3358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  <c r="IW256" s="26"/>
      <c r="IX256" s="26"/>
      <c r="IY256" s="26"/>
      <c r="IZ256" s="26"/>
      <c r="JA256" s="26"/>
      <c r="JB256" s="26"/>
      <c r="JC256" s="26"/>
      <c r="JD256" s="26"/>
      <c r="JE256" s="26"/>
      <c r="JF256" s="26"/>
      <c r="JG256" s="26"/>
      <c r="JH256" s="26"/>
      <c r="JI256" s="26"/>
      <c r="JJ256" s="26"/>
      <c r="JK256" s="26"/>
      <c r="JL256" s="26"/>
      <c r="JM256" s="26"/>
      <c r="JN256" s="26"/>
      <c r="JO256" s="26"/>
      <c r="JP256" s="26"/>
      <c r="JQ256" s="26"/>
      <c r="JR256" s="26"/>
      <c r="JS256" s="26"/>
      <c r="JT256" s="26"/>
      <c r="JU256" s="26"/>
      <c r="JV256" s="26"/>
      <c r="JW256" s="26"/>
      <c r="JX256" s="26"/>
      <c r="JY256" s="26"/>
      <c r="JZ256" s="26"/>
      <c r="KA256" s="26"/>
      <c r="KB256" s="26"/>
      <c r="KC256" s="26"/>
      <c r="KD256" s="26"/>
      <c r="KE256" s="26"/>
      <c r="KF256" s="26"/>
      <c r="KG256" s="26"/>
      <c r="KH256" s="26"/>
      <c r="KI256" s="26"/>
      <c r="KJ256" s="26"/>
      <c r="KK256" s="26"/>
      <c r="KL256" s="26"/>
      <c r="KM256" s="26"/>
      <c r="KN256" s="26"/>
      <c r="KO256" s="26"/>
      <c r="KP256" s="26"/>
      <c r="KQ256" s="26"/>
      <c r="KR256" s="26"/>
      <c r="KS256" s="26"/>
      <c r="KT256" s="26"/>
      <c r="KU256" s="26"/>
      <c r="KV256" s="26"/>
      <c r="KW256" s="26"/>
      <c r="KX256" s="26"/>
      <c r="KY256" s="26"/>
      <c r="KZ256" s="26"/>
      <c r="LA256" s="26"/>
      <c r="LB256" s="26"/>
      <c r="LC256" s="26"/>
      <c r="LD256" s="26"/>
      <c r="LE256" s="26"/>
      <c r="LF256" s="26"/>
      <c r="LG256" s="26"/>
      <c r="LH256" s="26"/>
      <c r="LI256" s="26"/>
      <c r="LJ256" s="26"/>
      <c r="LK256" s="26"/>
      <c r="LL256" s="26"/>
      <c r="LM256" s="26"/>
      <c r="LN256" s="26"/>
      <c r="LO256" s="26"/>
      <c r="LP256" s="26"/>
      <c r="LQ256" s="26"/>
      <c r="LR256" s="26"/>
      <c r="LS256" s="26"/>
      <c r="LT256" s="26"/>
      <c r="LU256" s="26"/>
      <c r="LV256" s="26"/>
      <c r="LW256" s="26"/>
      <c r="LX256" s="26"/>
      <c r="LY256" s="26"/>
      <c r="LZ256" s="26"/>
      <c r="MA256" s="26"/>
      <c r="MB256" s="26"/>
      <c r="MC256" s="26"/>
      <c r="MD256" s="26"/>
      <c r="ME256" s="26"/>
      <c r="MF256" s="26"/>
      <c r="MG256" s="26"/>
      <c r="MH256" s="26"/>
      <c r="MI256" s="26"/>
      <c r="MJ256" s="26"/>
      <c r="MK256" s="26"/>
      <c r="ML256" s="26"/>
      <c r="MM256" s="26"/>
      <c r="MN256" s="26"/>
      <c r="MO256" s="26"/>
      <c r="MP256" s="26"/>
      <c r="MQ256" s="26"/>
      <c r="MR256" s="26"/>
      <c r="MS256" s="26"/>
      <c r="MT256" s="26"/>
      <c r="MU256" s="26"/>
      <c r="MV256" s="26"/>
      <c r="MW256" s="26"/>
      <c r="MX256" s="26"/>
      <c r="MY256" s="26"/>
      <c r="MZ256" s="26"/>
      <c r="NA256" s="26"/>
      <c r="NB256" s="26"/>
      <c r="NC256" s="26"/>
      <c r="ND256" s="26"/>
      <c r="NE256" s="26"/>
      <c r="NF256" s="26"/>
      <c r="NG256" s="26"/>
      <c r="NH256" s="26"/>
      <c r="NI256" s="26"/>
      <c r="NJ256" s="26"/>
      <c r="NK256" s="26"/>
      <c r="NL256" s="26"/>
      <c r="NM256" s="26"/>
      <c r="NN256" s="26"/>
      <c r="NO256" s="26"/>
      <c r="NP256" s="26"/>
      <c r="NQ256" s="26"/>
      <c r="NR256" s="26"/>
      <c r="NS256" s="26"/>
      <c r="NT256" s="26"/>
      <c r="NU256" s="26"/>
      <c r="NV256" s="26"/>
      <c r="NW256" s="26"/>
      <c r="NX256" s="26"/>
      <c r="NY256" s="26"/>
      <c r="NZ256" s="26"/>
      <c r="OA256" s="26"/>
      <c r="OB256" s="26"/>
      <c r="OC256" s="26"/>
      <c r="OD256" s="26"/>
      <c r="OE256" s="26"/>
      <c r="OF256" s="26"/>
      <c r="OG256" s="26"/>
      <c r="OH256" s="26"/>
      <c r="OI256" s="26"/>
      <c r="OJ256" s="26"/>
      <c r="OK256" s="26"/>
      <c r="OL256" s="26"/>
      <c r="OM256" s="26"/>
      <c r="ON256" s="26"/>
      <c r="OO256" s="26"/>
      <c r="OP256" s="26"/>
      <c r="OQ256" s="26"/>
      <c r="OR256" s="26"/>
      <c r="OS256" s="26"/>
      <c r="OT256" s="26"/>
      <c r="OU256" s="26"/>
      <c r="OV256" s="26"/>
      <c r="OW256" s="26"/>
      <c r="OX256" s="26"/>
      <c r="OY256" s="26"/>
      <c r="OZ256" s="26"/>
      <c r="PA256" s="26"/>
      <c r="PB256" s="26"/>
      <c r="PC256" s="26"/>
      <c r="PD256" s="26"/>
      <c r="PE256" s="26"/>
      <c r="PF256" s="26"/>
      <c r="PG256" s="26"/>
      <c r="PH256" s="26"/>
      <c r="PI256" s="26"/>
      <c r="PJ256" s="26"/>
      <c r="PK256" s="26"/>
      <c r="PL256" s="26"/>
      <c r="PM256" s="26"/>
      <c r="PN256" s="26"/>
      <c r="PO256" s="26"/>
      <c r="PP256" s="26"/>
      <c r="PQ256" s="26"/>
      <c r="PR256" s="26"/>
      <c r="PS256" s="26"/>
      <c r="PT256" s="26"/>
      <c r="PU256" s="26"/>
      <c r="PV256" s="26"/>
      <c r="PW256" s="26"/>
      <c r="PX256" s="26"/>
      <c r="PY256" s="26"/>
      <c r="PZ256" s="26"/>
      <c r="QA256" s="26"/>
      <c r="QB256" s="26"/>
      <c r="QC256" s="26"/>
      <c r="QD256" s="26"/>
      <c r="QE256" s="26"/>
      <c r="QF256" s="26"/>
      <c r="QG256" s="26"/>
      <c r="QH256" s="26"/>
      <c r="QI256" s="26"/>
      <c r="QJ256" s="26"/>
      <c r="QK256" s="26"/>
      <c r="QL256" s="26"/>
      <c r="QM256" s="26"/>
      <c r="QN256" s="26"/>
      <c r="QO256" s="26"/>
      <c r="QP256" s="26"/>
      <c r="QQ256" s="26"/>
      <c r="QR256" s="26"/>
      <c r="QS256" s="26"/>
      <c r="QT256" s="26"/>
      <c r="QU256" s="26"/>
      <c r="QV256" s="26"/>
      <c r="QW256" s="26"/>
      <c r="QX256" s="26"/>
      <c r="QY256" s="26"/>
      <c r="QZ256" s="26"/>
      <c r="RA256" s="26"/>
      <c r="RB256" s="26"/>
      <c r="RC256" s="26"/>
      <c r="RD256" s="26"/>
      <c r="RE256" s="26"/>
      <c r="RF256" s="26"/>
      <c r="RG256" s="26"/>
      <c r="RH256" s="26"/>
      <c r="RI256" s="26"/>
      <c r="RJ256" s="26"/>
      <c r="RK256" s="26"/>
      <c r="RL256" s="26"/>
      <c r="RM256" s="26"/>
      <c r="RN256" s="26"/>
      <c r="RO256" s="26"/>
      <c r="RP256" s="26"/>
      <c r="RQ256" s="26"/>
      <c r="RR256" s="26"/>
      <c r="RS256" s="26"/>
      <c r="RT256" s="26"/>
      <c r="RU256" s="26"/>
      <c r="RV256" s="26"/>
      <c r="RW256" s="26"/>
      <c r="RX256" s="26"/>
      <c r="RY256" s="26"/>
      <c r="RZ256" s="26"/>
      <c r="SA256" s="26"/>
      <c r="SB256" s="26"/>
      <c r="SC256" s="26"/>
      <c r="SD256" s="26"/>
      <c r="SE256" s="26"/>
      <c r="SF256" s="26"/>
      <c r="SG256" s="26"/>
      <c r="SH256" s="26"/>
      <c r="SI256" s="26"/>
      <c r="SJ256" s="26"/>
      <c r="SK256" s="26"/>
      <c r="SL256" s="26"/>
      <c r="SM256" s="26"/>
      <c r="SN256" s="26"/>
      <c r="SO256" s="26"/>
      <c r="SP256" s="26"/>
      <c r="SQ256" s="26"/>
      <c r="SR256" s="26"/>
      <c r="SS256" s="26"/>
      <c r="ST256" s="26"/>
      <c r="SU256" s="26"/>
      <c r="SV256" s="26"/>
      <c r="SW256" s="26"/>
      <c r="SX256" s="26"/>
      <c r="SY256" s="26"/>
      <c r="SZ256" s="26"/>
      <c r="TA256" s="26"/>
      <c r="TB256" s="26"/>
      <c r="TC256" s="26"/>
      <c r="TD256" s="26"/>
      <c r="TE256" s="26"/>
      <c r="TF256" s="26"/>
      <c r="TG256" s="26"/>
      <c r="TH256" s="26"/>
      <c r="TI256" s="26"/>
    </row>
    <row r="257" spans="1:529" s="40" customFormat="1" ht="33.75" customHeight="1" x14ac:dyDescent="0.25">
      <c r="A257" s="81" t="s">
        <v>516</v>
      </c>
      <c r="B257" s="70"/>
      <c r="C257" s="70"/>
      <c r="D257" s="33" t="s">
        <v>518</v>
      </c>
      <c r="E257" s="65">
        <f>E258</f>
        <v>3358</v>
      </c>
      <c r="F257" s="65">
        <f t="shared" ref="F257:P257" si="148">F258</f>
        <v>3358</v>
      </c>
      <c r="G257" s="65">
        <f t="shared" si="148"/>
        <v>0</v>
      </c>
      <c r="H257" s="65">
        <f t="shared" si="148"/>
        <v>0</v>
      </c>
      <c r="I257" s="65">
        <f t="shared" si="148"/>
        <v>0</v>
      </c>
      <c r="J257" s="65">
        <f t="shared" si="148"/>
        <v>0</v>
      </c>
      <c r="K257" s="65">
        <f t="shared" si="148"/>
        <v>0</v>
      </c>
      <c r="L257" s="65">
        <f t="shared" si="148"/>
        <v>0</v>
      </c>
      <c r="M257" s="65">
        <f t="shared" si="148"/>
        <v>0</v>
      </c>
      <c r="N257" s="65">
        <f t="shared" si="148"/>
        <v>0</v>
      </c>
      <c r="O257" s="65">
        <f t="shared" si="148"/>
        <v>0</v>
      </c>
      <c r="P257" s="65">
        <f t="shared" si="148"/>
        <v>3358</v>
      </c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  <c r="IW257" s="39"/>
      <c r="IX257" s="39"/>
      <c r="IY257" s="39"/>
      <c r="IZ257" s="39"/>
      <c r="JA257" s="39"/>
      <c r="JB257" s="39"/>
      <c r="JC257" s="39"/>
      <c r="JD257" s="39"/>
      <c r="JE257" s="39"/>
      <c r="JF257" s="39"/>
      <c r="JG257" s="39"/>
      <c r="JH257" s="39"/>
      <c r="JI257" s="39"/>
      <c r="JJ257" s="39"/>
      <c r="JK257" s="39"/>
      <c r="JL257" s="39"/>
      <c r="JM257" s="39"/>
      <c r="JN257" s="39"/>
      <c r="JO257" s="39"/>
      <c r="JP257" s="39"/>
      <c r="JQ257" s="39"/>
      <c r="JR257" s="39"/>
      <c r="JS257" s="39"/>
      <c r="JT257" s="39"/>
      <c r="JU257" s="39"/>
      <c r="JV257" s="39"/>
      <c r="JW257" s="39"/>
      <c r="JX257" s="39"/>
      <c r="JY257" s="39"/>
      <c r="JZ257" s="39"/>
      <c r="KA257" s="39"/>
      <c r="KB257" s="39"/>
      <c r="KC257" s="39"/>
      <c r="KD257" s="39"/>
      <c r="KE257" s="39"/>
      <c r="KF257" s="39"/>
      <c r="KG257" s="39"/>
      <c r="KH257" s="39"/>
      <c r="KI257" s="39"/>
      <c r="KJ257" s="39"/>
      <c r="KK257" s="39"/>
      <c r="KL257" s="39"/>
      <c r="KM257" s="39"/>
      <c r="KN257" s="39"/>
      <c r="KO257" s="39"/>
      <c r="KP257" s="39"/>
      <c r="KQ257" s="39"/>
      <c r="KR257" s="39"/>
      <c r="KS257" s="39"/>
      <c r="KT257" s="39"/>
      <c r="KU257" s="39"/>
      <c r="KV257" s="39"/>
      <c r="KW257" s="39"/>
      <c r="KX257" s="39"/>
      <c r="KY257" s="39"/>
      <c r="KZ257" s="39"/>
      <c r="LA257" s="39"/>
      <c r="LB257" s="39"/>
      <c r="LC257" s="39"/>
      <c r="LD257" s="39"/>
      <c r="LE257" s="39"/>
      <c r="LF257" s="39"/>
      <c r="LG257" s="39"/>
      <c r="LH257" s="39"/>
      <c r="LI257" s="39"/>
      <c r="LJ257" s="39"/>
      <c r="LK257" s="39"/>
      <c r="LL257" s="39"/>
      <c r="LM257" s="39"/>
      <c r="LN257" s="39"/>
      <c r="LO257" s="39"/>
      <c r="LP257" s="39"/>
      <c r="LQ257" s="39"/>
      <c r="LR257" s="39"/>
      <c r="LS257" s="39"/>
      <c r="LT257" s="39"/>
      <c r="LU257" s="39"/>
      <c r="LV257" s="39"/>
      <c r="LW257" s="39"/>
      <c r="LX257" s="39"/>
      <c r="LY257" s="39"/>
      <c r="LZ257" s="39"/>
      <c r="MA257" s="39"/>
      <c r="MB257" s="39"/>
      <c r="MC257" s="39"/>
      <c r="MD257" s="39"/>
      <c r="ME257" s="39"/>
      <c r="MF257" s="39"/>
      <c r="MG257" s="39"/>
      <c r="MH257" s="39"/>
      <c r="MI257" s="39"/>
      <c r="MJ257" s="39"/>
      <c r="MK257" s="39"/>
      <c r="ML257" s="39"/>
      <c r="MM257" s="39"/>
      <c r="MN257" s="39"/>
      <c r="MO257" s="39"/>
      <c r="MP257" s="39"/>
      <c r="MQ257" s="39"/>
      <c r="MR257" s="39"/>
      <c r="MS257" s="39"/>
      <c r="MT257" s="39"/>
      <c r="MU257" s="39"/>
      <c r="MV257" s="39"/>
      <c r="MW257" s="39"/>
      <c r="MX257" s="39"/>
      <c r="MY257" s="39"/>
      <c r="MZ257" s="39"/>
      <c r="NA257" s="39"/>
      <c r="NB257" s="39"/>
      <c r="NC257" s="39"/>
      <c r="ND257" s="39"/>
      <c r="NE257" s="39"/>
      <c r="NF257" s="39"/>
      <c r="NG257" s="39"/>
      <c r="NH257" s="39"/>
      <c r="NI257" s="39"/>
      <c r="NJ257" s="39"/>
      <c r="NK257" s="39"/>
      <c r="NL257" s="39"/>
      <c r="NM257" s="39"/>
      <c r="NN257" s="39"/>
      <c r="NO257" s="39"/>
      <c r="NP257" s="39"/>
      <c r="NQ257" s="39"/>
      <c r="NR257" s="39"/>
      <c r="NS257" s="39"/>
      <c r="NT257" s="39"/>
      <c r="NU257" s="39"/>
      <c r="NV257" s="39"/>
      <c r="NW257" s="39"/>
      <c r="NX257" s="39"/>
      <c r="NY257" s="39"/>
      <c r="NZ257" s="39"/>
      <c r="OA257" s="39"/>
      <c r="OB257" s="39"/>
      <c r="OC257" s="39"/>
      <c r="OD257" s="39"/>
      <c r="OE257" s="39"/>
      <c r="OF257" s="39"/>
      <c r="OG257" s="39"/>
      <c r="OH257" s="39"/>
      <c r="OI257" s="39"/>
      <c r="OJ257" s="39"/>
      <c r="OK257" s="39"/>
      <c r="OL257" s="39"/>
      <c r="OM257" s="39"/>
      <c r="ON257" s="39"/>
      <c r="OO257" s="39"/>
      <c r="OP257" s="39"/>
      <c r="OQ257" s="39"/>
      <c r="OR257" s="39"/>
      <c r="OS257" s="39"/>
      <c r="OT257" s="39"/>
      <c r="OU257" s="39"/>
      <c r="OV257" s="39"/>
      <c r="OW257" s="39"/>
      <c r="OX257" s="39"/>
      <c r="OY257" s="39"/>
      <c r="OZ257" s="39"/>
      <c r="PA257" s="39"/>
      <c r="PB257" s="39"/>
      <c r="PC257" s="39"/>
      <c r="PD257" s="39"/>
      <c r="PE257" s="39"/>
      <c r="PF257" s="39"/>
      <c r="PG257" s="39"/>
      <c r="PH257" s="39"/>
      <c r="PI257" s="39"/>
      <c r="PJ257" s="39"/>
      <c r="PK257" s="39"/>
      <c r="PL257" s="39"/>
      <c r="PM257" s="39"/>
      <c r="PN257" s="39"/>
      <c r="PO257" s="39"/>
      <c r="PP257" s="39"/>
      <c r="PQ257" s="39"/>
      <c r="PR257" s="39"/>
      <c r="PS257" s="39"/>
      <c r="PT257" s="39"/>
      <c r="PU257" s="39"/>
      <c r="PV257" s="39"/>
      <c r="PW257" s="39"/>
      <c r="PX257" s="39"/>
      <c r="PY257" s="39"/>
      <c r="PZ257" s="39"/>
      <c r="QA257" s="39"/>
      <c r="QB257" s="39"/>
      <c r="QC257" s="39"/>
      <c r="QD257" s="39"/>
      <c r="QE257" s="39"/>
      <c r="QF257" s="39"/>
      <c r="QG257" s="39"/>
      <c r="QH257" s="39"/>
      <c r="QI257" s="39"/>
      <c r="QJ257" s="39"/>
      <c r="QK257" s="39"/>
      <c r="QL257" s="39"/>
      <c r="QM257" s="39"/>
      <c r="QN257" s="39"/>
      <c r="QO257" s="39"/>
      <c r="QP257" s="39"/>
      <c r="QQ257" s="39"/>
      <c r="QR257" s="39"/>
      <c r="QS257" s="39"/>
      <c r="QT257" s="39"/>
      <c r="QU257" s="39"/>
      <c r="QV257" s="39"/>
      <c r="QW257" s="39"/>
      <c r="QX257" s="39"/>
      <c r="QY257" s="39"/>
      <c r="QZ257" s="39"/>
      <c r="RA257" s="39"/>
      <c r="RB257" s="39"/>
      <c r="RC257" s="39"/>
      <c r="RD257" s="39"/>
      <c r="RE257" s="39"/>
      <c r="RF257" s="39"/>
      <c r="RG257" s="39"/>
      <c r="RH257" s="39"/>
      <c r="RI257" s="39"/>
      <c r="RJ257" s="39"/>
      <c r="RK257" s="39"/>
      <c r="RL257" s="39"/>
      <c r="RM257" s="39"/>
      <c r="RN257" s="39"/>
      <c r="RO257" s="39"/>
      <c r="RP257" s="39"/>
      <c r="RQ257" s="39"/>
      <c r="RR257" s="39"/>
      <c r="RS257" s="39"/>
      <c r="RT257" s="39"/>
      <c r="RU257" s="39"/>
      <c r="RV257" s="39"/>
      <c r="RW257" s="39"/>
      <c r="RX257" s="39"/>
      <c r="RY257" s="39"/>
      <c r="RZ257" s="39"/>
      <c r="SA257" s="39"/>
      <c r="SB257" s="39"/>
      <c r="SC257" s="39"/>
      <c r="SD257" s="39"/>
      <c r="SE257" s="39"/>
      <c r="SF257" s="39"/>
      <c r="SG257" s="39"/>
      <c r="SH257" s="39"/>
      <c r="SI257" s="39"/>
      <c r="SJ257" s="39"/>
      <c r="SK257" s="39"/>
      <c r="SL257" s="39"/>
      <c r="SM257" s="39"/>
      <c r="SN257" s="39"/>
      <c r="SO257" s="39"/>
      <c r="SP257" s="39"/>
      <c r="SQ257" s="39"/>
      <c r="SR257" s="39"/>
      <c r="SS257" s="39"/>
      <c r="ST257" s="39"/>
      <c r="SU257" s="39"/>
      <c r="SV257" s="39"/>
      <c r="SW257" s="39"/>
      <c r="SX257" s="39"/>
      <c r="SY257" s="39"/>
      <c r="SZ257" s="39"/>
      <c r="TA257" s="39"/>
      <c r="TB257" s="39"/>
      <c r="TC257" s="39"/>
      <c r="TD257" s="39"/>
      <c r="TE257" s="39"/>
      <c r="TF257" s="39"/>
      <c r="TG257" s="39"/>
      <c r="TH257" s="39"/>
      <c r="TI257" s="39"/>
    </row>
    <row r="258" spans="1:529" s="23" customFormat="1" ht="45" x14ac:dyDescent="0.25">
      <c r="A258" s="52" t="s">
        <v>515</v>
      </c>
      <c r="B258" s="52" t="s">
        <v>127</v>
      </c>
      <c r="C258" s="52" t="s">
        <v>50</v>
      </c>
      <c r="D258" s="22" t="s">
        <v>128</v>
      </c>
      <c r="E258" s="66">
        <f t="shared" ref="E258" si="149">F258+I258</f>
        <v>3358</v>
      </c>
      <c r="F258" s="66">
        <v>3358</v>
      </c>
      <c r="G258" s="66"/>
      <c r="H258" s="66"/>
      <c r="I258" s="66"/>
      <c r="J258" s="66">
        <f>L258+O258</f>
        <v>0</v>
      </c>
      <c r="K258" s="66"/>
      <c r="L258" s="66"/>
      <c r="M258" s="66"/>
      <c r="N258" s="66"/>
      <c r="O258" s="66"/>
      <c r="P258" s="66">
        <f t="shared" ref="P258" si="150">E258+J258</f>
        <v>3358</v>
      </c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  <c r="IW258" s="26"/>
      <c r="IX258" s="26"/>
      <c r="IY258" s="26"/>
      <c r="IZ258" s="26"/>
      <c r="JA258" s="26"/>
      <c r="JB258" s="26"/>
      <c r="JC258" s="26"/>
      <c r="JD258" s="26"/>
      <c r="JE258" s="26"/>
      <c r="JF258" s="26"/>
      <c r="JG258" s="26"/>
      <c r="JH258" s="26"/>
      <c r="JI258" s="26"/>
      <c r="JJ258" s="26"/>
      <c r="JK258" s="26"/>
      <c r="JL258" s="26"/>
      <c r="JM258" s="26"/>
      <c r="JN258" s="26"/>
      <c r="JO258" s="26"/>
      <c r="JP258" s="26"/>
      <c r="JQ258" s="26"/>
      <c r="JR258" s="26"/>
      <c r="JS258" s="26"/>
      <c r="JT258" s="26"/>
      <c r="JU258" s="26"/>
      <c r="JV258" s="26"/>
      <c r="JW258" s="26"/>
      <c r="JX258" s="26"/>
      <c r="JY258" s="26"/>
      <c r="JZ258" s="26"/>
      <c r="KA258" s="26"/>
      <c r="KB258" s="26"/>
      <c r="KC258" s="26"/>
      <c r="KD258" s="26"/>
      <c r="KE258" s="26"/>
      <c r="KF258" s="26"/>
      <c r="KG258" s="26"/>
      <c r="KH258" s="26"/>
      <c r="KI258" s="26"/>
      <c r="KJ258" s="26"/>
      <c r="KK258" s="26"/>
      <c r="KL258" s="26"/>
      <c r="KM258" s="26"/>
      <c r="KN258" s="26"/>
      <c r="KO258" s="26"/>
      <c r="KP258" s="26"/>
      <c r="KQ258" s="26"/>
      <c r="KR258" s="26"/>
      <c r="KS258" s="26"/>
      <c r="KT258" s="26"/>
      <c r="KU258" s="26"/>
      <c r="KV258" s="26"/>
      <c r="KW258" s="26"/>
      <c r="KX258" s="26"/>
      <c r="KY258" s="26"/>
      <c r="KZ258" s="26"/>
      <c r="LA258" s="26"/>
      <c r="LB258" s="26"/>
      <c r="LC258" s="26"/>
      <c r="LD258" s="26"/>
      <c r="LE258" s="26"/>
      <c r="LF258" s="26"/>
      <c r="LG258" s="26"/>
      <c r="LH258" s="26"/>
      <c r="LI258" s="26"/>
      <c r="LJ258" s="26"/>
      <c r="LK258" s="26"/>
      <c r="LL258" s="26"/>
      <c r="LM258" s="26"/>
      <c r="LN258" s="26"/>
      <c r="LO258" s="26"/>
      <c r="LP258" s="26"/>
      <c r="LQ258" s="26"/>
      <c r="LR258" s="26"/>
      <c r="LS258" s="26"/>
      <c r="LT258" s="26"/>
      <c r="LU258" s="26"/>
      <c r="LV258" s="26"/>
      <c r="LW258" s="26"/>
      <c r="LX258" s="26"/>
      <c r="LY258" s="26"/>
      <c r="LZ258" s="26"/>
      <c r="MA258" s="26"/>
      <c r="MB258" s="26"/>
      <c r="MC258" s="26"/>
      <c r="MD258" s="26"/>
      <c r="ME258" s="26"/>
      <c r="MF258" s="26"/>
      <c r="MG258" s="26"/>
      <c r="MH258" s="26"/>
      <c r="MI258" s="26"/>
      <c r="MJ258" s="26"/>
      <c r="MK258" s="26"/>
      <c r="ML258" s="26"/>
      <c r="MM258" s="26"/>
      <c r="MN258" s="26"/>
      <c r="MO258" s="26"/>
      <c r="MP258" s="26"/>
      <c r="MQ258" s="26"/>
      <c r="MR258" s="26"/>
      <c r="MS258" s="26"/>
      <c r="MT258" s="26"/>
      <c r="MU258" s="26"/>
      <c r="MV258" s="26"/>
      <c r="MW258" s="26"/>
      <c r="MX258" s="26"/>
      <c r="MY258" s="26"/>
      <c r="MZ258" s="26"/>
      <c r="NA258" s="26"/>
      <c r="NB258" s="26"/>
      <c r="NC258" s="26"/>
      <c r="ND258" s="26"/>
      <c r="NE258" s="26"/>
      <c r="NF258" s="26"/>
      <c r="NG258" s="26"/>
      <c r="NH258" s="26"/>
      <c r="NI258" s="26"/>
      <c r="NJ258" s="26"/>
      <c r="NK258" s="26"/>
      <c r="NL258" s="26"/>
      <c r="NM258" s="26"/>
      <c r="NN258" s="26"/>
      <c r="NO258" s="26"/>
      <c r="NP258" s="26"/>
      <c r="NQ258" s="26"/>
      <c r="NR258" s="26"/>
      <c r="NS258" s="26"/>
      <c r="NT258" s="26"/>
      <c r="NU258" s="26"/>
      <c r="NV258" s="26"/>
      <c r="NW258" s="26"/>
      <c r="NX258" s="26"/>
      <c r="NY258" s="26"/>
      <c r="NZ258" s="26"/>
      <c r="OA258" s="26"/>
      <c r="OB258" s="26"/>
      <c r="OC258" s="26"/>
      <c r="OD258" s="26"/>
      <c r="OE258" s="26"/>
      <c r="OF258" s="26"/>
      <c r="OG258" s="26"/>
      <c r="OH258" s="26"/>
      <c r="OI258" s="26"/>
      <c r="OJ258" s="26"/>
      <c r="OK258" s="26"/>
      <c r="OL258" s="26"/>
      <c r="OM258" s="26"/>
      <c r="ON258" s="26"/>
      <c r="OO258" s="26"/>
      <c r="OP258" s="26"/>
      <c r="OQ258" s="26"/>
      <c r="OR258" s="26"/>
      <c r="OS258" s="26"/>
      <c r="OT258" s="26"/>
      <c r="OU258" s="26"/>
      <c r="OV258" s="26"/>
      <c r="OW258" s="26"/>
      <c r="OX258" s="26"/>
      <c r="OY258" s="26"/>
      <c r="OZ258" s="26"/>
      <c r="PA258" s="26"/>
      <c r="PB258" s="26"/>
      <c r="PC258" s="26"/>
      <c r="PD258" s="26"/>
      <c r="PE258" s="26"/>
      <c r="PF258" s="26"/>
      <c r="PG258" s="26"/>
      <c r="PH258" s="26"/>
      <c r="PI258" s="26"/>
      <c r="PJ258" s="26"/>
      <c r="PK258" s="26"/>
      <c r="PL258" s="26"/>
      <c r="PM258" s="26"/>
      <c r="PN258" s="26"/>
      <c r="PO258" s="26"/>
      <c r="PP258" s="26"/>
      <c r="PQ258" s="26"/>
      <c r="PR258" s="26"/>
      <c r="PS258" s="26"/>
      <c r="PT258" s="26"/>
      <c r="PU258" s="26"/>
      <c r="PV258" s="26"/>
      <c r="PW258" s="26"/>
      <c r="PX258" s="26"/>
      <c r="PY258" s="26"/>
      <c r="PZ258" s="26"/>
      <c r="QA258" s="26"/>
      <c r="QB258" s="26"/>
      <c r="QC258" s="26"/>
      <c r="QD258" s="26"/>
      <c r="QE258" s="26"/>
      <c r="QF258" s="26"/>
      <c r="QG258" s="26"/>
      <c r="QH258" s="26"/>
      <c r="QI258" s="26"/>
      <c r="QJ258" s="26"/>
      <c r="QK258" s="26"/>
      <c r="QL258" s="26"/>
      <c r="QM258" s="26"/>
      <c r="QN258" s="26"/>
      <c r="QO258" s="26"/>
      <c r="QP258" s="26"/>
      <c r="QQ258" s="26"/>
      <c r="QR258" s="26"/>
      <c r="QS258" s="26"/>
      <c r="QT258" s="26"/>
      <c r="QU258" s="26"/>
      <c r="QV258" s="26"/>
      <c r="QW258" s="26"/>
      <c r="QX258" s="26"/>
      <c r="QY258" s="26"/>
      <c r="QZ258" s="26"/>
      <c r="RA258" s="26"/>
      <c r="RB258" s="26"/>
      <c r="RC258" s="26"/>
      <c r="RD258" s="26"/>
      <c r="RE258" s="26"/>
      <c r="RF258" s="26"/>
      <c r="RG258" s="26"/>
      <c r="RH258" s="26"/>
      <c r="RI258" s="26"/>
      <c r="RJ258" s="26"/>
      <c r="RK258" s="26"/>
      <c r="RL258" s="26"/>
      <c r="RM258" s="26"/>
      <c r="RN258" s="26"/>
      <c r="RO258" s="26"/>
      <c r="RP258" s="26"/>
      <c r="RQ258" s="26"/>
      <c r="RR258" s="26"/>
      <c r="RS258" s="26"/>
      <c r="RT258" s="26"/>
      <c r="RU258" s="26"/>
      <c r="RV258" s="26"/>
      <c r="RW258" s="26"/>
      <c r="RX258" s="26"/>
      <c r="RY258" s="26"/>
      <c r="RZ258" s="26"/>
      <c r="SA258" s="26"/>
      <c r="SB258" s="26"/>
      <c r="SC258" s="26"/>
      <c r="SD258" s="26"/>
      <c r="SE258" s="26"/>
      <c r="SF258" s="26"/>
      <c r="SG258" s="26"/>
      <c r="SH258" s="26"/>
      <c r="SI258" s="26"/>
      <c r="SJ258" s="26"/>
      <c r="SK258" s="26"/>
      <c r="SL258" s="26"/>
      <c r="SM258" s="26"/>
      <c r="SN258" s="26"/>
      <c r="SO258" s="26"/>
      <c r="SP258" s="26"/>
      <c r="SQ258" s="26"/>
      <c r="SR258" s="26"/>
      <c r="SS258" s="26"/>
      <c r="ST258" s="26"/>
      <c r="SU258" s="26"/>
      <c r="SV258" s="26"/>
      <c r="SW258" s="26"/>
      <c r="SX258" s="26"/>
      <c r="SY258" s="26"/>
      <c r="SZ258" s="26"/>
      <c r="TA258" s="26"/>
      <c r="TB258" s="26"/>
      <c r="TC258" s="26"/>
      <c r="TD258" s="26"/>
      <c r="TE258" s="26"/>
      <c r="TF258" s="26"/>
      <c r="TG258" s="26"/>
      <c r="TH258" s="26"/>
      <c r="TI258" s="26"/>
    </row>
    <row r="259" spans="1:529" s="31" customFormat="1" ht="31.5" customHeight="1" x14ac:dyDescent="0.2">
      <c r="A259" s="174" t="s">
        <v>235</v>
      </c>
      <c r="B259" s="71"/>
      <c r="C259" s="71"/>
      <c r="D259" s="30" t="s">
        <v>45</v>
      </c>
      <c r="E259" s="63">
        <f>E260</f>
        <v>132542242.05</v>
      </c>
      <c r="F259" s="63">
        <f t="shared" ref="F259:J259" si="151">F260</f>
        <v>127228151</v>
      </c>
      <c r="G259" s="63">
        <f t="shared" si="151"/>
        <v>14064000</v>
      </c>
      <c r="H259" s="63">
        <f t="shared" si="151"/>
        <v>244400</v>
      </c>
      <c r="I259" s="63">
        <f t="shared" si="151"/>
        <v>0</v>
      </c>
      <c r="J259" s="63">
        <f t="shared" si="151"/>
        <v>93500</v>
      </c>
      <c r="K259" s="63">
        <f t="shared" ref="K259" si="152">K260</f>
        <v>0</v>
      </c>
      <c r="L259" s="63">
        <f t="shared" ref="L259" si="153">L260</f>
        <v>93500</v>
      </c>
      <c r="M259" s="63">
        <f t="shared" ref="M259" si="154">M260</f>
        <v>0</v>
      </c>
      <c r="N259" s="63">
        <f t="shared" ref="N259" si="155">N260</f>
        <v>0</v>
      </c>
      <c r="O259" s="63">
        <f t="shared" ref="O259:P259" si="156">O260</f>
        <v>0</v>
      </c>
      <c r="P259" s="63">
        <f t="shared" si="156"/>
        <v>132635742.05</v>
      </c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  <c r="GO259" s="38"/>
      <c r="GP259" s="38"/>
      <c r="GQ259" s="38"/>
      <c r="GR259" s="38"/>
      <c r="GS259" s="38"/>
      <c r="GT259" s="38"/>
      <c r="GU259" s="38"/>
      <c r="GV259" s="38"/>
      <c r="GW259" s="38"/>
      <c r="GX259" s="38"/>
      <c r="GY259" s="38"/>
      <c r="GZ259" s="38"/>
      <c r="HA259" s="38"/>
      <c r="HB259" s="38"/>
      <c r="HC259" s="38"/>
      <c r="HD259" s="38"/>
      <c r="HE259" s="38"/>
      <c r="HF259" s="38"/>
      <c r="HG259" s="38"/>
      <c r="HH259" s="38"/>
      <c r="HI259" s="38"/>
      <c r="HJ259" s="38"/>
      <c r="HK259" s="38"/>
      <c r="HL259" s="38"/>
      <c r="HM259" s="38"/>
      <c r="HN259" s="38"/>
      <c r="HO259" s="38"/>
      <c r="HP259" s="38"/>
      <c r="HQ259" s="38"/>
      <c r="HR259" s="38"/>
      <c r="HS259" s="38"/>
      <c r="HT259" s="38"/>
      <c r="HU259" s="38"/>
      <c r="HV259" s="38"/>
      <c r="HW259" s="38"/>
      <c r="HX259" s="38"/>
      <c r="HY259" s="38"/>
      <c r="HZ259" s="38"/>
      <c r="IA259" s="38"/>
      <c r="IB259" s="38"/>
      <c r="IC259" s="38"/>
      <c r="ID259" s="38"/>
      <c r="IE259" s="38"/>
      <c r="IF259" s="38"/>
      <c r="IG259" s="38"/>
      <c r="IH259" s="38"/>
      <c r="II259" s="38"/>
      <c r="IJ259" s="38"/>
      <c r="IK259" s="38"/>
      <c r="IL259" s="38"/>
      <c r="IM259" s="38"/>
      <c r="IN259" s="38"/>
      <c r="IO259" s="38"/>
      <c r="IP259" s="38"/>
      <c r="IQ259" s="38"/>
      <c r="IR259" s="38"/>
      <c r="IS259" s="38"/>
      <c r="IT259" s="38"/>
      <c r="IU259" s="38"/>
      <c r="IV259" s="38"/>
      <c r="IW259" s="38"/>
      <c r="IX259" s="38"/>
      <c r="IY259" s="38"/>
      <c r="IZ259" s="38"/>
      <c r="JA259" s="38"/>
      <c r="JB259" s="38"/>
      <c r="JC259" s="38"/>
      <c r="JD259" s="38"/>
      <c r="JE259" s="38"/>
      <c r="JF259" s="38"/>
      <c r="JG259" s="38"/>
      <c r="JH259" s="38"/>
      <c r="JI259" s="38"/>
      <c r="JJ259" s="38"/>
      <c r="JK259" s="38"/>
      <c r="JL259" s="38"/>
      <c r="JM259" s="38"/>
      <c r="JN259" s="38"/>
      <c r="JO259" s="38"/>
      <c r="JP259" s="38"/>
      <c r="JQ259" s="38"/>
      <c r="JR259" s="38"/>
      <c r="JS259" s="38"/>
      <c r="JT259" s="38"/>
      <c r="JU259" s="38"/>
      <c r="JV259" s="38"/>
      <c r="JW259" s="38"/>
      <c r="JX259" s="38"/>
      <c r="JY259" s="38"/>
      <c r="JZ259" s="38"/>
      <c r="KA259" s="38"/>
      <c r="KB259" s="38"/>
      <c r="KC259" s="38"/>
      <c r="KD259" s="38"/>
      <c r="KE259" s="38"/>
      <c r="KF259" s="38"/>
      <c r="KG259" s="38"/>
      <c r="KH259" s="38"/>
      <c r="KI259" s="38"/>
      <c r="KJ259" s="38"/>
      <c r="KK259" s="38"/>
      <c r="KL259" s="38"/>
      <c r="KM259" s="38"/>
      <c r="KN259" s="38"/>
      <c r="KO259" s="38"/>
      <c r="KP259" s="38"/>
      <c r="KQ259" s="38"/>
      <c r="KR259" s="38"/>
      <c r="KS259" s="38"/>
      <c r="KT259" s="38"/>
      <c r="KU259" s="38"/>
      <c r="KV259" s="38"/>
      <c r="KW259" s="38"/>
      <c r="KX259" s="38"/>
      <c r="KY259" s="38"/>
      <c r="KZ259" s="38"/>
      <c r="LA259" s="38"/>
      <c r="LB259" s="38"/>
      <c r="LC259" s="38"/>
      <c r="LD259" s="38"/>
      <c r="LE259" s="38"/>
      <c r="LF259" s="38"/>
      <c r="LG259" s="38"/>
      <c r="LH259" s="38"/>
      <c r="LI259" s="38"/>
      <c r="LJ259" s="38"/>
      <c r="LK259" s="38"/>
      <c r="LL259" s="38"/>
      <c r="LM259" s="38"/>
      <c r="LN259" s="38"/>
      <c r="LO259" s="38"/>
      <c r="LP259" s="38"/>
      <c r="LQ259" s="38"/>
      <c r="LR259" s="38"/>
      <c r="LS259" s="38"/>
      <c r="LT259" s="38"/>
      <c r="LU259" s="38"/>
      <c r="LV259" s="38"/>
      <c r="LW259" s="38"/>
      <c r="LX259" s="38"/>
      <c r="LY259" s="38"/>
      <c r="LZ259" s="38"/>
      <c r="MA259" s="38"/>
      <c r="MB259" s="38"/>
      <c r="MC259" s="38"/>
      <c r="MD259" s="38"/>
      <c r="ME259" s="38"/>
      <c r="MF259" s="38"/>
      <c r="MG259" s="38"/>
      <c r="MH259" s="38"/>
      <c r="MI259" s="38"/>
      <c r="MJ259" s="38"/>
      <c r="MK259" s="38"/>
      <c r="ML259" s="38"/>
      <c r="MM259" s="38"/>
      <c r="MN259" s="38"/>
      <c r="MO259" s="38"/>
      <c r="MP259" s="38"/>
      <c r="MQ259" s="38"/>
      <c r="MR259" s="38"/>
      <c r="MS259" s="38"/>
      <c r="MT259" s="38"/>
      <c r="MU259" s="38"/>
      <c r="MV259" s="38"/>
      <c r="MW259" s="38"/>
      <c r="MX259" s="38"/>
      <c r="MY259" s="38"/>
      <c r="MZ259" s="38"/>
      <c r="NA259" s="38"/>
      <c r="NB259" s="38"/>
      <c r="NC259" s="38"/>
      <c r="ND259" s="38"/>
      <c r="NE259" s="38"/>
      <c r="NF259" s="38"/>
      <c r="NG259" s="38"/>
      <c r="NH259" s="38"/>
      <c r="NI259" s="38"/>
      <c r="NJ259" s="38"/>
      <c r="NK259" s="38"/>
      <c r="NL259" s="38"/>
      <c r="NM259" s="38"/>
      <c r="NN259" s="38"/>
      <c r="NO259" s="38"/>
      <c r="NP259" s="38"/>
      <c r="NQ259" s="38"/>
      <c r="NR259" s="38"/>
      <c r="NS259" s="38"/>
      <c r="NT259" s="38"/>
      <c r="NU259" s="38"/>
      <c r="NV259" s="38"/>
      <c r="NW259" s="38"/>
      <c r="NX259" s="38"/>
      <c r="NY259" s="38"/>
      <c r="NZ259" s="38"/>
      <c r="OA259" s="38"/>
      <c r="OB259" s="38"/>
      <c r="OC259" s="38"/>
      <c r="OD259" s="38"/>
      <c r="OE259" s="38"/>
      <c r="OF259" s="38"/>
      <c r="OG259" s="38"/>
      <c r="OH259" s="38"/>
      <c r="OI259" s="38"/>
      <c r="OJ259" s="38"/>
      <c r="OK259" s="38"/>
      <c r="OL259" s="38"/>
      <c r="OM259" s="38"/>
      <c r="ON259" s="38"/>
      <c r="OO259" s="38"/>
      <c r="OP259" s="38"/>
      <c r="OQ259" s="38"/>
      <c r="OR259" s="38"/>
      <c r="OS259" s="38"/>
      <c r="OT259" s="38"/>
      <c r="OU259" s="38"/>
      <c r="OV259" s="38"/>
      <c r="OW259" s="38"/>
      <c r="OX259" s="38"/>
      <c r="OY259" s="38"/>
      <c r="OZ259" s="38"/>
      <c r="PA259" s="38"/>
      <c r="PB259" s="38"/>
      <c r="PC259" s="38"/>
      <c r="PD259" s="38"/>
      <c r="PE259" s="38"/>
      <c r="PF259" s="38"/>
      <c r="PG259" s="38"/>
      <c r="PH259" s="38"/>
      <c r="PI259" s="38"/>
      <c r="PJ259" s="38"/>
      <c r="PK259" s="38"/>
      <c r="PL259" s="38"/>
      <c r="PM259" s="38"/>
      <c r="PN259" s="38"/>
      <c r="PO259" s="38"/>
      <c r="PP259" s="38"/>
      <c r="PQ259" s="38"/>
      <c r="PR259" s="38"/>
      <c r="PS259" s="38"/>
      <c r="PT259" s="38"/>
      <c r="PU259" s="38"/>
      <c r="PV259" s="38"/>
      <c r="PW259" s="38"/>
      <c r="PX259" s="38"/>
      <c r="PY259" s="38"/>
      <c r="PZ259" s="38"/>
      <c r="QA259" s="38"/>
      <c r="QB259" s="38"/>
      <c r="QC259" s="38"/>
      <c r="QD259" s="38"/>
      <c r="QE259" s="38"/>
      <c r="QF259" s="38"/>
      <c r="QG259" s="38"/>
      <c r="QH259" s="38"/>
      <c r="QI259" s="38"/>
      <c r="QJ259" s="38"/>
      <c r="QK259" s="38"/>
      <c r="QL259" s="38"/>
      <c r="QM259" s="38"/>
      <c r="QN259" s="38"/>
      <c r="QO259" s="38"/>
      <c r="QP259" s="38"/>
      <c r="QQ259" s="38"/>
      <c r="QR259" s="38"/>
      <c r="QS259" s="38"/>
      <c r="QT259" s="38"/>
      <c r="QU259" s="38"/>
      <c r="QV259" s="38"/>
      <c r="QW259" s="38"/>
      <c r="QX259" s="38"/>
      <c r="QY259" s="38"/>
      <c r="QZ259" s="38"/>
      <c r="RA259" s="38"/>
      <c r="RB259" s="38"/>
      <c r="RC259" s="38"/>
      <c r="RD259" s="38"/>
      <c r="RE259" s="38"/>
      <c r="RF259" s="38"/>
      <c r="RG259" s="38"/>
      <c r="RH259" s="38"/>
      <c r="RI259" s="38"/>
      <c r="RJ259" s="38"/>
      <c r="RK259" s="38"/>
      <c r="RL259" s="38"/>
      <c r="RM259" s="38"/>
      <c r="RN259" s="38"/>
      <c r="RO259" s="38"/>
      <c r="RP259" s="38"/>
      <c r="RQ259" s="38"/>
      <c r="RR259" s="38"/>
      <c r="RS259" s="38"/>
      <c r="RT259" s="38"/>
      <c r="RU259" s="38"/>
      <c r="RV259" s="38"/>
      <c r="RW259" s="38"/>
      <c r="RX259" s="38"/>
      <c r="RY259" s="38"/>
      <c r="RZ259" s="38"/>
      <c r="SA259" s="38"/>
      <c r="SB259" s="38"/>
      <c r="SC259" s="38"/>
      <c r="SD259" s="38"/>
      <c r="SE259" s="38"/>
      <c r="SF259" s="38"/>
      <c r="SG259" s="38"/>
      <c r="SH259" s="38"/>
      <c r="SI259" s="38"/>
      <c r="SJ259" s="38"/>
      <c r="SK259" s="38"/>
      <c r="SL259" s="38"/>
      <c r="SM259" s="38"/>
      <c r="SN259" s="38"/>
      <c r="SO259" s="38"/>
      <c r="SP259" s="38"/>
      <c r="SQ259" s="38"/>
      <c r="SR259" s="38"/>
      <c r="SS259" s="38"/>
      <c r="ST259" s="38"/>
      <c r="SU259" s="38"/>
      <c r="SV259" s="38"/>
      <c r="SW259" s="38"/>
      <c r="SX259" s="38"/>
      <c r="SY259" s="38"/>
      <c r="SZ259" s="38"/>
      <c r="TA259" s="38"/>
      <c r="TB259" s="38"/>
      <c r="TC259" s="38"/>
      <c r="TD259" s="38"/>
      <c r="TE259" s="38"/>
      <c r="TF259" s="38"/>
      <c r="TG259" s="38"/>
      <c r="TH259" s="38"/>
      <c r="TI259" s="38"/>
    </row>
    <row r="260" spans="1:529" s="40" customFormat="1" ht="34.5" customHeight="1" x14ac:dyDescent="0.25">
      <c r="A260" s="73" t="s">
        <v>236</v>
      </c>
      <c r="B260" s="72"/>
      <c r="C260" s="72"/>
      <c r="D260" s="33" t="s">
        <v>45</v>
      </c>
      <c r="E260" s="65">
        <f>SUM(E261+E262+E263+E265+E266+E267+E268+E264)</f>
        <v>132542242.05</v>
      </c>
      <c r="F260" s="65">
        <f t="shared" ref="F260:P260" si="157">SUM(F261+F262+F263+F265+F266+F267+F268+F264)</f>
        <v>127228151</v>
      </c>
      <c r="G260" s="65">
        <f t="shared" si="157"/>
        <v>14064000</v>
      </c>
      <c r="H260" s="65">
        <f t="shared" si="157"/>
        <v>244400</v>
      </c>
      <c r="I260" s="65">
        <f t="shared" si="157"/>
        <v>0</v>
      </c>
      <c r="J260" s="65">
        <f t="shared" si="157"/>
        <v>93500</v>
      </c>
      <c r="K260" s="65">
        <f t="shared" si="157"/>
        <v>0</v>
      </c>
      <c r="L260" s="65">
        <f t="shared" si="157"/>
        <v>93500</v>
      </c>
      <c r="M260" s="65">
        <f t="shared" si="157"/>
        <v>0</v>
      </c>
      <c r="N260" s="65">
        <f t="shared" si="157"/>
        <v>0</v>
      </c>
      <c r="O260" s="65">
        <f t="shared" si="157"/>
        <v>0</v>
      </c>
      <c r="P260" s="65">
        <f t="shared" si="157"/>
        <v>132635742.05</v>
      </c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 s="39"/>
      <c r="IL260" s="39"/>
      <c r="IM260" s="39"/>
      <c r="IN260" s="39"/>
      <c r="IO260" s="39"/>
      <c r="IP260" s="39"/>
      <c r="IQ260" s="39"/>
      <c r="IR260" s="39"/>
      <c r="IS260" s="39"/>
      <c r="IT260" s="39"/>
      <c r="IU260" s="39"/>
      <c r="IV260" s="39"/>
      <c r="IW260" s="39"/>
      <c r="IX260" s="39"/>
      <c r="IY260" s="39"/>
      <c r="IZ260" s="39"/>
      <c r="JA260" s="39"/>
      <c r="JB260" s="39"/>
      <c r="JC260" s="39"/>
      <c r="JD260" s="39"/>
      <c r="JE260" s="39"/>
      <c r="JF260" s="39"/>
      <c r="JG260" s="39"/>
      <c r="JH260" s="39"/>
      <c r="JI260" s="39"/>
      <c r="JJ260" s="39"/>
      <c r="JK260" s="39"/>
      <c r="JL260" s="39"/>
      <c r="JM260" s="39"/>
      <c r="JN260" s="39"/>
      <c r="JO260" s="39"/>
      <c r="JP260" s="39"/>
      <c r="JQ260" s="39"/>
      <c r="JR260" s="39"/>
      <c r="JS260" s="39"/>
      <c r="JT260" s="39"/>
      <c r="JU260" s="39"/>
      <c r="JV260" s="39"/>
      <c r="JW260" s="39"/>
      <c r="JX260" s="39"/>
      <c r="JY260" s="39"/>
      <c r="JZ260" s="39"/>
      <c r="KA260" s="39"/>
      <c r="KB260" s="39"/>
      <c r="KC260" s="39"/>
      <c r="KD260" s="39"/>
      <c r="KE260" s="39"/>
      <c r="KF260" s="39"/>
      <c r="KG260" s="39"/>
      <c r="KH260" s="39"/>
      <c r="KI260" s="39"/>
      <c r="KJ260" s="39"/>
      <c r="KK260" s="39"/>
      <c r="KL260" s="39"/>
      <c r="KM260" s="39"/>
      <c r="KN260" s="39"/>
      <c r="KO260" s="39"/>
      <c r="KP260" s="39"/>
      <c r="KQ260" s="39"/>
      <c r="KR260" s="39"/>
      <c r="KS260" s="39"/>
      <c r="KT260" s="39"/>
      <c r="KU260" s="39"/>
      <c r="KV260" s="39"/>
      <c r="KW260" s="39"/>
      <c r="KX260" s="39"/>
      <c r="KY260" s="39"/>
      <c r="KZ260" s="39"/>
      <c r="LA260" s="39"/>
      <c r="LB260" s="39"/>
      <c r="LC260" s="39"/>
      <c r="LD260" s="39"/>
      <c r="LE260" s="39"/>
      <c r="LF260" s="39"/>
      <c r="LG260" s="39"/>
      <c r="LH260" s="39"/>
      <c r="LI260" s="39"/>
      <c r="LJ260" s="39"/>
      <c r="LK260" s="39"/>
      <c r="LL260" s="39"/>
      <c r="LM260" s="39"/>
      <c r="LN260" s="39"/>
      <c r="LO260" s="39"/>
      <c r="LP260" s="39"/>
      <c r="LQ260" s="39"/>
      <c r="LR260" s="39"/>
      <c r="LS260" s="39"/>
      <c r="LT260" s="39"/>
      <c r="LU260" s="39"/>
      <c r="LV260" s="39"/>
      <c r="LW260" s="39"/>
      <c r="LX260" s="39"/>
      <c r="LY260" s="39"/>
      <c r="LZ260" s="39"/>
      <c r="MA260" s="39"/>
      <c r="MB260" s="39"/>
      <c r="MC260" s="39"/>
      <c r="MD260" s="39"/>
      <c r="ME260" s="39"/>
      <c r="MF260" s="39"/>
      <c r="MG260" s="39"/>
      <c r="MH260" s="39"/>
      <c r="MI260" s="39"/>
      <c r="MJ260" s="39"/>
      <c r="MK260" s="39"/>
      <c r="ML260" s="39"/>
      <c r="MM260" s="39"/>
      <c r="MN260" s="39"/>
      <c r="MO260" s="39"/>
      <c r="MP260" s="39"/>
      <c r="MQ260" s="39"/>
      <c r="MR260" s="39"/>
      <c r="MS260" s="39"/>
      <c r="MT260" s="39"/>
      <c r="MU260" s="39"/>
      <c r="MV260" s="39"/>
      <c r="MW260" s="39"/>
      <c r="MX260" s="39"/>
      <c r="MY260" s="39"/>
      <c r="MZ260" s="39"/>
      <c r="NA260" s="39"/>
      <c r="NB260" s="39"/>
      <c r="NC260" s="39"/>
      <c r="ND260" s="39"/>
      <c r="NE260" s="39"/>
      <c r="NF260" s="39"/>
      <c r="NG260" s="39"/>
      <c r="NH260" s="39"/>
      <c r="NI260" s="39"/>
      <c r="NJ260" s="39"/>
      <c r="NK260" s="39"/>
      <c r="NL260" s="39"/>
      <c r="NM260" s="39"/>
      <c r="NN260" s="39"/>
      <c r="NO260" s="39"/>
      <c r="NP260" s="39"/>
      <c r="NQ260" s="39"/>
      <c r="NR260" s="39"/>
      <c r="NS260" s="39"/>
      <c r="NT260" s="39"/>
      <c r="NU260" s="39"/>
      <c r="NV260" s="39"/>
      <c r="NW260" s="39"/>
      <c r="NX260" s="39"/>
      <c r="NY260" s="39"/>
      <c r="NZ260" s="39"/>
      <c r="OA260" s="39"/>
      <c r="OB260" s="39"/>
      <c r="OC260" s="39"/>
      <c r="OD260" s="39"/>
      <c r="OE260" s="39"/>
      <c r="OF260" s="39"/>
      <c r="OG260" s="39"/>
      <c r="OH260" s="39"/>
      <c r="OI260" s="39"/>
      <c r="OJ260" s="39"/>
      <c r="OK260" s="39"/>
      <c r="OL260" s="39"/>
      <c r="OM260" s="39"/>
      <c r="ON260" s="39"/>
      <c r="OO260" s="39"/>
      <c r="OP260" s="39"/>
      <c r="OQ260" s="39"/>
      <c r="OR260" s="39"/>
      <c r="OS260" s="39"/>
      <c r="OT260" s="39"/>
      <c r="OU260" s="39"/>
      <c r="OV260" s="39"/>
      <c r="OW260" s="39"/>
      <c r="OX260" s="39"/>
      <c r="OY260" s="39"/>
      <c r="OZ260" s="39"/>
      <c r="PA260" s="39"/>
      <c r="PB260" s="39"/>
      <c r="PC260" s="39"/>
      <c r="PD260" s="39"/>
      <c r="PE260" s="39"/>
      <c r="PF260" s="39"/>
      <c r="PG260" s="39"/>
      <c r="PH260" s="39"/>
      <c r="PI260" s="39"/>
      <c r="PJ260" s="39"/>
      <c r="PK260" s="39"/>
      <c r="PL260" s="39"/>
      <c r="PM260" s="39"/>
      <c r="PN260" s="39"/>
      <c r="PO260" s="39"/>
      <c r="PP260" s="39"/>
      <c r="PQ260" s="39"/>
      <c r="PR260" s="39"/>
      <c r="PS260" s="39"/>
      <c r="PT260" s="39"/>
      <c r="PU260" s="39"/>
      <c r="PV260" s="39"/>
      <c r="PW260" s="39"/>
      <c r="PX260" s="39"/>
      <c r="PY260" s="39"/>
      <c r="PZ260" s="39"/>
      <c r="QA260" s="39"/>
      <c r="QB260" s="39"/>
      <c r="QC260" s="39"/>
      <c r="QD260" s="39"/>
      <c r="QE260" s="39"/>
      <c r="QF260" s="39"/>
      <c r="QG260" s="39"/>
      <c r="QH260" s="39"/>
      <c r="QI260" s="39"/>
      <c r="QJ260" s="39"/>
      <c r="QK260" s="39"/>
      <c r="QL260" s="39"/>
      <c r="QM260" s="39"/>
      <c r="QN260" s="39"/>
      <c r="QO260" s="39"/>
      <c r="QP260" s="39"/>
      <c r="QQ260" s="39"/>
      <c r="QR260" s="39"/>
      <c r="QS260" s="39"/>
      <c r="QT260" s="39"/>
      <c r="QU260" s="39"/>
      <c r="QV260" s="39"/>
      <c r="QW260" s="39"/>
      <c r="QX260" s="39"/>
      <c r="QY260" s="39"/>
      <c r="QZ260" s="39"/>
      <c r="RA260" s="39"/>
      <c r="RB260" s="39"/>
      <c r="RC260" s="39"/>
      <c r="RD260" s="39"/>
      <c r="RE260" s="39"/>
      <c r="RF260" s="39"/>
      <c r="RG260" s="39"/>
      <c r="RH260" s="39"/>
      <c r="RI260" s="39"/>
      <c r="RJ260" s="39"/>
      <c r="RK260" s="39"/>
      <c r="RL260" s="39"/>
      <c r="RM260" s="39"/>
      <c r="RN260" s="39"/>
      <c r="RO260" s="39"/>
      <c r="RP260" s="39"/>
      <c r="RQ260" s="39"/>
      <c r="RR260" s="39"/>
      <c r="RS260" s="39"/>
      <c r="RT260" s="39"/>
      <c r="RU260" s="39"/>
      <c r="RV260" s="39"/>
      <c r="RW260" s="39"/>
      <c r="RX260" s="39"/>
      <c r="RY260" s="39"/>
      <c r="RZ260" s="39"/>
      <c r="SA260" s="39"/>
      <c r="SB260" s="39"/>
      <c r="SC260" s="39"/>
      <c r="SD260" s="39"/>
      <c r="SE260" s="39"/>
      <c r="SF260" s="39"/>
      <c r="SG260" s="39"/>
      <c r="SH260" s="39"/>
      <c r="SI260" s="39"/>
      <c r="SJ260" s="39"/>
      <c r="SK260" s="39"/>
      <c r="SL260" s="39"/>
      <c r="SM260" s="39"/>
      <c r="SN260" s="39"/>
      <c r="SO260" s="39"/>
      <c r="SP260" s="39"/>
      <c r="SQ260" s="39"/>
      <c r="SR260" s="39"/>
      <c r="SS260" s="39"/>
      <c r="ST260" s="39"/>
      <c r="SU260" s="39"/>
      <c r="SV260" s="39"/>
      <c r="SW260" s="39"/>
      <c r="SX260" s="39"/>
      <c r="SY260" s="39"/>
      <c r="SZ260" s="39"/>
      <c r="TA260" s="39"/>
      <c r="TB260" s="39"/>
      <c r="TC260" s="39"/>
      <c r="TD260" s="39"/>
      <c r="TE260" s="39"/>
      <c r="TF260" s="39"/>
      <c r="TG260" s="39"/>
      <c r="TH260" s="39"/>
      <c r="TI260" s="39"/>
    </row>
    <row r="261" spans="1:529" s="23" customFormat="1" ht="42" customHeight="1" x14ac:dyDescent="0.25">
      <c r="A261" s="43" t="s">
        <v>237</v>
      </c>
      <c r="B261" s="44" t="str">
        <f>'дод 4'!A20</f>
        <v>0160</v>
      </c>
      <c r="C261" s="44" t="str">
        <f>'дод 4'!B20</f>
        <v>0111</v>
      </c>
      <c r="D26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61" s="66">
        <f t="shared" ref="E261:E266" si="158">F261+I261</f>
        <v>17873340</v>
      </c>
      <c r="F261" s="66">
        <f>18669000+46200-857400-45000+11040+49500</f>
        <v>17873340</v>
      </c>
      <c r="G261" s="66">
        <f>14625700-702800-36900+178000</f>
        <v>14064000</v>
      </c>
      <c r="H261" s="66">
        <v>244400</v>
      </c>
      <c r="I261" s="66"/>
      <c r="J261" s="66">
        <f>L261+O261</f>
        <v>0</v>
      </c>
      <c r="K261" s="66"/>
      <c r="L261" s="66"/>
      <c r="M261" s="66"/>
      <c r="N261" s="66"/>
      <c r="O261" s="66"/>
      <c r="P261" s="66">
        <f t="shared" ref="P261:P268" si="159">E261+J261</f>
        <v>17873340</v>
      </c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  <c r="IW261" s="26"/>
      <c r="IX261" s="26"/>
      <c r="IY261" s="26"/>
      <c r="IZ261" s="26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  <c r="JK261" s="26"/>
      <c r="JL261" s="26"/>
      <c r="JM261" s="26"/>
      <c r="JN261" s="26"/>
      <c r="JO261" s="26"/>
      <c r="JP261" s="26"/>
      <c r="JQ261" s="26"/>
      <c r="JR261" s="26"/>
      <c r="JS261" s="26"/>
      <c r="JT261" s="26"/>
      <c r="JU261" s="26"/>
      <c r="JV261" s="26"/>
      <c r="JW261" s="26"/>
      <c r="JX261" s="26"/>
      <c r="JY261" s="26"/>
      <c r="JZ261" s="26"/>
      <c r="KA261" s="26"/>
      <c r="KB261" s="26"/>
      <c r="KC261" s="26"/>
      <c r="KD261" s="26"/>
      <c r="KE261" s="26"/>
      <c r="KF261" s="26"/>
      <c r="KG261" s="26"/>
      <c r="KH261" s="26"/>
      <c r="KI261" s="26"/>
      <c r="KJ261" s="26"/>
      <c r="KK261" s="26"/>
      <c r="KL261" s="26"/>
      <c r="KM261" s="26"/>
      <c r="KN261" s="26"/>
      <c r="KO261" s="26"/>
      <c r="KP261" s="26"/>
      <c r="KQ261" s="26"/>
      <c r="KR261" s="26"/>
      <c r="KS261" s="26"/>
      <c r="KT261" s="26"/>
      <c r="KU261" s="26"/>
      <c r="KV261" s="26"/>
      <c r="KW261" s="26"/>
      <c r="KX261" s="26"/>
      <c r="KY261" s="26"/>
      <c r="KZ261" s="26"/>
      <c r="LA261" s="26"/>
      <c r="LB261" s="26"/>
      <c r="LC261" s="26"/>
      <c r="LD261" s="26"/>
      <c r="LE261" s="26"/>
      <c r="LF261" s="26"/>
      <c r="LG261" s="26"/>
      <c r="LH261" s="26"/>
      <c r="LI261" s="26"/>
      <c r="LJ261" s="26"/>
      <c r="LK261" s="26"/>
      <c r="LL261" s="26"/>
      <c r="LM261" s="26"/>
      <c r="LN261" s="26"/>
      <c r="LO261" s="26"/>
      <c r="LP261" s="26"/>
      <c r="LQ261" s="26"/>
      <c r="LR261" s="26"/>
      <c r="LS261" s="26"/>
      <c r="LT261" s="26"/>
      <c r="LU261" s="26"/>
      <c r="LV261" s="26"/>
      <c r="LW261" s="26"/>
      <c r="LX261" s="26"/>
      <c r="LY261" s="26"/>
      <c r="LZ261" s="26"/>
      <c r="MA261" s="26"/>
      <c r="MB261" s="26"/>
      <c r="MC261" s="26"/>
      <c r="MD261" s="26"/>
      <c r="ME261" s="26"/>
      <c r="MF261" s="26"/>
      <c r="MG261" s="26"/>
      <c r="MH261" s="26"/>
      <c r="MI261" s="26"/>
      <c r="MJ261" s="26"/>
      <c r="MK261" s="26"/>
      <c r="ML261" s="26"/>
      <c r="MM261" s="26"/>
      <c r="MN261" s="26"/>
      <c r="MO261" s="26"/>
      <c r="MP261" s="26"/>
      <c r="MQ261" s="26"/>
      <c r="MR261" s="26"/>
      <c r="MS261" s="26"/>
      <c r="MT261" s="26"/>
      <c r="MU261" s="26"/>
      <c r="MV261" s="26"/>
      <c r="MW261" s="26"/>
      <c r="MX261" s="26"/>
      <c r="MY261" s="26"/>
      <c r="MZ261" s="26"/>
      <c r="NA261" s="26"/>
      <c r="NB261" s="26"/>
      <c r="NC261" s="26"/>
      <c r="ND261" s="26"/>
      <c r="NE261" s="26"/>
      <c r="NF261" s="26"/>
      <c r="NG261" s="26"/>
      <c r="NH261" s="26"/>
      <c r="NI261" s="26"/>
      <c r="NJ261" s="26"/>
      <c r="NK261" s="26"/>
      <c r="NL261" s="26"/>
      <c r="NM261" s="26"/>
      <c r="NN261" s="26"/>
      <c r="NO261" s="26"/>
      <c r="NP261" s="26"/>
      <c r="NQ261" s="26"/>
      <c r="NR261" s="26"/>
      <c r="NS261" s="26"/>
      <c r="NT261" s="26"/>
      <c r="NU261" s="26"/>
      <c r="NV261" s="26"/>
      <c r="NW261" s="26"/>
      <c r="NX261" s="26"/>
      <c r="NY261" s="26"/>
      <c r="NZ261" s="26"/>
      <c r="OA261" s="26"/>
      <c r="OB261" s="26"/>
      <c r="OC261" s="26"/>
      <c r="OD261" s="26"/>
      <c r="OE261" s="26"/>
      <c r="OF261" s="26"/>
      <c r="OG261" s="26"/>
      <c r="OH261" s="26"/>
      <c r="OI261" s="26"/>
      <c r="OJ261" s="26"/>
      <c r="OK261" s="26"/>
      <c r="OL261" s="26"/>
      <c r="OM261" s="26"/>
      <c r="ON261" s="26"/>
      <c r="OO261" s="26"/>
      <c r="OP261" s="26"/>
      <c r="OQ261" s="26"/>
      <c r="OR261" s="26"/>
      <c r="OS261" s="26"/>
      <c r="OT261" s="26"/>
      <c r="OU261" s="26"/>
      <c r="OV261" s="26"/>
      <c r="OW261" s="26"/>
      <c r="OX261" s="26"/>
      <c r="OY261" s="26"/>
      <c r="OZ261" s="26"/>
      <c r="PA261" s="26"/>
      <c r="PB261" s="26"/>
      <c r="PC261" s="26"/>
      <c r="PD261" s="26"/>
      <c r="PE261" s="26"/>
      <c r="PF261" s="26"/>
      <c r="PG261" s="26"/>
      <c r="PH261" s="26"/>
      <c r="PI261" s="26"/>
      <c r="PJ261" s="26"/>
      <c r="PK261" s="26"/>
      <c r="PL261" s="26"/>
      <c r="PM261" s="26"/>
      <c r="PN261" s="26"/>
      <c r="PO261" s="26"/>
      <c r="PP261" s="26"/>
      <c r="PQ261" s="26"/>
      <c r="PR261" s="26"/>
      <c r="PS261" s="26"/>
      <c r="PT261" s="26"/>
      <c r="PU261" s="26"/>
      <c r="PV261" s="26"/>
      <c r="PW261" s="26"/>
      <c r="PX261" s="26"/>
      <c r="PY261" s="26"/>
      <c r="PZ261" s="26"/>
      <c r="QA261" s="26"/>
      <c r="QB261" s="26"/>
      <c r="QC261" s="26"/>
      <c r="QD261" s="26"/>
      <c r="QE261" s="26"/>
      <c r="QF261" s="26"/>
      <c r="QG261" s="26"/>
      <c r="QH261" s="26"/>
      <c r="QI261" s="26"/>
      <c r="QJ261" s="26"/>
      <c r="QK261" s="26"/>
      <c r="QL261" s="26"/>
      <c r="QM261" s="26"/>
      <c r="QN261" s="26"/>
      <c r="QO261" s="26"/>
      <c r="QP261" s="26"/>
      <c r="QQ261" s="26"/>
      <c r="QR261" s="26"/>
      <c r="QS261" s="26"/>
      <c r="QT261" s="26"/>
      <c r="QU261" s="26"/>
      <c r="QV261" s="26"/>
      <c r="QW261" s="26"/>
      <c r="QX261" s="26"/>
      <c r="QY261" s="26"/>
      <c r="QZ261" s="26"/>
      <c r="RA261" s="26"/>
      <c r="RB261" s="26"/>
      <c r="RC261" s="26"/>
      <c r="RD261" s="26"/>
      <c r="RE261" s="26"/>
      <c r="RF261" s="26"/>
      <c r="RG261" s="26"/>
      <c r="RH261" s="26"/>
      <c r="RI261" s="26"/>
      <c r="RJ261" s="26"/>
      <c r="RK261" s="26"/>
      <c r="RL261" s="26"/>
      <c r="RM261" s="26"/>
      <c r="RN261" s="26"/>
      <c r="RO261" s="26"/>
      <c r="RP261" s="26"/>
      <c r="RQ261" s="26"/>
      <c r="RR261" s="26"/>
      <c r="RS261" s="26"/>
      <c r="RT261" s="26"/>
      <c r="RU261" s="26"/>
      <c r="RV261" s="26"/>
      <c r="RW261" s="26"/>
      <c r="RX261" s="26"/>
      <c r="RY261" s="26"/>
      <c r="RZ261" s="26"/>
      <c r="SA261" s="26"/>
      <c r="SB261" s="26"/>
      <c r="SC261" s="26"/>
      <c r="SD261" s="26"/>
      <c r="SE261" s="26"/>
      <c r="SF261" s="26"/>
      <c r="SG261" s="26"/>
      <c r="SH261" s="26"/>
      <c r="SI261" s="26"/>
      <c r="SJ261" s="26"/>
      <c r="SK261" s="26"/>
      <c r="SL261" s="26"/>
      <c r="SM261" s="26"/>
      <c r="SN261" s="26"/>
      <c r="SO261" s="26"/>
      <c r="SP261" s="26"/>
      <c r="SQ261" s="26"/>
      <c r="SR261" s="26"/>
      <c r="SS261" s="26"/>
      <c r="ST261" s="26"/>
      <c r="SU261" s="26"/>
      <c r="SV261" s="26"/>
      <c r="SW261" s="26"/>
      <c r="SX261" s="26"/>
      <c r="SY261" s="26"/>
      <c r="SZ261" s="26"/>
      <c r="TA261" s="26"/>
      <c r="TB261" s="26"/>
      <c r="TC261" s="26"/>
      <c r="TD261" s="26"/>
      <c r="TE261" s="26"/>
      <c r="TF261" s="26"/>
      <c r="TG261" s="26"/>
      <c r="TH261" s="26"/>
      <c r="TI261" s="26"/>
    </row>
    <row r="262" spans="1:529" s="23" customFormat="1" ht="18.75" customHeight="1" x14ac:dyDescent="0.25">
      <c r="A262" s="43" t="s">
        <v>280</v>
      </c>
      <c r="B262" s="44" t="str">
        <f>'дод 4'!A167</f>
        <v>7640</v>
      </c>
      <c r="C262" s="44" t="str">
        <f>'дод 4'!B167</f>
        <v>0470</v>
      </c>
      <c r="D262" s="24" t="s">
        <v>511</v>
      </c>
      <c r="E262" s="66">
        <f t="shared" si="158"/>
        <v>237946</v>
      </c>
      <c r="F262" s="66">
        <f>345000+20000-127054</f>
        <v>237946</v>
      </c>
      <c r="G262" s="66"/>
      <c r="H262" s="66"/>
      <c r="I262" s="66"/>
      <c r="J262" s="66">
        <f t="shared" ref="J262:J268" si="160">L262+O262</f>
        <v>0</v>
      </c>
      <c r="K262" s="66"/>
      <c r="L262" s="66"/>
      <c r="M262" s="66"/>
      <c r="N262" s="66"/>
      <c r="O262" s="66"/>
      <c r="P262" s="66">
        <f t="shared" si="159"/>
        <v>237946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  <c r="IW262" s="26"/>
      <c r="IX262" s="26"/>
      <c r="IY262" s="26"/>
      <c r="IZ262" s="26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  <c r="JK262" s="26"/>
      <c r="JL262" s="26"/>
      <c r="JM262" s="26"/>
      <c r="JN262" s="26"/>
      <c r="JO262" s="26"/>
      <c r="JP262" s="26"/>
      <c r="JQ262" s="26"/>
      <c r="JR262" s="26"/>
      <c r="JS262" s="26"/>
      <c r="JT262" s="26"/>
      <c r="JU262" s="26"/>
      <c r="JV262" s="26"/>
      <c r="JW262" s="26"/>
      <c r="JX262" s="26"/>
      <c r="JY262" s="26"/>
      <c r="JZ262" s="26"/>
      <c r="KA262" s="26"/>
      <c r="KB262" s="26"/>
      <c r="KC262" s="26"/>
      <c r="KD262" s="26"/>
      <c r="KE262" s="26"/>
      <c r="KF262" s="26"/>
      <c r="KG262" s="26"/>
      <c r="KH262" s="26"/>
      <c r="KI262" s="26"/>
      <c r="KJ262" s="26"/>
      <c r="KK262" s="26"/>
      <c r="KL262" s="26"/>
      <c r="KM262" s="26"/>
      <c r="KN262" s="26"/>
      <c r="KO262" s="26"/>
      <c r="KP262" s="26"/>
      <c r="KQ262" s="26"/>
      <c r="KR262" s="26"/>
      <c r="KS262" s="26"/>
      <c r="KT262" s="26"/>
      <c r="KU262" s="26"/>
      <c r="KV262" s="26"/>
      <c r="KW262" s="26"/>
      <c r="KX262" s="26"/>
      <c r="KY262" s="26"/>
      <c r="KZ262" s="26"/>
      <c r="LA262" s="26"/>
      <c r="LB262" s="26"/>
      <c r="LC262" s="26"/>
      <c r="LD262" s="26"/>
      <c r="LE262" s="26"/>
      <c r="LF262" s="26"/>
      <c r="LG262" s="26"/>
      <c r="LH262" s="26"/>
      <c r="LI262" s="26"/>
      <c r="LJ262" s="26"/>
      <c r="LK262" s="26"/>
      <c r="LL262" s="26"/>
      <c r="LM262" s="26"/>
      <c r="LN262" s="26"/>
      <c r="LO262" s="26"/>
      <c r="LP262" s="26"/>
      <c r="LQ262" s="26"/>
      <c r="LR262" s="26"/>
      <c r="LS262" s="26"/>
      <c r="LT262" s="26"/>
      <c r="LU262" s="26"/>
      <c r="LV262" s="26"/>
      <c r="LW262" s="26"/>
      <c r="LX262" s="26"/>
      <c r="LY262" s="26"/>
      <c r="LZ262" s="26"/>
      <c r="MA262" s="26"/>
      <c r="MB262" s="26"/>
      <c r="MC262" s="26"/>
      <c r="MD262" s="26"/>
      <c r="ME262" s="26"/>
      <c r="MF262" s="26"/>
      <c r="MG262" s="26"/>
      <c r="MH262" s="26"/>
      <c r="MI262" s="26"/>
      <c r="MJ262" s="26"/>
      <c r="MK262" s="26"/>
      <c r="ML262" s="26"/>
      <c r="MM262" s="26"/>
      <c r="MN262" s="26"/>
      <c r="MO262" s="26"/>
      <c r="MP262" s="26"/>
      <c r="MQ262" s="26"/>
      <c r="MR262" s="26"/>
      <c r="MS262" s="26"/>
      <c r="MT262" s="26"/>
      <c r="MU262" s="26"/>
      <c r="MV262" s="26"/>
      <c r="MW262" s="26"/>
      <c r="MX262" s="26"/>
      <c r="MY262" s="26"/>
      <c r="MZ262" s="26"/>
      <c r="NA262" s="26"/>
      <c r="NB262" s="26"/>
      <c r="NC262" s="26"/>
      <c r="ND262" s="26"/>
      <c r="NE262" s="26"/>
      <c r="NF262" s="26"/>
      <c r="NG262" s="26"/>
      <c r="NH262" s="26"/>
      <c r="NI262" s="26"/>
      <c r="NJ262" s="26"/>
      <c r="NK262" s="26"/>
      <c r="NL262" s="26"/>
      <c r="NM262" s="26"/>
      <c r="NN262" s="26"/>
      <c r="NO262" s="26"/>
      <c r="NP262" s="26"/>
      <c r="NQ262" s="26"/>
      <c r="NR262" s="26"/>
      <c r="NS262" s="26"/>
      <c r="NT262" s="26"/>
      <c r="NU262" s="26"/>
      <c r="NV262" s="26"/>
      <c r="NW262" s="26"/>
      <c r="NX262" s="26"/>
      <c r="NY262" s="26"/>
      <c r="NZ262" s="26"/>
      <c r="OA262" s="26"/>
      <c r="OB262" s="26"/>
      <c r="OC262" s="26"/>
      <c r="OD262" s="26"/>
      <c r="OE262" s="26"/>
      <c r="OF262" s="26"/>
      <c r="OG262" s="26"/>
      <c r="OH262" s="26"/>
      <c r="OI262" s="26"/>
      <c r="OJ262" s="26"/>
      <c r="OK262" s="26"/>
      <c r="OL262" s="26"/>
      <c r="OM262" s="26"/>
      <c r="ON262" s="26"/>
      <c r="OO262" s="26"/>
      <c r="OP262" s="26"/>
      <c r="OQ262" s="26"/>
      <c r="OR262" s="26"/>
      <c r="OS262" s="26"/>
      <c r="OT262" s="26"/>
      <c r="OU262" s="26"/>
      <c r="OV262" s="26"/>
      <c r="OW262" s="26"/>
      <c r="OX262" s="26"/>
      <c r="OY262" s="26"/>
      <c r="OZ262" s="26"/>
      <c r="PA262" s="26"/>
      <c r="PB262" s="26"/>
      <c r="PC262" s="26"/>
      <c r="PD262" s="26"/>
      <c r="PE262" s="26"/>
      <c r="PF262" s="26"/>
      <c r="PG262" s="26"/>
      <c r="PH262" s="26"/>
      <c r="PI262" s="26"/>
      <c r="PJ262" s="26"/>
      <c r="PK262" s="26"/>
      <c r="PL262" s="26"/>
      <c r="PM262" s="26"/>
      <c r="PN262" s="26"/>
      <c r="PO262" s="26"/>
      <c r="PP262" s="26"/>
      <c r="PQ262" s="26"/>
      <c r="PR262" s="26"/>
      <c r="PS262" s="26"/>
      <c r="PT262" s="26"/>
      <c r="PU262" s="26"/>
      <c r="PV262" s="26"/>
      <c r="PW262" s="26"/>
      <c r="PX262" s="26"/>
      <c r="PY262" s="26"/>
      <c r="PZ262" s="26"/>
      <c r="QA262" s="26"/>
      <c r="QB262" s="26"/>
      <c r="QC262" s="26"/>
      <c r="QD262" s="26"/>
      <c r="QE262" s="26"/>
      <c r="QF262" s="26"/>
      <c r="QG262" s="26"/>
      <c r="QH262" s="26"/>
      <c r="QI262" s="26"/>
      <c r="QJ262" s="26"/>
      <c r="QK262" s="26"/>
      <c r="QL262" s="26"/>
      <c r="QM262" s="26"/>
      <c r="QN262" s="26"/>
      <c r="QO262" s="26"/>
      <c r="QP262" s="26"/>
      <c r="QQ262" s="26"/>
      <c r="QR262" s="26"/>
      <c r="QS262" s="26"/>
      <c r="QT262" s="26"/>
      <c r="QU262" s="26"/>
      <c r="QV262" s="26"/>
      <c r="QW262" s="26"/>
      <c r="QX262" s="26"/>
      <c r="QY262" s="26"/>
      <c r="QZ262" s="26"/>
      <c r="RA262" s="26"/>
      <c r="RB262" s="26"/>
      <c r="RC262" s="26"/>
      <c r="RD262" s="26"/>
      <c r="RE262" s="26"/>
      <c r="RF262" s="26"/>
      <c r="RG262" s="26"/>
      <c r="RH262" s="26"/>
      <c r="RI262" s="26"/>
      <c r="RJ262" s="26"/>
      <c r="RK262" s="26"/>
      <c r="RL262" s="26"/>
      <c r="RM262" s="26"/>
      <c r="RN262" s="26"/>
      <c r="RO262" s="26"/>
      <c r="RP262" s="26"/>
      <c r="RQ262" s="26"/>
      <c r="RR262" s="26"/>
      <c r="RS262" s="26"/>
      <c r="RT262" s="26"/>
      <c r="RU262" s="26"/>
      <c r="RV262" s="26"/>
      <c r="RW262" s="26"/>
      <c r="RX262" s="26"/>
      <c r="RY262" s="26"/>
      <c r="RZ262" s="26"/>
      <c r="SA262" s="26"/>
      <c r="SB262" s="26"/>
      <c r="SC262" s="26"/>
      <c r="SD262" s="26"/>
      <c r="SE262" s="26"/>
      <c r="SF262" s="26"/>
      <c r="SG262" s="26"/>
      <c r="SH262" s="26"/>
      <c r="SI262" s="26"/>
      <c r="SJ262" s="26"/>
      <c r="SK262" s="26"/>
      <c r="SL262" s="26"/>
      <c r="SM262" s="26"/>
      <c r="SN262" s="26"/>
      <c r="SO262" s="26"/>
      <c r="SP262" s="26"/>
      <c r="SQ262" s="26"/>
      <c r="SR262" s="26"/>
      <c r="SS262" s="26"/>
      <c r="ST262" s="26"/>
      <c r="SU262" s="26"/>
      <c r="SV262" s="26"/>
      <c r="SW262" s="26"/>
      <c r="SX262" s="26"/>
      <c r="SY262" s="26"/>
      <c r="SZ262" s="26"/>
      <c r="TA262" s="26"/>
      <c r="TB262" s="26"/>
      <c r="TC262" s="26"/>
      <c r="TD262" s="26"/>
      <c r="TE262" s="26"/>
      <c r="TF262" s="26"/>
      <c r="TG262" s="26"/>
      <c r="TH262" s="26"/>
      <c r="TI262" s="26"/>
    </row>
    <row r="263" spans="1:529" s="23" customFormat="1" ht="24" customHeight="1" x14ac:dyDescent="0.25">
      <c r="A263" s="43" t="s">
        <v>362</v>
      </c>
      <c r="B263" s="44" t="str">
        <f>'дод 4'!A174</f>
        <v>7693</v>
      </c>
      <c r="C263" s="44" t="str">
        <f>'дод 4'!B174</f>
        <v>0490</v>
      </c>
      <c r="D263" s="24" t="str">
        <f>'дод 4'!C174</f>
        <v>Інші заходи, пов'язані з економічною діяльністю</v>
      </c>
      <c r="E263" s="66">
        <f t="shared" si="158"/>
        <v>213200</v>
      </c>
      <c r="F263" s="66">
        <v>213200</v>
      </c>
      <c r="G263" s="66"/>
      <c r="H263" s="66"/>
      <c r="I263" s="66"/>
      <c r="J263" s="66">
        <f t="shared" si="160"/>
        <v>0</v>
      </c>
      <c r="K263" s="66"/>
      <c r="L263" s="66"/>
      <c r="M263" s="66"/>
      <c r="N263" s="66"/>
      <c r="O263" s="66"/>
      <c r="P263" s="66">
        <f t="shared" si="159"/>
        <v>213200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  <c r="IW263" s="26"/>
      <c r="IX263" s="26"/>
      <c r="IY263" s="26"/>
      <c r="IZ263" s="26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6"/>
      <c r="KR263" s="26"/>
      <c r="KS263" s="26"/>
      <c r="KT263" s="26"/>
      <c r="KU263" s="26"/>
      <c r="KV263" s="26"/>
      <c r="KW263" s="26"/>
      <c r="KX263" s="26"/>
      <c r="KY263" s="26"/>
      <c r="KZ263" s="26"/>
      <c r="LA263" s="26"/>
      <c r="LB263" s="26"/>
      <c r="LC263" s="26"/>
      <c r="LD263" s="26"/>
      <c r="LE263" s="26"/>
      <c r="LF263" s="26"/>
      <c r="LG263" s="26"/>
      <c r="LH263" s="26"/>
      <c r="LI263" s="26"/>
      <c r="LJ263" s="26"/>
      <c r="LK263" s="26"/>
      <c r="LL263" s="26"/>
      <c r="LM263" s="26"/>
      <c r="LN263" s="26"/>
      <c r="LO263" s="26"/>
      <c r="LP263" s="26"/>
      <c r="LQ263" s="26"/>
      <c r="LR263" s="26"/>
      <c r="LS263" s="26"/>
      <c r="LT263" s="26"/>
      <c r="LU263" s="26"/>
      <c r="LV263" s="26"/>
      <c r="LW263" s="26"/>
      <c r="LX263" s="26"/>
      <c r="LY263" s="26"/>
      <c r="LZ263" s="26"/>
      <c r="MA263" s="26"/>
      <c r="MB263" s="26"/>
      <c r="MC263" s="26"/>
      <c r="MD263" s="26"/>
      <c r="ME263" s="26"/>
      <c r="MF263" s="26"/>
      <c r="MG263" s="26"/>
      <c r="MH263" s="26"/>
      <c r="MI263" s="26"/>
      <c r="MJ263" s="26"/>
      <c r="MK263" s="26"/>
      <c r="ML263" s="26"/>
      <c r="MM263" s="26"/>
      <c r="MN263" s="26"/>
      <c r="MO263" s="26"/>
      <c r="MP263" s="26"/>
      <c r="MQ263" s="26"/>
      <c r="MR263" s="26"/>
      <c r="MS263" s="26"/>
      <c r="MT263" s="26"/>
      <c r="MU263" s="26"/>
      <c r="MV263" s="26"/>
      <c r="MW263" s="26"/>
      <c r="MX263" s="26"/>
      <c r="MY263" s="26"/>
      <c r="MZ263" s="26"/>
      <c r="NA263" s="26"/>
      <c r="NB263" s="26"/>
      <c r="NC263" s="26"/>
      <c r="ND263" s="26"/>
      <c r="NE263" s="26"/>
      <c r="NF263" s="26"/>
      <c r="NG263" s="26"/>
      <c r="NH263" s="26"/>
      <c r="NI263" s="26"/>
      <c r="NJ263" s="26"/>
      <c r="NK263" s="26"/>
      <c r="NL263" s="26"/>
      <c r="NM263" s="26"/>
      <c r="NN263" s="26"/>
      <c r="NO263" s="26"/>
      <c r="NP263" s="26"/>
      <c r="NQ263" s="26"/>
      <c r="NR263" s="26"/>
      <c r="NS263" s="26"/>
      <c r="NT263" s="26"/>
      <c r="NU263" s="26"/>
      <c r="NV263" s="26"/>
      <c r="NW263" s="26"/>
      <c r="NX263" s="26"/>
      <c r="NY263" s="26"/>
      <c r="NZ263" s="26"/>
      <c r="OA263" s="26"/>
      <c r="OB263" s="26"/>
      <c r="OC263" s="26"/>
      <c r="OD263" s="26"/>
      <c r="OE263" s="26"/>
      <c r="OF263" s="26"/>
      <c r="OG263" s="26"/>
      <c r="OH263" s="26"/>
      <c r="OI263" s="26"/>
      <c r="OJ263" s="26"/>
      <c r="OK263" s="26"/>
      <c r="OL263" s="26"/>
      <c r="OM263" s="26"/>
      <c r="ON263" s="26"/>
      <c r="OO263" s="26"/>
      <c r="OP263" s="26"/>
      <c r="OQ263" s="26"/>
      <c r="OR263" s="26"/>
      <c r="OS263" s="26"/>
      <c r="OT263" s="26"/>
      <c r="OU263" s="26"/>
      <c r="OV263" s="26"/>
      <c r="OW263" s="26"/>
      <c r="OX263" s="26"/>
      <c r="OY263" s="26"/>
      <c r="OZ263" s="26"/>
      <c r="PA263" s="26"/>
      <c r="PB263" s="26"/>
      <c r="PC263" s="26"/>
      <c r="PD263" s="26"/>
      <c r="PE263" s="26"/>
      <c r="PF263" s="26"/>
      <c r="PG263" s="26"/>
      <c r="PH263" s="26"/>
      <c r="PI263" s="26"/>
      <c r="PJ263" s="26"/>
      <c r="PK263" s="26"/>
      <c r="PL263" s="26"/>
      <c r="PM263" s="26"/>
      <c r="PN263" s="26"/>
      <c r="PO263" s="26"/>
      <c r="PP263" s="26"/>
      <c r="PQ263" s="26"/>
      <c r="PR263" s="26"/>
      <c r="PS263" s="26"/>
      <c r="PT263" s="26"/>
      <c r="PU263" s="26"/>
      <c r="PV263" s="26"/>
      <c r="PW263" s="26"/>
      <c r="PX263" s="26"/>
      <c r="PY263" s="26"/>
      <c r="PZ263" s="26"/>
      <c r="QA263" s="26"/>
      <c r="QB263" s="26"/>
      <c r="QC263" s="26"/>
      <c r="QD263" s="26"/>
      <c r="QE263" s="26"/>
      <c r="QF263" s="26"/>
      <c r="QG263" s="26"/>
      <c r="QH263" s="26"/>
      <c r="QI263" s="26"/>
      <c r="QJ263" s="26"/>
      <c r="QK263" s="26"/>
      <c r="QL263" s="26"/>
      <c r="QM263" s="26"/>
      <c r="QN263" s="26"/>
      <c r="QO263" s="26"/>
      <c r="QP263" s="26"/>
      <c r="QQ263" s="26"/>
      <c r="QR263" s="26"/>
      <c r="QS263" s="26"/>
      <c r="QT263" s="26"/>
      <c r="QU263" s="26"/>
      <c r="QV263" s="26"/>
      <c r="QW263" s="26"/>
      <c r="QX263" s="26"/>
      <c r="QY263" s="26"/>
      <c r="QZ263" s="26"/>
      <c r="RA263" s="26"/>
      <c r="RB263" s="26"/>
      <c r="RC263" s="26"/>
      <c r="RD263" s="26"/>
      <c r="RE263" s="26"/>
      <c r="RF263" s="26"/>
      <c r="RG263" s="26"/>
      <c r="RH263" s="26"/>
      <c r="RI263" s="26"/>
      <c r="RJ263" s="26"/>
      <c r="RK263" s="26"/>
      <c r="RL263" s="26"/>
      <c r="RM263" s="26"/>
      <c r="RN263" s="26"/>
      <c r="RO263" s="26"/>
      <c r="RP263" s="26"/>
      <c r="RQ263" s="26"/>
      <c r="RR263" s="26"/>
      <c r="RS263" s="26"/>
      <c r="RT263" s="26"/>
      <c r="RU263" s="26"/>
      <c r="RV263" s="26"/>
      <c r="RW263" s="26"/>
      <c r="RX263" s="26"/>
      <c r="RY263" s="26"/>
      <c r="RZ263" s="26"/>
      <c r="SA263" s="26"/>
      <c r="SB263" s="26"/>
      <c r="SC263" s="26"/>
      <c r="SD263" s="26"/>
      <c r="SE263" s="26"/>
      <c r="SF263" s="26"/>
      <c r="SG263" s="26"/>
      <c r="SH263" s="26"/>
      <c r="SI263" s="26"/>
      <c r="SJ263" s="26"/>
      <c r="SK263" s="26"/>
      <c r="SL263" s="26"/>
      <c r="SM263" s="26"/>
      <c r="SN263" s="26"/>
      <c r="SO263" s="26"/>
      <c r="SP263" s="26"/>
      <c r="SQ263" s="26"/>
      <c r="SR263" s="26"/>
      <c r="SS263" s="26"/>
      <c r="ST263" s="26"/>
      <c r="SU263" s="26"/>
      <c r="SV263" s="26"/>
      <c r="SW263" s="26"/>
      <c r="SX263" s="26"/>
      <c r="SY263" s="26"/>
      <c r="SZ263" s="26"/>
      <c r="TA263" s="26"/>
      <c r="TB263" s="26"/>
      <c r="TC263" s="26"/>
      <c r="TD263" s="26"/>
      <c r="TE263" s="26"/>
      <c r="TF263" s="26"/>
      <c r="TG263" s="26"/>
      <c r="TH263" s="26"/>
      <c r="TI263" s="26"/>
    </row>
    <row r="264" spans="1:529" s="23" customFormat="1" ht="33.75" customHeight="1" x14ac:dyDescent="0.25">
      <c r="A264" s="43">
        <v>3718330</v>
      </c>
      <c r="B264" s="44">
        <f>'дод 4'!A187</f>
        <v>8330</v>
      </c>
      <c r="C264" s="43" t="s">
        <v>99</v>
      </c>
      <c r="D264" s="24" t="str">
        <f>'дод 4'!C187</f>
        <v xml:space="preserve">Інша діяльність у сфері екології та охорони природних ресурсів </v>
      </c>
      <c r="E264" s="66">
        <f t="shared" si="158"/>
        <v>75000</v>
      </c>
      <c r="F264" s="66">
        <v>75000</v>
      </c>
      <c r="G264" s="66"/>
      <c r="H264" s="66"/>
      <c r="I264" s="66"/>
      <c r="J264" s="66">
        <f t="shared" si="160"/>
        <v>0</v>
      </c>
      <c r="K264" s="66"/>
      <c r="L264" s="66"/>
      <c r="M264" s="66"/>
      <c r="N264" s="66"/>
      <c r="O264" s="66"/>
      <c r="P264" s="66">
        <f t="shared" si="159"/>
        <v>75000</v>
      </c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  <c r="IW264" s="26"/>
      <c r="IX264" s="26"/>
      <c r="IY264" s="26"/>
      <c r="IZ264" s="26"/>
      <c r="JA264" s="26"/>
      <c r="JB264" s="26"/>
      <c r="JC264" s="26"/>
      <c r="JD264" s="26"/>
      <c r="JE264" s="26"/>
      <c r="JF264" s="26"/>
      <c r="JG264" s="26"/>
      <c r="JH264" s="26"/>
      <c r="JI264" s="26"/>
      <c r="JJ264" s="26"/>
      <c r="JK264" s="26"/>
      <c r="JL264" s="26"/>
      <c r="JM264" s="26"/>
      <c r="JN264" s="26"/>
      <c r="JO264" s="26"/>
      <c r="JP264" s="26"/>
      <c r="JQ264" s="26"/>
      <c r="JR264" s="26"/>
      <c r="JS264" s="26"/>
      <c r="JT264" s="26"/>
      <c r="JU264" s="26"/>
      <c r="JV264" s="26"/>
      <c r="JW264" s="26"/>
      <c r="JX264" s="26"/>
      <c r="JY264" s="26"/>
      <c r="JZ264" s="26"/>
      <c r="KA264" s="26"/>
      <c r="KB264" s="26"/>
      <c r="KC264" s="26"/>
      <c r="KD264" s="26"/>
      <c r="KE264" s="26"/>
      <c r="KF264" s="26"/>
      <c r="KG264" s="26"/>
      <c r="KH264" s="26"/>
      <c r="KI264" s="26"/>
      <c r="KJ264" s="26"/>
      <c r="KK264" s="26"/>
      <c r="KL264" s="26"/>
      <c r="KM264" s="26"/>
      <c r="KN264" s="26"/>
      <c r="KO264" s="26"/>
      <c r="KP264" s="26"/>
      <c r="KQ264" s="26"/>
      <c r="KR264" s="26"/>
      <c r="KS264" s="26"/>
      <c r="KT264" s="26"/>
      <c r="KU264" s="26"/>
      <c r="KV264" s="26"/>
      <c r="KW264" s="26"/>
      <c r="KX264" s="26"/>
      <c r="KY264" s="26"/>
      <c r="KZ264" s="26"/>
      <c r="LA264" s="26"/>
      <c r="LB264" s="26"/>
      <c r="LC264" s="26"/>
      <c r="LD264" s="26"/>
      <c r="LE264" s="26"/>
      <c r="LF264" s="26"/>
      <c r="LG264" s="26"/>
      <c r="LH264" s="26"/>
      <c r="LI264" s="26"/>
      <c r="LJ264" s="26"/>
      <c r="LK264" s="26"/>
      <c r="LL264" s="26"/>
      <c r="LM264" s="26"/>
      <c r="LN264" s="26"/>
      <c r="LO264" s="26"/>
      <c r="LP264" s="26"/>
      <c r="LQ264" s="26"/>
      <c r="LR264" s="26"/>
      <c r="LS264" s="26"/>
      <c r="LT264" s="26"/>
      <c r="LU264" s="26"/>
      <c r="LV264" s="26"/>
      <c r="LW264" s="26"/>
      <c r="LX264" s="26"/>
      <c r="LY264" s="26"/>
      <c r="LZ264" s="26"/>
      <c r="MA264" s="26"/>
      <c r="MB264" s="26"/>
      <c r="MC264" s="26"/>
      <c r="MD264" s="26"/>
      <c r="ME264" s="26"/>
      <c r="MF264" s="26"/>
      <c r="MG264" s="26"/>
      <c r="MH264" s="26"/>
      <c r="MI264" s="26"/>
      <c r="MJ264" s="26"/>
      <c r="MK264" s="26"/>
      <c r="ML264" s="26"/>
      <c r="MM264" s="26"/>
      <c r="MN264" s="26"/>
      <c r="MO264" s="26"/>
      <c r="MP264" s="26"/>
      <c r="MQ264" s="26"/>
      <c r="MR264" s="26"/>
      <c r="MS264" s="26"/>
      <c r="MT264" s="26"/>
      <c r="MU264" s="26"/>
      <c r="MV264" s="26"/>
      <c r="MW264" s="26"/>
      <c r="MX264" s="26"/>
      <c r="MY264" s="26"/>
      <c r="MZ264" s="26"/>
      <c r="NA264" s="26"/>
      <c r="NB264" s="26"/>
      <c r="NC264" s="26"/>
      <c r="ND264" s="26"/>
      <c r="NE264" s="26"/>
      <c r="NF264" s="26"/>
      <c r="NG264" s="26"/>
      <c r="NH264" s="26"/>
      <c r="NI264" s="26"/>
      <c r="NJ264" s="26"/>
      <c r="NK264" s="26"/>
      <c r="NL264" s="26"/>
      <c r="NM264" s="26"/>
      <c r="NN264" s="26"/>
      <c r="NO264" s="26"/>
      <c r="NP264" s="26"/>
      <c r="NQ264" s="26"/>
      <c r="NR264" s="26"/>
      <c r="NS264" s="26"/>
      <c r="NT264" s="26"/>
      <c r="NU264" s="26"/>
      <c r="NV264" s="26"/>
      <c r="NW264" s="26"/>
      <c r="NX264" s="26"/>
      <c r="NY264" s="26"/>
      <c r="NZ264" s="26"/>
      <c r="OA264" s="26"/>
      <c r="OB264" s="26"/>
      <c r="OC264" s="26"/>
      <c r="OD264" s="26"/>
      <c r="OE264" s="26"/>
      <c r="OF264" s="26"/>
      <c r="OG264" s="26"/>
      <c r="OH264" s="26"/>
      <c r="OI264" s="26"/>
      <c r="OJ264" s="26"/>
      <c r="OK264" s="26"/>
      <c r="OL264" s="26"/>
      <c r="OM264" s="26"/>
      <c r="ON264" s="26"/>
      <c r="OO264" s="26"/>
      <c r="OP264" s="26"/>
      <c r="OQ264" s="26"/>
      <c r="OR264" s="26"/>
      <c r="OS264" s="26"/>
      <c r="OT264" s="26"/>
      <c r="OU264" s="26"/>
      <c r="OV264" s="26"/>
      <c r="OW264" s="26"/>
      <c r="OX264" s="26"/>
      <c r="OY264" s="26"/>
      <c r="OZ264" s="26"/>
      <c r="PA264" s="26"/>
      <c r="PB264" s="26"/>
      <c r="PC264" s="26"/>
      <c r="PD264" s="26"/>
      <c r="PE264" s="26"/>
      <c r="PF264" s="26"/>
      <c r="PG264" s="26"/>
      <c r="PH264" s="26"/>
      <c r="PI264" s="26"/>
      <c r="PJ264" s="26"/>
      <c r="PK264" s="26"/>
      <c r="PL264" s="26"/>
      <c r="PM264" s="26"/>
      <c r="PN264" s="26"/>
      <c r="PO264" s="26"/>
      <c r="PP264" s="26"/>
      <c r="PQ264" s="26"/>
      <c r="PR264" s="26"/>
      <c r="PS264" s="26"/>
      <c r="PT264" s="26"/>
      <c r="PU264" s="26"/>
      <c r="PV264" s="26"/>
      <c r="PW264" s="26"/>
      <c r="PX264" s="26"/>
      <c r="PY264" s="26"/>
      <c r="PZ264" s="26"/>
      <c r="QA264" s="26"/>
      <c r="QB264" s="26"/>
      <c r="QC264" s="26"/>
      <c r="QD264" s="26"/>
      <c r="QE264" s="26"/>
      <c r="QF264" s="26"/>
      <c r="QG264" s="26"/>
      <c r="QH264" s="26"/>
      <c r="QI264" s="26"/>
      <c r="QJ264" s="26"/>
      <c r="QK264" s="26"/>
      <c r="QL264" s="26"/>
      <c r="QM264" s="26"/>
      <c r="QN264" s="26"/>
      <c r="QO264" s="26"/>
      <c r="QP264" s="26"/>
      <c r="QQ264" s="26"/>
      <c r="QR264" s="26"/>
      <c r="QS264" s="26"/>
      <c r="QT264" s="26"/>
      <c r="QU264" s="26"/>
      <c r="QV264" s="26"/>
      <c r="QW264" s="26"/>
      <c r="QX264" s="26"/>
      <c r="QY264" s="26"/>
      <c r="QZ264" s="26"/>
      <c r="RA264" s="26"/>
      <c r="RB264" s="26"/>
      <c r="RC264" s="26"/>
      <c r="RD264" s="26"/>
      <c r="RE264" s="26"/>
      <c r="RF264" s="26"/>
      <c r="RG264" s="26"/>
      <c r="RH264" s="26"/>
      <c r="RI264" s="26"/>
      <c r="RJ264" s="26"/>
      <c r="RK264" s="26"/>
      <c r="RL264" s="26"/>
      <c r="RM264" s="26"/>
      <c r="RN264" s="26"/>
      <c r="RO264" s="26"/>
      <c r="RP264" s="26"/>
      <c r="RQ264" s="26"/>
      <c r="RR264" s="26"/>
      <c r="RS264" s="26"/>
      <c r="RT264" s="26"/>
      <c r="RU264" s="26"/>
      <c r="RV264" s="26"/>
      <c r="RW264" s="26"/>
      <c r="RX264" s="26"/>
      <c r="RY264" s="26"/>
      <c r="RZ264" s="26"/>
      <c r="SA264" s="26"/>
      <c r="SB264" s="26"/>
      <c r="SC264" s="26"/>
      <c r="SD264" s="26"/>
      <c r="SE264" s="26"/>
      <c r="SF264" s="26"/>
      <c r="SG264" s="26"/>
      <c r="SH264" s="26"/>
      <c r="SI264" s="26"/>
      <c r="SJ264" s="26"/>
      <c r="SK264" s="26"/>
      <c r="SL264" s="26"/>
      <c r="SM264" s="26"/>
      <c r="SN264" s="26"/>
      <c r="SO264" s="26"/>
      <c r="SP264" s="26"/>
      <c r="SQ264" s="26"/>
      <c r="SR264" s="26"/>
      <c r="SS264" s="26"/>
      <c r="ST264" s="26"/>
      <c r="SU264" s="26"/>
      <c r="SV264" s="26"/>
      <c r="SW264" s="26"/>
      <c r="SX264" s="26"/>
      <c r="SY264" s="26"/>
      <c r="SZ264" s="26"/>
      <c r="TA264" s="26"/>
      <c r="TB264" s="26"/>
      <c r="TC264" s="26"/>
      <c r="TD264" s="26"/>
      <c r="TE264" s="26"/>
      <c r="TF264" s="26"/>
      <c r="TG264" s="26"/>
      <c r="TH264" s="26"/>
      <c r="TI264" s="26"/>
    </row>
    <row r="265" spans="1:529" s="23" customFormat="1" ht="26.25" customHeight="1" x14ac:dyDescent="0.25">
      <c r="A265" s="43" t="s">
        <v>238</v>
      </c>
      <c r="B265" s="44" t="str">
        <f>'дод 4'!A188</f>
        <v>8340</v>
      </c>
      <c r="C265" s="43" t="str">
        <f>'дод 4'!B188</f>
        <v>0540</v>
      </c>
      <c r="D265" s="24" t="str">
        <f>'дод 4'!C188</f>
        <v>Природоохоронні заходи за рахунок цільових фондів</v>
      </c>
      <c r="E265" s="66">
        <f t="shared" si="158"/>
        <v>0</v>
      </c>
      <c r="F265" s="66"/>
      <c r="G265" s="66"/>
      <c r="H265" s="66"/>
      <c r="I265" s="66"/>
      <c r="J265" s="66">
        <f t="shared" si="160"/>
        <v>93500</v>
      </c>
      <c r="K265" s="66"/>
      <c r="L265" s="66">
        <f>45000+48500</f>
        <v>93500</v>
      </c>
      <c r="M265" s="66"/>
      <c r="N265" s="66"/>
      <c r="O265" s="66"/>
      <c r="P265" s="66">
        <f t="shared" si="159"/>
        <v>93500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  <c r="IW265" s="26"/>
      <c r="IX265" s="26"/>
      <c r="IY265" s="26"/>
      <c r="IZ265" s="26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  <c r="JK265" s="26"/>
      <c r="JL265" s="26"/>
      <c r="JM265" s="26"/>
      <c r="JN265" s="26"/>
      <c r="JO265" s="26"/>
      <c r="JP265" s="26"/>
      <c r="JQ265" s="26"/>
      <c r="JR265" s="26"/>
      <c r="JS265" s="26"/>
      <c r="JT265" s="26"/>
      <c r="JU265" s="26"/>
      <c r="JV265" s="26"/>
      <c r="JW265" s="26"/>
      <c r="JX265" s="26"/>
      <c r="JY265" s="26"/>
      <c r="JZ265" s="26"/>
      <c r="KA265" s="26"/>
      <c r="KB265" s="26"/>
      <c r="KC265" s="26"/>
      <c r="KD265" s="26"/>
      <c r="KE265" s="26"/>
      <c r="KF265" s="26"/>
      <c r="KG265" s="26"/>
      <c r="KH265" s="26"/>
      <c r="KI265" s="26"/>
      <c r="KJ265" s="26"/>
      <c r="KK265" s="26"/>
      <c r="KL265" s="26"/>
      <c r="KM265" s="26"/>
      <c r="KN265" s="26"/>
      <c r="KO265" s="26"/>
      <c r="KP265" s="26"/>
      <c r="KQ265" s="26"/>
      <c r="KR265" s="26"/>
      <c r="KS265" s="26"/>
      <c r="KT265" s="26"/>
      <c r="KU265" s="26"/>
      <c r="KV265" s="26"/>
      <c r="KW265" s="26"/>
      <c r="KX265" s="26"/>
      <c r="KY265" s="26"/>
      <c r="KZ265" s="26"/>
      <c r="LA265" s="26"/>
      <c r="LB265" s="26"/>
      <c r="LC265" s="26"/>
      <c r="LD265" s="26"/>
      <c r="LE265" s="26"/>
      <c r="LF265" s="26"/>
      <c r="LG265" s="26"/>
      <c r="LH265" s="26"/>
      <c r="LI265" s="26"/>
      <c r="LJ265" s="26"/>
      <c r="LK265" s="26"/>
      <c r="LL265" s="26"/>
      <c r="LM265" s="26"/>
      <c r="LN265" s="26"/>
      <c r="LO265" s="26"/>
      <c r="LP265" s="26"/>
      <c r="LQ265" s="26"/>
      <c r="LR265" s="26"/>
      <c r="LS265" s="26"/>
      <c r="LT265" s="26"/>
      <c r="LU265" s="26"/>
      <c r="LV265" s="26"/>
      <c r="LW265" s="26"/>
      <c r="LX265" s="26"/>
      <c r="LY265" s="26"/>
      <c r="LZ265" s="26"/>
      <c r="MA265" s="26"/>
      <c r="MB265" s="26"/>
      <c r="MC265" s="26"/>
      <c r="MD265" s="26"/>
      <c r="ME265" s="26"/>
      <c r="MF265" s="26"/>
      <c r="MG265" s="26"/>
      <c r="MH265" s="26"/>
      <c r="MI265" s="26"/>
      <c r="MJ265" s="26"/>
      <c r="MK265" s="26"/>
      <c r="ML265" s="26"/>
      <c r="MM265" s="26"/>
      <c r="MN265" s="26"/>
      <c r="MO265" s="26"/>
      <c r="MP265" s="26"/>
      <c r="MQ265" s="26"/>
      <c r="MR265" s="26"/>
      <c r="MS265" s="26"/>
      <c r="MT265" s="26"/>
      <c r="MU265" s="26"/>
      <c r="MV265" s="26"/>
      <c r="MW265" s="26"/>
      <c r="MX265" s="26"/>
      <c r="MY265" s="26"/>
      <c r="MZ265" s="26"/>
      <c r="NA265" s="26"/>
      <c r="NB265" s="26"/>
      <c r="NC265" s="26"/>
      <c r="ND265" s="26"/>
      <c r="NE265" s="26"/>
      <c r="NF265" s="26"/>
      <c r="NG265" s="26"/>
      <c r="NH265" s="26"/>
      <c r="NI265" s="26"/>
      <c r="NJ265" s="26"/>
      <c r="NK265" s="26"/>
      <c r="NL265" s="26"/>
      <c r="NM265" s="26"/>
      <c r="NN265" s="26"/>
      <c r="NO265" s="26"/>
      <c r="NP265" s="26"/>
      <c r="NQ265" s="26"/>
      <c r="NR265" s="26"/>
      <c r="NS265" s="26"/>
      <c r="NT265" s="26"/>
      <c r="NU265" s="26"/>
      <c r="NV265" s="26"/>
      <c r="NW265" s="26"/>
      <c r="NX265" s="26"/>
      <c r="NY265" s="26"/>
      <c r="NZ265" s="26"/>
      <c r="OA265" s="26"/>
      <c r="OB265" s="26"/>
      <c r="OC265" s="26"/>
      <c r="OD265" s="26"/>
      <c r="OE265" s="26"/>
      <c r="OF265" s="26"/>
      <c r="OG265" s="26"/>
      <c r="OH265" s="26"/>
      <c r="OI265" s="26"/>
      <c r="OJ265" s="26"/>
      <c r="OK265" s="26"/>
      <c r="OL265" s="26"/>
      <c r="OM265" s="26"/>
      <c r="ON265" s="26"/>
      <c r="OO265" s="26"/>
      <c r="OP265" s="26"/>
      <c r="OQ265" s="26"/>
      <c r="OR265" s="26"/>
      <c r="OS265" s="26"/>
      <c r="OT265" s="26"/>
      <c r="OU265" s="26"/>
      <c r="OV265" s="26"/>
      <c r="OW265" s="26"/>
      <c r="OX265" s="26"/>
      <c r="OY265" s="26"/>
      <c r="OZ265" s="26"/>
      <c r="PA265" s="26"/>
      <c r="PB265" s="26"/>
      <c r="PC265" s="26"/>
      <c r="PD265" s="26"/>
      <c r="PE265" s="26"/>
      <c r="PF265" s="26"/>
      <c r="PG265" s="26"/>
      <c r="PH265" s="26"/>
      <c r="PI265" s="26"/>
      <c r="PJ265" s="26"/>
      <c r="PK265" s="26"/>
      <c r="PL265" s="26"/>
      <c r="PM265" s="26"/>
      <c r="PN265" s="26"/>
      <c r="PO265" s="26"/>
      <c r="PP265" s="26"/>
      <c r="PQ265" s="26"/>
      <c r="PR265" s="26"/>
      <c r="PS265" s="26"/>
      <c r="PT265" s="26"/>
      <c r="PU265" s="26"/>
      <c r="PV265" s="26"/>
      <c r="PW265" s="26"/>
      <c r="PX265" s="26"/>
      <c r="PY265" s="26"/>
      <c r="PZ265" s="26"/>
      <c r="QA265" s="26"/>
      <c r="QB265" s="26"/>
      <c r="QC265" s="26"/>
      <c r="QD265" s="26"/>
      <c r="QE265" s="26"/>
      <c r="QF265" s="26"/>
      <c r="QG265" s="26"/>
      <c r="QH265" s="26"/>
      <c r="QI265" s="26"/>
      <c r="QJ265" s="26"/>
      <c r="QK265" s="26"/>
      <c r="QL265" s="26"/>
      <c r="QM265" s="26"/>
      <c r="QN265" s="26"/>
      <c r="QO265" s="26"/>
      <c r="QP265" s="26"/>
      <c r="QQ265" s="26"/>
      <c r="QR265" s="26"/>
      <c r="QS265" s="26"/>
      <c r="QT265" s="26"/>
      <c r="QU265" s="26"/>
      <c r="QV265" s="26"/>
      <c r="QW265" s="26"/>
      <c r="QX265" s="26"/>
      <c r="QY265" s="26"/>
      <c r="QZ265" s="26"/>
      <c r="RA265" s="26"/>
      <c r="RB265" s="26"/>
      <c r="RC265" s="26"/>
      <c r="RD265" s="26"/>
      <c r="RE265" s="26"/>
      <c r="RF265" s="26"/>
      <c r="RG265" s="26"/>
      <c r="RH265" s="26"/>
      <c r="RI265" s="26"/>
      <c r="RJ265" s="26"/>
      <c r="RK265" s="26"/>
      <c r="RL265" s="26"/>
      <c r="RM265" s="26"/>
      <c r="RN265" s="26"/>
      <c r="RO265" s="26"/>
      <c r="RP265" s="26"/>
      <c r="RQ265" s="26"/>
      <c r="RR265" s="26"/>
      <c r="RS265" s="26"/>
      <c r="RT265" s="26"/>
      <c r="RU265" s="26"/>
      <c r="RV265" s="26"/>
      <c r="RW265" s="26"/>
      <c r="RX265" s="26"/>
      <c r="RY265" s="26"/>
      <c r="RZ265" s="26"/>
      <c r="SA265" s="26"/>
      <c r="SB265" s="26"/>
      <c r="SC265" s="26"/>
      <c r="SD265" s="26"/>
      <c r="SE265" s="26"/>
      <c r="SF265" s="26"/>
      <c r="SG265" s="26"/>
      <c r="SH265" s="26"/>
      <c r="SI265" s="26"/>
      <c r="SJ265" s="26"/>
      <c r="SK265" s="26"/>
      <c r="SL265" s="26"/>
      <c r="SM265" s="26"/>
      <c r="SN265" s="26"/>
      <c r="SO265" s="26"/>
      <c r="SP265" s="26"/>
      <c r="SQ265" s="26"/>
      <c r="SR265" s="26"/>
      <c r="SS265" s="26"/>
      <c r="ST265" s="26"/>
      <c r="SU265" s="26"/>
      <c r="SV265" s="26"/>
      <c r="SW265" s="26"/>
      <c r="SX265" s="26"/>
      <c r="SY265" s="26"/>
      <c r="SZ265" s="26"/>
      <c r="TA265" s="26"/>
      <c r="TB265" s="26"/>
      <c r="TC265" s="26"/>
      <c r="TD265" s="26"/>
      <c r="TE265" s="26"/>
      <c r="TF265" s="26"/>
      <c r="TG265" s="26"/>
      <c r="TH265" s="26"/>
      <c r="TI265" s="26"/>
    </row>
    <row r="266" spans="1:529" s="23" customFormat="1" ht="27" customHeight="1" x14ac:dyDescent="0.25">
      <c r="A266" s="43" t="s">
        <v>239</v>
      </c>
      <c r="B266" s="44" t="str">
        <f>'дод 4'!A191</f>
        <v>8600</v>
      </c>
      <c r="C266" s="44" t="str">
        <f>'дод 4'!B191</f>
        <v>0170</v>
      </c>
      <c r="D266" s="24" t="str">
        <f>'дод 4'!C191</f>
        <v>Обслуговування місцевого боргу</v>
      </c>
      <c r="E266" s="66">
        <f t="shared" si="158"/>
        <v>712065</v>
      </c>
      <c r="F266" s="66">
        <f>28187+238378+445500</f>
        <v>712065</v>
      </c>
      <c r="G266" s="66"/>
      <c r="H266" s="66"/>
      <c r="I266" s="66"/>
      <c r="J266" s="66">
        <f t="shared" si="160"/>
        <v>0</v>
      </c>
      <c r="K266" s="66"/>
      <c r="L266" s="66"/>
      <c r="M266" s="66"/>
      <c r="N266" s="66"/>
      <c r="O266" s="66"/>
      <c r="P266" s="66">
        <f t="shared" si="159"/>
        <v>712065</v>
      </c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  <c r="IV266" s="26"/>
      <c r="IW266" s="26"/>
      <c r="IX266" s="26"/>
      <c r="IY266" s="26"/>
      <c r="IZ266" s="26"/>
      <c r="JA266" s="26"/>
      <c r="JB266" s="26"/>
      <c r="JC266" s="26"/>
      <c r="JD266" s="26"/>
      <c r="JE266" s="26"/>
      <c r="JF266" s="26"/>
      <c r="JG266" s="26"/>
      <c r="JH266" s="26"/>
      <c r="JI266" s="26"/>
      <c r="JJ266" s="26"/>
      <c r="JK266" s="26"/>
      <c r="JL266" s="26"/>
      <c r="JM266" s="26"/>
      <c r="JN266" s="26"/>
      <c r="JO266" s="26"/>
      <c r="JP266" s="26"/>
      <c r="JQ266" s="26"/>
      <c r="JR266" s="26"/>
      <c r="JS266" s="26"/>
      <c r="JT266" s="26"/>
      <c r="JU266" s="26"/>
      <c r="JV266" s="26"/>
      <c r="JW266" s="26"/>
      <c r="JX266" s="26"/>
      <c r="JY266" s="26"/>
      <c r="JZ266" s="26"/>
      <c r="KA266" s="26"/>
      <c r="KB266" s="26"/>
      <c r="KC266" s="26"/>
      <c r="KD266" s="26"/>
      <c r="KE266" s="26"/>
      <c r="KF266" s="26"/>
      <c r="KG266" s="26"/>
      <c r="KH266" s="26"/>
      <c r="KI266" s="26"/>
      <c r="KJ266" s="26"/>
      <c r="KK266" s="26"/>
      <c r="KL266" s="26"/>
      <c r="KM266" s="26"/>
      <c r="KN266" s="26"/>
      <c r="KO266" s="26"/>
      <c r="KP266" s="26"/>
      <c r="KQ266" s="26"/>
      <c r="KR266" s="26"/>
      <c r="KS266" s="26"/>
      <c r="KT266" s="26"/>
      <c r="KU266" s="26"/>
      <c r="KV266" s="26"/>
      <c r="KW266" s="26"/>
      <c r="KX266" s="26"/>
      <c r="KY266" s="26"/>
      <c r="KZ266" s="26"/>
      <c r="LA266" s="26"/>
      <c r="LB266" s="26"/>
      <c r="LC266" s="26"/>
      <c r="LD266" s="26"/>
      <c r="LE266" s="26"/>
      <c r="LF266" s="26"/>
      <c r="LG266" s="26"/>
      <c r="LH266" s="26"/>
      <c r="LI266" s="26"/>
      <c r="LJ266" s="26"/>
      <c r="LK266" s="26"/>
      <c r="LL266" s="26"/>
      <c r="LM266" s="26"/>
      <c r="LN266" s="26"/>
      <c r="LO266" s="26"/>
      <c r="LP266" s="26"/>
      <c r="LQ266" s="26"/>
      <c r="LR266" s="26"/>
      <c r="LS266" s="26"/>
      <c r="LT266" s="26"/>
      <c r="LU266" s="26"/>
      <c r="LV266" s="26"/>
      <c r="LW266" s="26"/>
      <c r="LX266" s="26"/>
      <c r="LY266" s="26"/>
      <c r="LZ266" s="26"/>
      <c r="MA266" s="26"/>
      <c r="MB266" s="26"/>
      <c r="MC266" s="26"/>
      <c r="MD266" s="26"/>
      <c r="ME266" s="26"/>
      <c r="MF266" s="26"/>
      <c r="MG266" s="26"/>
      <c r="MH266" s="26"/>
      <c r="MI266" s="26"/>
      <c r="MJ266" s="26"/>
      <c r="MK266" s="26"/>
      <c r="ML266" s="26"/>
      <c r="MM266" s="26"/>
      <c r="MN266" s="26"/>
      <c r="MO266" s="26"/>
      <c r="MP266" s="26"/>
      <c r="MQ266" s="26"/>
      <c r="MR266" s="26"/>
      <c r="MS266" s="26"/>
      <c r="MT266" s="26"/>
      <c r="MU266" s="26"/>
      <c r="MV266" s="26"/>
      <c r="MW266" s="26"/>
      <c r="MX266" s="26"/>
      <c r="MY266" s="26"/>
      <c r="MZ266" s="26"/>
      <c r="NA266" s="26"/>
      <c r="NB266" s="26"/>
      <c r="NC266" s="26"/>
      <c r="ND266" s="26"/>
      <c r="NE266" s="26"/>
      <c r="NF266" s="26"/>
      <c r="NG266" s="26"/>
      <c r="NH266" s="26"/>
      <c r="NI266" s="26"/>
      <c r="NJ266" s="26"/>
      <c r="NK266" s="26"/>
      <c r="NL266" s="26"/>
      <c r="NM266" s="26"/>
      <c r="NN266" s="26"/>
      <c r="NO266" s="26"/>
      <c r="NP266" s="26"/>
      <c r="NQ266" s="26"/>
      <c r="NR266" s="26"/>
      <c r="NS266" s="26"/>
      <c r="NT266" s="26"/>
      <c r="NU266" s="26"/>
      <c r="NV266" s="26"/>
      <c r="NW266" s="26"/>
      <c r="NX266" s="26"/>
      <c r="NY266" s="26"/>
      <c r="NZ266" s="26"/>
      <c r="OA266" s="26"/>
      <c r="OB266" s="26"/>
      <c r="OC266" s="26"/>
      <c r="OD266" s="26"/>
      <c r="OE266" s="26"/>
      <c r="OF266" s="26"/>
      <c r="OG266" s="26"/>
      <c r="OH266" s="26"/>
      <c r="OI266" s="26"/>
      <c r="OJ266" s="26"/>
      <c r="OK266" s="26"/>
      <c r="OL266" s="26"/>
      <c r="OM266" s="26"/>
      <c r="ON266" s="26"/>
      <c r="OO266" s="26"/>
      <c r="OP266" s="26"/>
      <c r="OQ266" s="26"/>
      <c r="OR266" s="26"/>
      <c r="OS266" s="26"/>
      <c r="OT266" s="26"/>
      <c r="OU266" s="26"/>
      <c r="OV266" s="26"/>
      <c r="OW266" s="26"/>
      <c r="OX266" s="26"/>
      <c r="OY266" s="26"/>
      <c r="OZ266" s="26"/>
      <c r="PA266" s="26"/>
      <c r="PB266" s="26"/>
      <c r="PC266" s="26"/>
      <c r="PD266" s="26"/>
      <c r="PE266" s="26"/>
      <c r="PF266" s="26"/>
      <c r="PG266" s="26"/>
      <c r="PH266" s="26"/>
      <c r="PI266" s="26"/>
      <c r="PJ266" s="26"/>
      <c r="PK266" s="26"/>
      <c r="PL266" s="26"/>
      <c r="PM266" s="26"/>
      <c r="PN266" s="26"/>
      <c r="PO266" s="26"/>
      <c r="PP266" s="26"/>
      <c r="PQ266" s="26"/>
      <c r="PR266" s="26"/>
      <c r="PS266" s="26"/>
      <c r="PT266" s="26"/>
      <c r="PU266" s="26"/>
      <c r="PV266" s="26"/>
      <c r="PW266" s="26"/>
      <c r="PX266" s="26"/>
      <c r="PY266" s="26"/>
      <c r="PZ266" s="26"/>
      <c r="QA266" s="26"/>
      <c r="QB266" s="26"/>
      <c r="QC266" s="26"/>
      <c r="QD266" s="26"/>
      <c r="QE266" s="26"/>
      <c r="QF266" s="26"/>
      <c r="QG266" s="26"/>
      <c r="QH266" s="26"/>
      <c r="QI266" s="26"/>
      <c r="QJ266" s="26"/>
      <c r="QK266" s="26"/>
      <c r="QL266" s="26"/>
      <c r="QM266" s="26"/>
      <c r="QN266" s="26"/>
      <c r="QO266" s="26"/>
      <c r="QP266" s="26"/>
      <c r="QQ266" s="26"/>
      <c r="QR266" s="26"/>
      <c r="QS266" s="26"/>
      <c r="QT266" s="26"/>
      <c r="QU266" s="26"/>
      <c r="QV266" s="26"/>
      <c r="QW266" s="26"/>
      <c r="QX266" s="26"/>
      <c r="QY266" s="26"/>
      <c r="QZ266" s="26"/>
      <c r="RA266" s="26"/>
      <c r="RB266" s="26"/>
      <c r="RC266" s="26"/>
      <c r="RD266" s="26"/>
      <c r="RE266" s="26"/>
      <c r="RF266" s="26"/>
      <c r="RG266" s="26"/>
      <c r="RH266" s="26"/>
      <c r="RI266" s="26"/>
      <c r="RJ266" s="26"/>
      <c r="RK266" s="26"/>
      <c r="RL266" s="26"/>
      <c r="RM266" s="26"/>
      <c r="RN266" s="26"/>
      <c r="RO266" s="26"/>
      <c r="RP266" s="26"/>
      <c r="RQ266" s="26"/>
      <c r="RR266" s="26"/>
      <c r="RS266" s="26"/>
      <c r="RT266" s="26"/>
      <c r="RU266" s="26"/>
      <c r="RV266" s="26"/>
      <c r="RW266" s="26"/>
      <c r="RX266" s="26"/>
      <c r="RY266" s="26"/>
      <c r="RZ266" s="26"/>
      <c r="SA266" s="26"/>
      <c r="SB266" s="26"/>
      <c r="SC266" s="26"/>
      <c r="SD266" s="26"/>
      <c r="SE266" s="26"/>
      <c r="SF266" s="26"/>
      <c r="SG266" s="26"/>
      <c r="SH266" s="26"/>
      <c r="SI266" s="26"/>
      <c r="SJ266" s="26"/>
      <c r="SK266" s="26"/>
      <c r="SL266" s="26"/>
      <c r="SM266" s="26"/>
      <c r="SN266" s="26"/>
      <c r="SO266" s="26"/>
      <c r="SP266" s="26"/>
      <c r="SQ266" s="26"/>
      <c r="SR266" s="26"/>
      <c r="SS266" s="26"/>
      <c r="ST266" s="26"/>
      <c r="SU266" s="26"/>
      <c r="SV266" s="26"/>
      <c r="SW266" s="26"/>
      <c r="SX266" s="26"/>
      <c r="SY266" s="26"/>
      <c r="SZ266" s="26"/>
      <c r="TA266" s="26"/>
      <c r="TB266" s="26"/>
      <c r="TC266" s="26"/>
      <c r="TD266" s="26"/>
      <c r="TE266" s="26"/>
      <c r="TF266" s="26"/>
      <c r="TG266" s="26"/>
      <c r="TH266" s="26"/>
      <c r="TI266" s="26"/>
    </row>
    <row r="267" spans="1:529" s="23" customFormat="1" ht="21" customHeight="1" x14ac:dyDescent="0.25">
      <c r="A267" s="43" t="s">
        <v>253</v>
      </c>
      <c r="B267" s="44" t="str">
        <f>'дод 4'!A192</f>
        <v>8700</v>
      </c>
      <c r="C267" s="44" t="str">
        <f>'дод 4'!B192</f>
        <v>0133</v>
      </c>
      <c r="D267" s="24" t="str">
        <f>'дод 4'!C192</f>
        <v>Резервний фонд</v>
      </c>
      <c r="E267" s="66">
        <f>20000000+40000+102390-13000000-1535318+4392928-570000-1581248-650000-30000-275500+29350+17059129.05+17300-12879140-5755800-50000</f>
        <v>5314091.0500000007</v>
      </c>
      <c r="F267" s="66"/>
      <c r="G267" s="66"/>
      <c r="H267" s="66"/>
      <c r="I267" s="66"/>
      <c r="J267" s="66">
        <f t="shared" si="160"/>
        <v>0</v>
      </c>
      <c r="K267" s="66"/>
      <c r="L267" s="66"/>
      <c r="M267" s="66"/>
      <c r="N267" s="66"/>
      <c r="O267" s="66"/>
      <c r="P267" s="66">
        <f t="shared" si="159"/>
        <v>5314091.0500000007</v>
      </c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  <c r="IW267" s="26"/>
      <c r="IX267" s="26"/>
      <c r="IY267" s="26"/>
      <c r="IZ267" s="26"/>
      <c r="JA267" s="26"/>
      <c r="JB267" s="26"/>
      <c r="JC267" s="26"/>
      <c r="JD267" s="26"/>
      <c r="JE267" s="26"/>
      <c r="JF267" s="26"/>
      <c r="JG267" s="26"/>
      <c r="JH267" s="26"/>
      <c r="JI267" s="26"/>
      <c r="JJ267" s="26"/>
      <c r="JK267" s="26"/>
      <c r="JL267" s="26"/>
      <c r="JM267" s="26"/>
      <c r="JN267" s="26"/>
      <c r="JO267" s="26"/>
      <c r="JP267" s="26"/>
      <c r="JQ267" s="26"/>
      <c r="JR267" s="26"/>
      <c r="JS267" s="26"/>
      <c r="JT267" s="26"/>
      <c r="JU267" s="26"/>
      <c r="JV267" s="26"/>
      <c r="JW267" s="26"/>
      <c r="JX267" s="26"/>
      <c r="JY267" s="26"/>
      <c r="JZ267" s="26"/>
      <c r="KA267" s="26"/>
      <c r="KB267" s="26"/>
      <c r="KC267" s="26"/>
      <c r="KD267" s="26"/>
      <c r="KE267" s="26"/>
      <c r="KF267" s="26"/>
      <c r="KG267" s="26"/>
      <c r="KH267" s="26"/>
      <c r="KI267" s="26"/>
      <c r="KJ267" s="26"/>
      <c r="KK267" s="26"/>
      <c r="KL267" s="26"/>
      <c r="KM267" s="26"/>
      <c r="KN267" s="26"/>
      <c r="KO267" s="26"/>
      <c r="KP267" s="26"/>
      <c r="KQ267" s="26"/>
      <c r="KR267" s="26"/>
      <c r="KS267" s="26"/>
      <c r="KT267" s="26"/>
      <c r="KU267" s="26"/>
      <c r="KV267" s="26"/>
      <c r="KW267" s="26"/>
      <c r="KX267" s="26"/>
      <c r="KY267" s="26"/>
      <c r="KZ267" s="26"/>
      <c r="LA267" s="26"/>
      <c r="LB267" s="26"/>
      <c r="LC267" s="26"/>
      <c r="LD267" s="26"/>
      <c r="LE267" s="26"/>
      <c r="LF267" s="26"/>
      <c r="LG267" s="26"/>
      <c r="LH267" s="26"/>
      <c r="LI267" s="26"/>
      <c r="LJ267" s="26"/>
      <c r="LK267" s="26"/>
      <c r="LL267" s="26"/>
      <c r="LM267" s="26"/>
      <c r="LN267" s="26"/>
      <c r="LO267" s="26"/>
      <c r="LP267" s="26"/>
      <c r="LQ267" s="26"/>
      <c r="LR267" s="26"/>
      <c r="LS267" s="26"/>
      <c r="LT267" s="26"/>
      <c r="LU267" s="26"/>
      <c r="LV267" s="26"/>
      <c r="LW267" s="26"/>
      <c r="LX267" s="26"/>
      <c r="LY267" s="26"/>
      <c r="LZ267" s="26"/>
      <c r="MA267" s="26"/>
      <c r="MB267" s="26"/>
      <c r="MC267" s="26"/>
      <c r="MD267" s="26"/>
      <c r="ME267" s="26"/>
      <c r="MF267" s="26"/>
      <c r="MG267" s="26"/>
      <c r="MH267" s="26"/>
      <c r="MI267" s="26"/>
      <c r="MJ267" s="26"/>
      <c r="MK267" s="26"/>
      <c r="ML267" s="26"/>
      <c r="MM267" s="26"/>
      <c r="MN267" s="26"/>
      <c r="MO267" s="26"/>
      <c r="MP267" s="26"/>
      <c r="MQ267" s="26"/>
      <c r="MR267" s="26"/>
      <c r="MS267" s="26"/>
      <c r="MT267" s="26"/>
      <c r="MU267" s="26"/>
      <c r="MV267" s="26"/>
      <c r="MW267" s="26"/>
      <c r="MX267" s="26"/>
      <c r="MY267" s="26"/>
      <c r="MZ267" s="26"/>
      <c r="NA267" s="26"/>
      <c r="NB267" s="26"/>
      <c r="NC267" s="26"/>
      <c r="ND267" s="26"/>
      <c r="NE267" s="26"/>
      <c r="NF267" s="26"/>
      <c r="NG267" s="26"/>
      <c r="NH267" s="26"/>
      <c r="NI267" s="26"/>
      <c r="NJ267" s="26"/>
      <c r="NK267" s="26"/>
      <c r="NL267" s="26"/>
      <c r="NM267" s="26"/>
      <c r="NN267" s="26"/>
      <c r="NO267" s="26"/>
      <c r="NP267" s="26"/>
      <c r="NQ267" s="26"/>
      <c r="NR267" s="26"/>
      <c r="NS267" s="26"/>
      <c r="NT267" s="26"/>
      <c r="NU267" s="26"/>
      <c r="NV267" s="26"/>
      <c r="NW267" s="26"/>
      <c r="NX267" s="26"/>
      <c r="NY267" s="26"/>
      <c r="NZ267" s="26"/>
      <c r="OA267" s="26"/>
      <c r="OB267" s="26"/>
      <c r="OC267" s="26"/>
      <c r="OD267" s="26"/>
      <c r="OE267" s="26"/>
      <c r="OF267" s="26"/>
      <c r="OG267" s="26"/>
      <c r="OH267" s="26"/>
      <c r="OI267" s="26"/>
      <c r="OJ267" s="26"/>
      <c r="OK267" s="26"/>
      <c r="OL267" s="26"/>
      <c r="OM267" s="26"/>
      <c r="ON267" s="26"/>
      <c r="OO267" s="26"/>
      <c r="OP267" s="26"/>
      <c r="OQ267" s="26"/>
      <c r="OR267" s="26"/>
      <c r="OS267" s="26"/>
      <c r="OT267" s="26"/>
      <c r="OU267" s="26"/>
      <c r="OV267" s="26"/>
      <c r="OW267" s="26"/>
      <c r="OX267" s="26"/>
      <c r="OY267" s="26"/>
      <c r="OZ267" s="26"/>
      <c r="PA267" s="26"/>
      <c r="PB267" s="26"/>
      <c r="PC267" s="26"/>
      <c r="PD267" s="26"/>
      <c r="PE267" s="26"/>
      <c r="PF267" s="26"/>
      <c r="PG267" s="26"/>
      <c r="PH267" s="26"/>
      <c r="PI267" s="26"/>
      <c r="PJ267" s="26"/>
      <c r="PK267" s="26"/>
      <c r="PL267" s="26"/>
      <c r="PM267" s="26"/>
      <c r="PN267" s="26"/>
      <c r="PO267" s="26"/>
      <c r="PP267" s="26"/>
      <c r="PQ267" s="26"/>
      <c r="PR267" s="26"/>
      <c r="PS267" s="26"/>
      <c r="PT267" s="26"/>
      <c r="PU267" s="26"/>
      <c r="PV267" s="26"/>
      <c r="PW267" s="26"/>
      <c r="PX267" s="26"/>
      <c r="PY267" s="26"/>
      <c r="PZ267" s="26"/>
      <c r="QA267" s="26"/>
      <c r="QB267" s="26"/>
      <c r="QC267" s="26"/>
      <c r="QD267" s="26"/>
      <c r="QE267" s="26"/>
      <c r="QF267" s="26"/>
      <c r="QG267" s="26"/>
      <c r="QH267" s="26"/>
      <c r="QI267" s="26"/>
      <c r="QJ267" s="26"/>
      <c r="QK267" s="26"/>
      <c r="QL267" s="26"/>
      <c r="QM267" s="26"/>
      <c r="QN267" s="26"/>
      <c r="QO267" s="26"/>
      <c r="QP267" s="26"/>
      <c r="QQ267" s="26"/>
      <c r="QR267" s="26"/>
      <c r="QS267" s="26"/>
      <c r="QT267" s="26"/>
      <c r="QU267" s="26"/>
      <c r="QV267" s="26"/>
      <c r="QW267" s="26"/>
      <c r="QX267" s="26"/>
      <c r="QY267" s="26"/>
      <c r="QZ267" s="26"/>
      <c r="RA267" s="26"/>
      <c r="RB267" s="26"/>
      <c r="RC267" s="26"/>
      <c r="RD267" s="26"/>
      <c r="RE267" s="26"/>
      <c r="RF267" s="26"/>
      <c r="RG267" s="26"/>
      <c r="RH267" s="26"/>
      <c r="RI267" s="26"/>
      <c r="RJ267" s="26"/>
      <c r="RK267" s="26"/>
      <c r="RL267" s="26"/>
      <c r="RM267" s="26"/>
      <c r="RN267" s="26"/>
      <c r="RO267" s="26"/>
      <c r="RP267" s="26"/>
      <c r="RQ267" s="26"/>
      <c r="RR267" s="26"/>
      <c r="RS267" s="26"/>
      <c r="RT267" s="26"/>
      <c r="RU267" s="26"/>
      <c r="RV267" s="26"/>
      <c r="RW267" s="26"/>
      <c r="RX267" s="26"/>
      <c r="RY267" s="26"/>
      <c r="RZ267" s="26"/>
      <c r="SA267" s="26"/>
      <c r="SB267" s="26"/>
      <c r="SC267" s="26"/>
      <c r="SD267" s="26"/>
      <c r="SE267" s="26"/>
      <c r="SF267" s="26"/>
      <c r="SG267" s="26"/>
      <c r="SH267" s="26"/>
      <c r="SI267" s="26"/>
      <c r="SJ267" s="26"/>
      <c r="SK267" s="26"/>
      <c r="SL267" s="26"/>
      <c r="SM267" s="26"/>
      <c r="SN267" s="26"/>
      <c r="SO267" s="26"/>
      <c r="SP267" s="26"/>
      <c r="SQ267" s="26"/>
      <c r="SR267" s="26"/>
      <c r="SS267" s="26"/>
      <c r="ST267" s="26"/>
      <c r="SU267" s="26"/>
      <c r="SV267" s="26"/>
      <c r="SW267" s="26"/>
      <c r="SX267" s="26"/>
      <c r="SY267" s="26"/>
      <c r="SZ267" s="26"/>
      <c r="TA267" s="26"/>
      <c r="TB267" s="26"/>
      <c r="TC267" s="26"/>
      <c r="TD267" s="26"/>
      <c r="TE267" s="26"/>
      <c r="TF267" s="26"/>
      <c r="TG267" s="26"/>
      <c r="TH267" s="26"/>
      <c r="TI267" s="26"/>
    </row>
    <row r="268" spans="1:529" s="23" customFormat="1" ht="22.5" customHeight="1" x14ac:dyDescent="0.25">
      <c r="A268" s="43" t="s">
        <v>254</v>
      </c>
      <c r="B268" s="44" t="str">
        <f>'дод 4'!A195</f>
        <v>9110</v>
      </c>
      <c r="C268" s="44" t="str">
        <f>'дод 4'!B195</f>
        <v>0180</v>
      </c>
      <c r="D268" s="24" t="str">
        <f>'дод 4'!C195</f>
        <v>Реверсна дотація</v>
      </c>
      <c r="E268" s="66">
        <f>F268+I268</f>
        <v>108116600</v>
      </c>
      <c r="F268" s="66">
        <v>108116600</v>
      </c>
      <c r="G268" s="66"/>
      <c r="H268" s="66"/>
      <c r="I268" s="66"/>
      <c r="J268" s="66">
        <f t="shared" si="160"/>
        <v>0</v>
      </c>
      <c r="K268" s="66"/>
      <c r="L268" s="66"/>
      <c r="M268" s="66"/>
      <c r="N268" s="66"/>
      <c r="O268" s="66"/>
      <c r="P268" s="66">
        <f t="shared" si="159"/>
        <v>108116600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  <c r="IW268" s="26"/>
      <c r="IX268" s="26"/>
      <c r="IY268" s="26"/>
      <c r="IZ268" s="26"/>
      <c r="JA268" s="26"/>
      <c r="JB268" s="26"/>
      <c r="JC268" s="26"/>
      <c r="JD268" s="26"/>
      <c r="JE268" s="26"/>
      <c r="JF268" s="26"/>
      <c r="JG268" s="26"/>
      <c r="JH268" s="26"/>
      <c r="JI268" s="26"/>
      <c r="JJ268" s="26"/>
      <c r="JK268" s="26"/>
      <c r="JL268" s="26"/>
      <c r="JM268" s="26"/>
      <c r="JN268" s="26"/>
      <c r="JO268" s="26"/>
      <c r="JP268" s="26"/>
      <c r="JQ268" s="26"/>
      <c r="JR268" s="26"/>
      <c r="JS268" s="26"/>
      <c r="JT268" s="26"/>
      <c r="JU268" s="26"/>
      <c r="JV268" s="26"/>
      <c r="JW268" s="26"/>
      <c r="JX268" s="26"/>
      <c r="JY268" s="26"/>
      <c r="JZ268" s="26"/>
      <c r="KA268" s="26"/>
      <c r="KB268" s="26"/>
      <c r="KC268" s="26"/>
      <c r="KD268" s="26"/>
      <c r="KE268" s="26"/>
      <c r="KF268" s="26"/>
      <c r="KG268" s="26"/>
      <c r="KH268" s="26"/>
      <c r="KI268" s="26"/>
      <c r="KJ268" s="26"/>
      <c r="KK268" s="26"/>
      <c r="KL268" s="26"/>
      <c r="KM268" s="26"/>
      <c r="KN268" s="26"/>
      <c r="KO268" s="26"/>
      <c r="KP268" s="26"/>
      <c r="KQ268" s="26"/>
      <c r="KR268" s="26"/>
      <c r="KS268" s="26"/>
      <c r="KT268" s="26"/>
      <c r="KU268" s="26"/>
      <c r="KV268" s="26"/>
      <c r="KW268" s="26"/>
      <c r="KX268" s="26"/>
      <c r="KY268" s="26"/>
      <c r="KZ268" s="26"/>
      <c r="LA268" s="26"/>
      <c r="LB268" s="26"/>
      <c r="LC268" s="26"/>
      <c r="LD268" s="26"/>
      <c r="LE268" s="26"/>
      <c r="LF268" s="26"/>
      <c r="LG268" s="26"/>
      <c r="LH268" s="26"/>
      <c r="LI268" s="26"/>
      <c r="LJ268" s="26"/>
      <c r="LK268" s="26"/>
      <c r="LL268" s="26"/>
      <c r="LM268" s="26"/>
      <c r="LN268" s="26"/>
      <c r="LO268" s="26"/>
      <c r="LP268" s="26"/>
      <c r="LQ268" s="26"/>
      <c r="LR268" s="26"/>
      <c r="LS268" s="26"/>
      <c r="LT268" s="26"/>
      <c r="LU268" s="26"/>
      <c r="LV268" s="26"/>
      <c r="LW268" s="26"/>
      <c r="LX268" s="26"/>
      <c r="LY268" s="26"/>
      <c r="LZ268" s="26"/>
      <c r="MA268" s="26"/>
      <c r="MB268" s="26"/>
      <c r="MC268" s="26"/>
      <c r="MD268" s="26"/>
      <c r="ME268" s="26"/>
      <c r="MF268" s="26"/>
      <c r="MG268" s="26"/>
      <c r="MH268" s="26"/>
      <c r="MI268" s="26"/>
      <c r="MJ268" s="26"/>
      <c r="MK268" s="26"/>
      <c r="ML268" s="26"/>
      <c r="MM268" s="26"/>
      <c r="MN268" s="26"/>
      <c r="MO268" s="26"/>
      <c r="MP268" s="26"/>
      <c r="MQ268" s="26"/>
      <c r="MR268" s="26"/>
      <c r="MS268" s="26"/>
      <c r="MT268" s="26"/>
      <c r="MU268" s="26"/>
      <c r="MV268" s="26"/>
      <c r="MW268" s="26"/>
      <c r="MX268" s="26"/>
      <c r="MY268" s="26"/>
      <c r="MZ268" s="26"/>
      <c r="NA268" s="26"/>
      <c r="NB268" s="26"/>
      <c r="NC268" s="26"/>
      <c r="ND268" s="26"/>
      <c r="NE268" s="26"/>
      <c r="NF268" s="26"/>
      <c r="NG268" s="26"/>
      <c r="NH268" s="26"/>
      <c r="NI268" s="26"/>
      <c r="NJ268" s="26"/>
      <c r="NK268" s="26"/>
      <c r="NL268" s="26"/>
      <c r="NM268" s="26"/>
      <c r="NN268" s="26"/>
      <c r="NO268" s="26"/>
      <c r="NP268" s="26"/>
      <c r="NQ268" s="26"/>
      <c r="NR268" s="26"/>
      <c r="NS268" s="26"/>
      <c r="NT268" s="26"/>
      <c r="NU268" s="26"/>
      <c r="NV268" s="26"/>
      <c r="NW268" s="26"/>
      <c r="NX268" s="26"/>
      <c r="NY268" s="26"/>
      <c r="NZ268" s="26"/>
      <c r="OA268" s="26"/>
      <c r="OB268" s="26"/>
      <c r="OC268" s="26"/>
      <c r="OD268" s="26"/>
      <c r="OE268" s="26"/>
      <c r="OF268" s="26"/>
      <c r="OG268" s="26"/>
      <c r="OH268" s="26"/>
      <c r="OI268" s="26"/>
      <c r="OJ268" s="26"/>
      <c r="OK268" s="26"/>
      <c r="OL268" s="26"/>
      <c r="OM268" s="26"/>
      <c r="ON268" s="26"/>
      <c r="OO268" s="26"/>
      <c r="OP268" s="26"/>
      <c r="OQ268" s="26"/>
      <c r="OR268" s="26"/>
      <c r="OS268" s="26"/>
      <c r="OT268" s="26"/>
      <c r="OU268" s="26"/>
      <c r="OV268" s="26"/>
      <c r="OW268" s="26"/>
      <c r="OX268" s="26"/>
      <c r="OY268" s="26"/>
      <c r="OZ268" s="26"/>
      <c r="PA268" s="26"/>
      <c r="PB268" s="26"/>
      <c r="PC268" s="26"/>
      <c r="PD268" s="26"/>
      <c r="PE268" s="26"/>
      <c r="PF268" s="26"/>
      <c r="PG268" s="26"/>
      <c r="PH268" s="26"/>
      <c r="PI268" s="26"/>
      <c r="PJ268" s="26"/>
      <c r="PK268" s="26"/>
      <c r="PL268" s="26"/>
      <c r="PM268" s="26"/>
      <c r="PN268" s="26"/>
      <c r="PO268" s="26"/>
      <c r="PP268" s="26"/>
      <c r="PQ268" s="26"/>
      <c r="PR268" s="26"/>
      <c r="PS268" s="26"/>
      <c r="PT268" s="26"/>
      <c r="PU268" s="26"/>
      <c r="PV268" s="26"/>
      <c r="PW268" s="26"/>
      <c r="PX268" s="26"/>
      <c r="PY268" s="26"/>
      <c r="PZ268" s="26"/>
      <c r="QA268" s="26"/>
      <c r="QB268" s="26"/>
      <c r="QC268" s="26"/>
      <c r="QD268" s="26"/>
      <c r="QE268" s="26"/>
      <c r="QF268" s="26"/>
      <c r="QG268" s="26"/>
      <c r="QH268" s="26"/>
      <c r="QI268" s="26"/>
      <c r="QJ268" s="26"/>
      <c r="QK268" s="26"/>
      <c r="QL268" s="26"/>
      <c r="QM268" s="26"/>
      <c r="QN268" s="26"/>
      <c r="QO268" s="26"/>
      <c r="QP268" s="26"/>
      <c r="QQ268" s="26"/>
      <c r="QR268" s="26"/>
      <c r="QS268" s="26"/>
      <c r="QT268" s="26"/>
      <c r="QU268" s="26"/>
      <c r="QV268" s="26"/>
      <c r="QW268" s="26"/>
      <c r="QX268" s="26"/>
      <c r="QY268" s="26"/>
      <c r="QZ268" s="26"/>
      <c r="RA268" s="26"/>
      <c r="RB268" s="26"/>
      <c r="RC268" s="26"/>
      <c r="RD268" s="26"/>
      <c r="RE268" s="26"/>
      <c r="RF268" s="26"/>
      <c r="RG268" s="26"/>
      <c r="RH268" s="26"/>
      <c r="RI268" s="26"/>
      <c r="RJ268" s="26"/>
      <c r="RK268" s="26"/>
      <c r="RL268" s="26"/>
      <c r="RM268" s="26"/>
      <c r="RN268" s="26"/>
      <c r="RO268" s="26"/>
      <c r="RP268" s="26"/>
      <c r="RQ268" s="26"/>
      <c r="RR268" s="26"/>
      <c r="RS268" s="26"/>
      <c r="RT268" s="26"/>
      <c r="RU268" s="26"/>
      <c r="RV268" s="26"/>
      <c r="RW268" s="26"/>
      <c r="RX268" s="26"/>
      <c r="RY268" s="26"/>
      <c r="RZ268" s="26"/>
      <c r="SA268" s="26"/>
      <c r="SB268" s="26"/>
      <c r="SC268" s="26"/>
      <c r="SD268" s="26"/>
      <c r="SE268" s="26"/>
      <c r="SF268" s="26"/>
      <c r="SG268" s="26"/>
      <c r="SH268" s="26"/>
      <c r="SI268" s="26"/>
      <c r="SJ268" s="26"/>
      <c r="SK268" s="26"/>
      <c r="SL268" s="26"/>
      <c r="SM268" s="26"/>
      <c r="SN268" s="26"/>
      <c r="SO268" s="26"/>
      <c r="SP268" s="26"/>
      <c r="SQ268" s="26"/>
      <c r="SR268" s="26"/>
      <c r="SS268" s="26"/>
      <c r="ST268" s="26"/>
      <c r="SU268" s="26"/>
      <c r="SV268" s="26"/>
      <c r="SW268" s="26"/>
      <c r="SX268" s="26"/>
      <c r="SY268" s="26"/>
      <c r="SZ268" s="26"/>
      <c r="TA268" s="26"/>
      <c r="TB268" s="26"/>
      <c r="TC268" s="26"/>
      <c r="TD268" s="26"/>
      <c r="TE268" s="26"/>
      <c r="TF268" s="26"/>
      <c r="TG268" s="26"/>
      <c r="TH268" s="26"/>
      <c r="TI268" s="26"/>
    </row>
    <row r="269" spans="1:529" s="31" customFormat="1" ht="21" customHeight="1" x14ac:dyDescent="0.2">
      <c r="A269" s="82"/>
      <c r="B269" s="71"/>
      <c r="C269" s="173"/>
      <c r="D269" s="30" t="s">
        <v>487</v>
      </c>
      <c r="E269" s="63">
        <f t="shared" ref="E269:P269" si="161">E18+E58+E105+E137+E173+E179+E189+E219+E222+E240+E245+E248+E256+E259</f>
        <v>2032070312.7200003</v>
      </c>
      <c r="F269" s="63">
        <f t="shared" si="161"/>
        <v>1932242483.6700003</v>
      </c>
      <c r="G269" s="63">
        <f t="shared" si="161"/>
        <v>891188419.80999994</v>
      </c>
      <c r="H269" s="63">
        <f t="shared" si="161"/>
        <v>105475513.56</v>
      </c>
      <c r="I269" s="63">
        <f t="shared" si="161"/>
        <v>94513738</v>
      </c>
      <c r="J269" s="63">
        <f t="shared" si="161"/>
        <v>691946642.02999997</v>
      </c>
      <c r="K269" s="63">
        <f t="shared" si="161"/>
        <v>530646295.39000005</v>
      </c>
      <c r="L269" s="63">
        <f t="shared" si="161"/>
        <v>143463011.00999999</v>
      </c>
      <c r="M269" s="63">
        <f t="shared" si="161"/>
        <v>9012497</v>
      </c>
      <c r="N269" s="63">
        <f t="shared" si="161"/>
        <v>3270541</v>
      </c>
      <c r="O269" s="63">
        <f t="shared" si="161"/>
        <v>548483631.01999998</v>
      </c>
      <c r="P269" s="63">
        <f t="shared" si="161"/>
        <v>2724016954.75</v>
      </c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  <c r="IH269" s="38"/>
      <c r="II269" s="38"/>
      <c r="IJ269" s="38"/>
      <c r="IK269" s="38"/>
      <c r="IL269" s="38"/>
      <c r="IM269" s="38"/>
      <c r="IN269" s="38"/>
      <c r="IO269" s="38"/>
      <c r="IP269" s="38"/>
      <c r="IQ269" s="38"/>
      <c r="IR269" s="38"/>
      <c r="IS269" s="38"/>
      <c r="IT269" s="38"/>
      <c r="IU269" s="38"/>
      <c r="IV269" s="38"/>
      <c r="IW269" s="38"/>
      <c r="IX269" s="38"/>
      <c r="IY269" s="38"/>
      <c r="IZ269" s="38"/>
      <c r="JA269" s="38"/>
      <c r="JB269" s="38"/>
      <c r="JC269" s="38"/>
      <c r="JD269" s="38"/>
      <c r="JE269" s="38"/>
      <c r="JF269" s="38"/>
      <c r="JG269" s="38"/>
      <c r="JH269" s="38"/>
      <c r="JI269" s="38"/>
      <c r="JJ269" s="38"/>
      <c r="JK269" s="38"/>
      <c r="JL269" s="38"/>
      <c r="JM269" s="38"/>
      <c r="JN269" s="38"/>
      <c r="JO269" s="38"/>
      <c r="JP269" s="38"/>
      <c r="JQ269" s="38"/>
      <c r="JR269" s="38"/>
      <c r="JS269" s="38"/>
      <c r="JT269" s="38"/>
      <c r="JU269" s="38"/>
      <c r="JV269" s="38"/>
      <c r="JW269" s="38"/>
      <c r="JX269" s="38"/>
      <c r="JY269" s="38"/>
      <c r="JZ269" s="38"/>
      <c r="KA269" s="38"/>
      <c r="KB269" s="38"/>
      <c r="KC269" s="38"/>
      <c r="KD269" s="38"/>
      <c r="KE269" s="38"/>
      <c r="KF269" s="38"/>
      <c r="KG269" s="38"/>
      <c r="KH269" s="38"/>
      <c r="KI269" s="38"/>
      <c r="KJ269" s="38"/>
      <c r="KK269" s="38"/>
      <c r="KL269" s="38"/>
      <c r="KM269" s="38"/>
      <c r="KN269" s="38"/>
      <c r="KO269" s="38"/>
      <c r="KP269" s="38"/>
      <c r="KQ269" s="38"/>
      <c r="KR269" s="38"/>
      <c r="KS269" s="38"/>
      <c r="KT269" s="38"/>
      <c r="KU269" s="38"/>
      <c r="KV269" s="38"/>
      <c r="KW269" s="38"/>
      <c r="KX269" s="38"/>
      <c r="KY269" s="38"/>
      <c r="KZ269" s="38"/>
      <c r="LA269" s="38"/>
      <c r="LB269" s="38"/>
      <c r="LC269" s="38"/>
      <c r="LD269" s="38"/>
      <c r="LE269" s="38"/>
      <c r="LF269" s="38"/>
      <c r="LG269" s="38"/>
      <c r="LH269" s="38"/>
      <c r="LI269" s="38"/>
      <c r="LJ269" s="38"/>
      <c r="LK269" s="38"/>
      <c r="LL269" s="38"/>
      <c r="LM269" s="38"/>
      <c r="LN269" s="38"/>
      <c r="LO269" s="38"/>
      <c r="LP269" s="38"/>
      <c r="LQ269" s="38"/>
      <c r="LR269" s="38"/>
      <c r="LS269" s="38"/>
      <c r="LT269" s="38"/>
      <c r="LU269" s="38"/>
      <c r="LV269" s="38"/>
      <c r="LW269" s="38"/>
      <c r="LX269" s="38"/>
      <c r="LY269" s="38"/>
      <c r="LZ269" s="38"/>
      <c r="MA269" s="38"/>
      <c r="MB269" s="38"/>
      <c r="MC269" s="38"/>
      <c r="MD269" s="38"/>
      <c r="ME269" s="38"/>
      <c r="MF269" s="38"/>
      <c r="MG269" s="38"/>
      <c r="MH269" s="38"/>
      <c r="MI269" s="38"/>
      <c r="MJ269" s="38"/>
      <c r="MK269" s="38"/>
      <c r="ML269" s="38"/>
      <c r="MM269" s="38"/>
      <c r="MN269" s="38"/>
      <c r="MO269" s="38"/>
      <c r="MP269" s="38"/>
      <c r="MQ269" s="38"/>
      <c r="MR269" s="38"/>
      <c r="MS269" s="38"/>
      <c r="MT269" s="38"/>
      <c r="MU269" s="38"/>
      <c r="MV269" s="38"/>
      <c r="MW269" s="38"/>
      <c r="MX269" s="38"/>
      <c r="MY269" s="38"/>
      <c r="MZ269" s="38"/>
      <c r="NA269" s="38"/>
      <c r="NB269" s="38"/>
      <c r="NC269" s="38"/>
      <c r="ND269" s="38"/>
      <c r="NE269" s="38"/>
      <c r="NF269" s="38"/>
      <c r="NG269" s="38"/>
      <c r="NH269" s="38"/>
      <c r="NI269" s="38"/>
      <c r="NJ269" s="38"/>
      <c r="NK269" s="38"/>
      <c r="NL269" s="38"/>
      <c r="NM269" s="38"/>
      <c r="NN269" s="38"/>
      <c r="NO269" s="38"/>
      <c r="NP269" s="38"/>
      <c r="NQ269" s="38"/>
      <c r="NR269" s="38"/>
      <c r="NS269" s="38"/>
      <c r="NT269" s="38"/>
      <c r="NU269" s="38"/>
      <c r="NV269" s="38"/>
      <c r="NW269" s="38"/>
      <c r="NX269" s="38"/>
      <c r="NY269" s="38"/>
      <c r="NZ269" s="38"/>
      <c r="OA269" s="38"/>
      <c r="OB269" s="38"/>
      <c r="OC269" s="38"/>
      <c r="OD269" s="38"/>
      <c r="OE269" s="38"/>
      <c r="OF269" s="38"/>
      <c r="OG269" s="38"/>
      <c r="OH269" s="38"/>
      <c r="OI269" s="38"/>
      <c r="OJ269" s="38"/>
      <c r="OK269" s="38"/>
      <c r="OL269" s="38"/>
      <c r="OM269" s="38"/>
      <c r="ON269" s="38"/>
      <c r="OO269" s="38"/>
      <c r="OP269" s="38"/>
      <c r="OQ269" s="38"/>
      <c r="OR269" s="38"/>
      <c r="OS269" s="38"/>
      <c r="OT269" s="38"/>
      <c r="OU269" s="38"/>
      <c r="OV269" s="38"/>
      <c r="OW269" s="38"/>
      <c r="OX269" s="38"/>
      <c r="OY269" s="38"/>
      <c r="OZ269" s="38"/>
      <c r="PA269" s="38"/>
      <c r="PB269" s="38"/>
      <c r="PC269" s="38"/>
      <c r="PD269" s="38"/>
      <c r="PE269" s="38"/>
      <c r="PF269" s="38"/>
      <c r="PG269" s="38"/>
      <c r="PH269" s="38"/>
      <c r="PI269" s="38"/>
      <c r="PJ269" s="38"/>
      <c r="PK269" s="38"/>
      <c r="PL269" s="38"/>
      <c r="PM269" s="38"/>
      <c r="PN269" s="38"/>
      <c r="PO269" s="38"/>
      <c r="PP269" s="38"/>
      <c r="PQ269" s="38"/>
      <c r="PR269" s="38"/>
      <c r="PS269" s="38"/>
      <c r="PT269" s="38"/>
      <c r="PU269" s="38"/>
      <c r="PV269" s="38"/>
      <c r="PW269" s="38"/>
      <c r="PX269" s="38"/>
      <c r="PY269" s="38"/>
      <c r="PZ269" s="38"/>
      <c r="QA269" s="38"/>
      <c r="QB269" s="38"/>
      <c r="QC269" s="38"/>
      <c r="QD269" s="38"/>
      <c r="QE269" s="38"/>
      <c r="QF269" s="38"/>
      <c r="QG269" s="38"/>
      <c r="QH269" s="38"/>
      <c r="QI269" s="38"/>
      <c r="QJ269" s="38"/>
      <c r="QK269" s="38"/>
      <c r="QL269" s="38"/>
      <c r="QM269" s="38"/>
      <c r="QN269" s="38"/>
      <c r="QO269" s="38"/>
      <c r="QP269" s="38"/>
      <c r="QQ269" s="38"/>
      <c r="QR269" s="38"/>
      <c r="QS269" s="38"/>
      <c r="QT269" s="38"/>
      <c r="QU269" s="38"/>
      <c r="QV269" s="38"/>
      <c r="QW269" s="38"/>
      <c r="QX269" s="38"/>
      <c r="QY269" s="38"/>
      <c r="QZ269" s="38"/>
      <c r="RA269" s="38"/>
      <c r="RB269" s="38"/>
      <c r="RC269" s="38"/>
      <c r="RD269" s="38"/>
      <c r="RE269" s="38"/>
      <c r="RF269" s="38"/>
      <c r="RG269" s="38"/>
      <c r="RH269" s="38"/>
      <c r="RI269" s="38"/>
      <c r="RJ269" s="38"/>
      <c r="RK269" s="38"/>
      <c r="RL269" s="38"/>
      <c r="RM269" s="38"/>
      <c r="RN269" s="38"/>
      <c r="RO269" s="38"/>
      <c r="RP269" s="38"/>
      <c r="RQ269" s="38"/>
      <c r="RR269" s="38"/>
      <c r="RS269" s="38"/>
      <c r="RT269" s="38"/>
      <c r="RU269" s="38"/>
      <c r="RV269" s="38"/>
      <c r="RW269" s="38"/>
      <c r="RX269" s="38"/>
      <c r="RY269" s="38"/>
      <c r="RZ269" s="38"/>
      <c r="SA269" s="38"/>
      <c r="SB269" s="38"/>
      <c r="SC269" s="38"/>
      <c r="SD269" s="38"/>
      <c r="SE269" s="38"/>
      <c r="SF269" s="38"/>
      <c r="SG269" s="38"/>
      <c r="SH269" s="38"/>
      <c r="SI269" s="38"/>
      <c r="SJ269" s="38"/>
      <c r="SK269" s="38"/>
      <c r="SL269" s="38"/>
      <c r="SM269" s="38"/>
      <c r="SN269" s="38"/>
      <c r="SO269" s="38"/>
      <c r="SP269" s="38"/>
      <c r="SQ269" s="38"/>
      <c r="SR269" s="38"/>
      <c r="SS269" s="38"/>
      <c r="ST269" s="38"/>
      <c r="SU269" s="38"/>
      <c r="SV269" s="38"/>
      <c r="SW269" s="38"/>
      <c r="SX269" s="38"/>
      <c r="SY269" s="38"/>
      <c r="SZ269" s="38"/>
      <c r="TA269" s="38"/>
      <c r="TB269" s="38"/>
      <c r="TC269" s="38"/>
      <c r="TD269" s="38"/>
      <c r="TE269" s="38"/>
      <c r="TF269" s="38"/>
      <c r="TG269" s="38"/>
      <c r="TH269" s="38"/>
      <c r="TI269" s="38"/>
    </row>
    <row r="270" spans="1:529" s="40" customFormat="1" ht="21" customHeight="1" x14ac:dyDescent="0.25">
      <c r="A270" s="146"/>
      <c r="B270" s="72"/>
      <c r="C270" s="64"/>
      <c r="D270" s="33" t="s">
        <v>464</v>
      </c>
      <c r="E270" s="65">
        <f t="shared" ref="E270:P270" si="162">E60+E61+E107+E108+E191</f>
        <v>431138500</v>
      </c>
      <c r="F270" s="65">
        <f t="shared" si="162"/>
        <v>431138500</v>
      </c>
      <c r="G270" s="65">
        <f t="shared" si="162"/>
        <v>302081404</v>
      </c>
      <c r="H270" s="65">
        <f t="shared" si="162"/>
        <v>0</v>
      </c>
      <c r="I270" s="65">
        <f t="shared" si="162"/>
        <v>0</v>
      </c>
      <c r="J270" s="65">
        <f t="shared" si="162"/>
        <v>13843540.600000001</v>
      </c>
      <c r="K270" s="65">
        <f t="shared" si="162"/>
        <v>13843540.600000001</v>
      </c>
      <c r="L270" s="65">
        <f t="shared" si="162"/>
        <v>0</v>
      </c>
      <c r="M270" s="65">
        <f t="shared" si="162"/>
        <v>0</v>
      </c>
      <c r="N270" s="65">
        <f t="shared" si="162"/>
        <v>0</v>
      </c>
      <c r="O270" s="65">
        <f t="shared" si="162"/>
        <v>13843540.600000001</v>
      </c>
      <c r="P270" s="65">
        <f t="shared" si="162"/>
        <v>444982040.60000002</v>
      </c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/>
      <c r="HN270" s="39"/>
      <c r="HO270" s="39"/>
      <c r="HP270" s="39"/>
      <c r="HQ270" s="39"/>
      <c r="HR270" s="39"/>
      <c r="HS270" s="39"/>
      <c r="HT270" s="39"/>
      <c r="HU270" s="39"/>
      <c r="HV270" s="39"/>
      <c r="HW270" s="39"/>
      <c r="HX270" s="39"/>
      <c r="HY270" s="39"/>
      <c r="HZ270" s="39"/>
      <c r="IA270" s="39"/>
      <c r="IB270" s="39"/>
      <c r="IC270" s="39"/>
      <c r="ID270" s="39"/>
      <c r="IE270" s="39"/>
      <c r="IF270" s="39"/>
      <c r="IG270" s="39"/>
      <c r="IH270" s="39"/>
      <c r="II270" s="39"/>
      <c r="IJ270" s="39"/>
      <c r="IK270" s="39"/>
      <c r="IL270" s="39"/>
      <c r="IM270" s="39"/>
      <c r="IN270" s="39"/>
      <c r="IO270" s="39"/>
      <c r="IP270" s="39"/>
      <c r="IQ270" s="39"/>
      <c r="IR270" s="39"/>
      <c r="IS270" s="39"/>
      <c r="IT270" s="39"/>
      <c r="IU270" s="39"/>
      <c r="IV270" s="39"/>
      <c r="IW270" s="39"/>
      <c r="IX270" s="39"/>
      <c r="IY270" s="39"/>
      <c r="IZ270" s="39"/>
      <c r="JA270" s="39"/>
      <c r="JB270" s="39"/>
      <c r="JC270" s="39"/>
      <c r="JD270" s="39"/>
      <c r="JE270" s="39"/>
      <c r="JF270" s="39"/>
      <c r="JG270" s="39"/>
      <c r="JH270" s="39"/>
      <c r="JI270" s="39"/>
      <c r="JJ270" s="39"/>
      <c r="JK270" s="39"/>
      <c r="JL270" s="39"/>
      <c r="JM270" s="39"/>
      <c r="JN270" s="39"/>
      <c r="JO270" s="39"/>
      <c r="JP270" s="39"/>
      <c r="JQ270" s="39"/>
      <c r="JR270" s="39"/>
      <c r="JS270" s="39"/>
      <c r="JT270" s="39"/>
      <c r="JU270" s="39"/>
      <c r="JV270" s="39"/>
      <c r="JW270" s="39"/>
      <c r="JX270" s="39"/>
      <c r="JY270" s="39"/>
      <c r="JZ270" s="39"/>
      <c r="KA270" s="39"/>
      <c r="KB270" s="39"/>
      <c r="KC270" s="39"/>
      <c r="KD270" s="39"/>
      <c r="KE270" s="39"/>
      <c r="KF270" s="39"/>
      <c r="KG270" s="39"/>
      <c r="KH270" s="39"/>
      <c r="KI270" s="39"/>
      <c r="KJ270" s="39"/>
      <c r="KK270" s="39"/>
      <c r="KL270" s="39"/>
      <c r="KM270" s="39"/>
      <c r="KN270" s="39"/>
      <c r="KO270" s="39"/>
      <c r="KP270" s="39"/>
      <c r="KQ270" s="39"/>
      <c r="KR270" s="39"/>
      <c r="KS270" s="39"/>
      <c r="KT270" s="39"/>
      <c r="KU270" s="39"/>
      <c r="KV270" s="39"/>
      <c r="KW270" s="39"/>
      <c r="KX270" s="39"/>
      <c r="KY270" s="39"/>
      <c r="KZ270" s="39"/>
      <c r="LA270" s="39"/>
      <c r="LB270" s="39"/>
      <c r="LC270" s="39"/>
      <c r="LD270" s="39"/>
      <c r="LE270" s="39"/>
      <c r="LF270" s="39"/>
      <c r="LG270" s="39"/>
      <c r="LH270" s="39"/>
      <c r="LI270" s="39"/>
      <c r="LJ270" s="39"/>
      <c r="LK270" s="39"/>
      <c r="LL270" s="39"/>
      <c r="LM270" s="39"/>
      <c r="LN270" s="39"/>
      <c r="LO270" s="39"/>
      <c r="LP270" s="39"/>
      <c r="LQ270" s="39"/>
      <c r="LR270" s="39"/>
      <c r="LS270" s="39"/>
      <c r="LT270" s="39"/>
      <c r="LU270" s="39"/>
      <c r="LV270" s="39"/>
      <c r="LW270" s="39"/>
      <c r="LX270" s="39"/>
      <c r="LY270" s="39"/>
      <c r="LZ270" s="39"/>
      <c r="MA270" s="39"/>
      <c r="MB270" s="39"/>
      <c r="MC270" s="39"/>
      <c r="MD270" s="39"/>
      <c r="ME270" s="39"/>
      <c r="MF270" s="39"/>
      <c r="MG270" s="39"/>
      <c r="MH270" s="39"/>
      <c r="MI270" s="39"/>
      <c r="MJ270" s="39"/>
      <c r="MK270" s="39"/>
      <c r="ML270" s="39"/>
      <c r="MM270" s="39"/>
      <c r="MN270" s="39"/>
      <c r="MO270" s="39"/>
      <c r="MP270" s="39"/>
      <c r="MQ270" s="39"/>
      <c r="MR270" s="39"/>
      <c r="MS270" s="39"/>
      <c r="MT270" s="39"/>
      <c r="MU270" s="39"/>
      <c r="MV270" s="39"/>
      <c r="MW270" s="39"/>
      <c r="MX270" s="39"/>
      <c r="MY270" s="39"/>
      <c r="MZ270" s="39"/>
      <c r="NA270" s="39"/>
      <c r="NB270" s="39"/>
      <c r="NC270" s="39"/>
      <c r="ND270" s="39"/>
      <c r="NE270" s="39"/>
      <c r="NF270" s="39"/>
      <c r="NG270" s="39"/>
      <c r="NH270" s="39"/>
      <c r="NI270" s="39"/>
      <c r="NJ270" s="39"/>
      <c r="NK270" s="39"/>
      <c r="NL270" s="39"/>
      <c r="NM270" s="39"/>
      <c r="NN270" s="39"/>
      <c r="NO270" s="39"/>
      <c r="NP270" s="39"/>
      <c r="NQ270" s="39"/>
      <c r="NR270" s="39"/>
      <c r="NS270" s="39"/>
      <c r="NT270" s="39"/>
      <c r="NU270" s="39"/>
      <c r="NV270" s="39"/>
      <c r="NW270" s="39"/>
      <c r="NX270" s="39"/>
      <c r="NY270" s="39"/>
      <c r="NZ270" s="39"/>
      <c r="OA270" s="39"/>
      <c r="OB270" s="39"/>
      <c r="OC270" s="39"/>
      <c r="OD270" s="39"/>
      <c r="OE270" s="39"/>
      <c r="OF270" s="39"/>
      <c r="OG270" s="39"/>
      <c r="OH270" s="39"/>
      <c r="OI270" s="39"/>
      <c r="OJ270" s="39"/>
      <c r="OK270" s="39"/>
      <c r="OL270" s="39"/>
      <c r="OM270" s="39"/>
      <c r="ON270" s="39"/>
      <c r="OO270" s="39"/>
      <c r="OP270" s="39"/>
      <c r="OQ270" s="39"/>
      <c r="OR270" s="39"/>
      <c r="OS270" s="39"/>
      <c r="OT270" s="39"/>
      <c r="OU270" s="39"/>
      <c r="OV270" s="39"/>
      <c r="OW270" s="39"/>
      <c r="OX270" s="39"/>
      <c r="OY270" s="39"/>
      <c r="OZ270" s="39"/>
      <c r="PA270" s="39"/>
      <c r="PB270" s="39"/>
      <c r="PC270" s="39"/>
      <c r="PD270" s="39"/>
      <c r="PE270" s="39"/>
      <c r="PF270" s="39"/>
      <c r="PG270" s="39"/>
      <c r="PH270" s="39"/>
      <c r="PI270" s="39"/>
      <c r="PJ270" s="39"/>
      <c r="PK270" s="39"/>
      <c r="PL270" s="39"/>
      <c r="PM270" s="39"/>
      <c r="PN270" s="39"/>
      <c r="PO270" s="39"/>
      <c r="PP270" s="39"/>
      <c r="PQ270" s="39"/>
      <c r="PR270" s="39"/>
      <c r="PS270" s="39"/>
      <c r="PT270" s="39"/>
      <c r="PU270" s="39"/>
      <c r="PV270" s="39"/>
      <c r="PW270" s="39"/>
      <c r="PX270" s="39"/>
      <c r="PY270" s="39"/>
      <c r="PZ270" s="39"/>
      <c r="QA270" s="39"/>
      <c r="QB270" s="39"/>
      <c r="QC270" s="39"/>
      <c r="QD270" s="39"/>
      <c r="QE270" s="39"/>
      <c r="QF270" s="39"/>
      <c r="QG270" s="39"/>
      <c r="QH270" s="39"/>
      <c r="QI270" s="39"/>
      <c r="QJ270" s="39"/>
      <c r="QK270" s="39"/>
      <c r="QL270" s="39"/>
      <c r="QM270" s="39"/>
      <c r="QN270" s="39"/>
      <c r="QO270" s="39"/>
      <c r="QP270" s="39"/>
      <c r="QQ270" s="39"/>
      <c r="QR270" s="39"/>
      <c r="QS270" s="39"/>
      <c r="QT270" s="39"/>
      <c r="QU270" s="39"/>
      <c r="QV270" s="39"/>
      <c r="QW270" s="39"/>
      <c r="QX270" s="39"/>
      <c r="QY270" s="39"/>
      <c r="QZ270" s="39"/>
      <c r="RA270" s="39"/>
      <c r="RB270" s="39"/>
      <c r="RC270" s="39"/>
      <c r="RD270" s="39"/>
      <c r="RE270" s="39"/>
      <c r="RF270" s="39"/>
      <c r="RG270" s="39"/>
      <c r="RH270" s="39"/>
      <c r="RI270" s="39"/>
      <c r="RJ270" s="39"/>
      <c r="RK270" s="39"/>
      <c r="RL270" s="39"/>
      <c r="RM270" s="39"/>
      <c r="RN270" s="39"/>
      <c r="RO270" s="39"/>
      <c r="RP270" s="39"/>
      <c r="RQ270" s="39"/>
      <c r="RR270" s="39"/>
      <c r="RS270" s="39"/>
      <c r="RT270" s="39"/>
      <c r="RU270" s="39"/>
      <c r="RV270" s="39"/>
      <c r="RW270" s="39"/>
      <c r="RX270" s="39"/>
      <c r="RY270" s="39"/>
      <c r="RZ270" s="39"/>
      <c r="SA270" s="39"/>
      <c r="SB270" s="39"/>
      <c r="SC270" s="39"/>
      <c r="SD270" s="39"/>
      <c r="SE270" s="39"/>
      <c r="SF270" s="39"/>
      <c r="SG270" s="39"/>
      <c r="SH270" s="39"/>
      <c r="SI270" s="39"/>
      <c r="SJ270" s="39"/>
      <c r="SK270" s="39"/>
      <c r="SL270" s="39"/>
      <c r="SM270" s="39"/>
      <c r="SN270" s="39"/>
      <c r="SO270" s="39"/>
      <c r="SP270" s="39"/>
      <c r="SQ270" s="39"/>
      <c r="SR270" s="39"/>
      <c r="SS270" s="39"/>
      <c r="ST270" s="39"/>
      <c r="SU270" s="39"/>
      <c r="SV270" s="39"/>
      <c r="SW270" s="39"/>
      <c r="SX270" s="39"/>
      <c r="SY270" s="39"/>
      <c r="SZ270" s="39"/>
      <c r="TA270" s="39"/>
      <c r="TB270" s="39"/>
      <c r="TC270" s="39"/>
      <c r="TD270" s="39"/>
      <c r="TE270" s="39"/>
      <c r="TF270" s="39"/>
      <c r="TG270" s="39"/>
      <c r="TH270" s="39"/>
      <c r="TI270" s="39"/>
    </row>
    <row r="271" spans="1:529" s="40" customFormat="1" ht="30" x14ac:dyDescent="0.25">
      <c r="A271" s="146"/>
      <c r="B271" s="72"/>
      <c r="C271" s="64"/>
      <c r="D271" s="33" t="s">
        <v>465</v>
      </c>
      <c r="E271" s="65">
        <f t="shared" ref="E271:P271" si="163">E62</f>
        <v>2739700</v>
      </c>
      <c r="F271" s="65">
        <f t="shared" si="163"/>
        <v>2739700</v>
      </c>
      <c r="G271" s="65">
        <f t="shared" si="163"/>
        <v>2249257</v>
      </c>
      <c r="H271" s="65">
        <f t="shared" si="163"/>
        <v>0</v>
      </c>
      <c r="I271" s="65">
        <f t="shared" si="163"/>
        <v>0</v>
      </c>
      <c r="J271" s="65">
        <f t="shared" si="163"/>
        <v>0</v>
      </c>
      <c r="K271" s="65">
        <f t="shared" si="163"/>
        <v>0</v>
      </c>
      <c r="L271" s="65">
        <f t="shared" si="163"/>
        <v>0</v>
      </c>
      <c r="M271" s="65">
        <f t="shared" si="163"/>
        <v>0</v>
      </c>
      <c r="N271" s="65">
        <f t="shared" si="163"/>
        <v>0</v>
      </c>
      <c r="O271" s="65">
        <f t="shared" si="163"/>
        <v>0</v>
      </c>
      <c r="P271" s="65">
        <f t="shared" si="163"/>
        <v>2739700</v>
      </c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  <c r="IB271" s="39"/>
      <c r="IC271" s="39"/>
      <c r="ID271" s="39"/>
      <c r="IE271" s="39"/>
      <c r="IF271" s="39"/>
      <c r="IG271" s="39"/>
      <c r="IH271" s="39"/>
      <c r="II271" s="39"/>
      <c r="IJ271" s="39"/>
      <c r="IK271" s="39"/>
      <c r="IL271" s="39"/>
      <c r="IM271" s="39"/>
      <c r="IN271" s="39"/>
      <c r="IO271" s="39"/>
      <c r="IP271" s="39"/>
      <c r="IQ271" s="39"/>
      <c r="IR271" s="39"/>
      <c r="IS271" s="39"/>
      <c r="IT271" s="39"/>
      <c r="IU271" s="39"/>
      <c r="IV271" s="39"/>
      <c r="IW271" s="39"/>
      <c r="IX271" s="39"/>
      <c r="IY271" s="39"/>
      <c r="IZ271" s="39"/>
      <c r="JA271" s="39"/>
      <c r="JB271" s="39"/>
      <c r="JC271" s="39"/>
      <c r="JD271" s="39"/>
      <c r="JE271" s="39"/>
      <c r="JF271" s="39"/>
      <c r="JG271" s="39"/>
      <c r="JH271" s="39"/>
      <c r="JI271" s="39"/>
      <c r="JJ271" s="39"/>
      <c r="JK271" s="39"/>
      <c r="JL271" s="39"/>
      <c r="JM271" s="39"/>
      <c r="JN271" s="39"/>
      <c r="JO271" s="39"/>
      <c r="JP271" s="39"/>
      <c r="JQ271" s="39"/>
      <c r="JR271" s="39"/>
      <c r="JS271" s="39"/>
      <c r="JT271" s="39"/>
      <c r="JU271" s="39"/>
      <c r="JV271" s="39"/>
      <c r="JW271" s="39"/>
      <c r="JX271" s="39"/>
      <c r="JY271" s="39"/>
      <c r="JZ271" s="39"/>
      <c r="KA271" s="39"/>
      <c r="KB271" s="39"/>
      <c r="KC271" s="39"/>
      <c r="KD271" s="39"/>
      <c r="KE271" s="39"/>
      <c r="KF271" s="39"/>
      <c r="KG271" s="39"/>
      <c r="KH271" s="39"/>
      <c r="KI271" s="39"/>
      <c r="KJ271" s="39"/>
      <c r="KK271" s="39"/>
      <c r="KL271" s="39"/>
      <c r="KM271" s="39"/>
      <c r="KN271" s="39"/>
      <c r="KO271" s="39"/>
      <c r="KP271" s="39"/>
      <c r="KQ271" s="39"/>
      <c r="KR271" s="39"/>
      <c r="KS271" s="39"/>
      <c r="KT271" s="39"/>
      <c r="KU271" s="39"/>
      <c r="KV271" s="39"/>
      <c r="KW271" s="39"/>
      <c r="KX271" s="39"/>
      <c r="KY271" s="39"/>
      <c r="KZ271" s="39"/>
      <c r="LA271" s="39"/>
      <c r="LB271" s="39"/>
      <c r="LC271" s="39"/>
      <c r="LD271" s="39"/>
      <c r="LE271" s="39"/>
      <c r="LF271" s="39"/>
      <c r="LG271" s="39"/>
      <c r="LH271" s="39"/>
      <c r="LI271" s="39"/>
      <c r="LJ271" s="39"/>
      <c r="LK271" s="39"/>
      <c r="LL271" s="39"/>
      <c r="LM271" s="39"/>
      <c r="LN271" s="39"/>
      <c r="LO271" s="39"/>
      <c r="LP271" s="39"/>
      <c r="LQ271" s="39"/>
      <c r="LR271" s="39"/>
      <c r="LS271" s="39"/>
      <c r="LT271" s="39"/>
      <c r="LU271" s="39"/>
      <c r="LV271" s="39"/>
      <c r="LW271" s="39"/>
      <c r="LX271" s="39"/>
      <c r="LY271" s="39"/>
      <c r="LZ271" s="39"/>
      <c r="MA271" s="39"/>
      <c r="MB271" s="39"/>
      <c r="MC271" s="39"/>
      <c r="MD271" s="39"/>
      <c r="ME271" s="39"/>
      <c r="MF271" s="39"/>
      <c r="MG271" s="39"/>
      <c r="MH271" s="39"/>
      <c r="MI271" s="39"/>
      <c r="MJ271" s="39"/>
      <c r="MK271" s="39"/>
      <c r="ML271" s="39"/>
      <c r="MM271" s="39"/>
      <c r="MN271" s="39"/>
      <c r="MO271" s="39"/>
      <c r="MP271" s="39"/>
      <c r="MQ271" s="39"/>
      <c r="MR271" s="39"/>
      <c r="MS271" s="39"/>
      <c r="MT271" s="39"/>
      <c r="MU271" s="39"/>
      <c r="MV271" s="39"/>
      <c r="MW271" s="39"/>
      <c r="MX271" s="39"/>
      <c r="MY271" s="39"/>
      <c r="MZ271" s="39"/>
      <c r="NA271" s="39"/>
      <c r="NB271" s="39"/>
      <c r="NC271" s="39"/>
      <c r="ND271" s="39"/>
      <c r="NE271" s="39"/>
      <c r="NF271" s="39"/>
      <c r="NG271" s="39"/>
      <c r="NH271" s="39"/>
      <c r="NI271" s="39"/>
      <c r="NJ271" s="39"/>
      <c r="NK271" s="39"/>
      <c r="NL271" s="39"/>
      <c r="NM271" s="39"/>
      <c r="NN271" s="39"/>
      <c r="NO271" s="39"/>
      <c r="NP271" s="39"/>
      <c r="NQ271" s="39"/>
      <c r="NR271" s="39"/>
      <c r="NS271" s="39"/>
      <c r="NT271" s="39"/>
      <c r="NU271" s="39"/>
      <c r="NV271" s="39"/>
      <c r="NW271" s="39"/>
      <c r="NX271" s="39"/>
      <c r="NY271" s="39"/>
      <c r="NZ271" s="39"/>
      <c r="OA271" s="39"/>
      <c r="OB271" s="39"/>
      <c r="OC271" s="39"/>
      <c r="OD271" s="39"/>
      <c r="OE271" s="39"/>
      <c r="OF271" s="39"/>
      <c r="OG271" s="39"/>
      <c r="OH271" s="39"/>
      <c r="OI271" s="39"/>
      <c r="OJ271" s="39"/>
      <c r="OK271" s="39"/>
      <c r="OL271" s="39"/>
      <c r="OM271" s="39"/>
      <c r="ON271" s="39"/>
      <c r="OO271" s="39"/>
      <c r="OP271" s="39"/>
      <c r="OQ271" s="39"/>
      <c r="OR271" s="39"/>
      <c r="OS271" s="39"/>
      <c r="OT271" s="39"/>
      <c r="OU271" s="39"/>
      <c r="OV271" s="39"/>
      <c r="OW271" s="39"/>
      <c r="OX271" s="39"/>
      <c r="OY271" s="39"/>
      <c r="OZ271" s="39"/>
      <c r="PA271" s="39"/>
      <c r="PB271" s="39"/>
      <c r="PC271" s="39"/>
      <c r="PD271" s="39"/>
      <c r="PE271" s="39"/>
      <c r="PF271" s="39"/>
      <c r="PG271" s="39"/>
      <c r="PH271" s="39"/>
      <c r="PI271" s="39"/>
      <c r="PJ271" s="39"/>
      <c r="PK271" s="39"/>
      <c r="PL271" s="39"/>
      <c r="PM271" s="39"/>
      <c r="PN271" s="39"/>
      <c r="PO271" s="39"/>
      <c r="PP271" s="39"/>
      <c r="PQ271" s="39"/>
      <c r="PR271" s="39"/>
      <c r="PS271" s="39"/>
      <c r="PT271" s="39"/>
      <c r="PU271" s="39"/>
      <c r="PV271" s="39"/>
      <c r="PW271" s="39"/>
      <c r="PX271" s="39"/>
      <c r="PY271" s="39"/>
      <c r="PZ271" s="39"/>
      <c r="QA271" s="39"/>
      <c r="QB271" s="39"/>
      <c r="QC271" s="39"/>
      <c r="QD271" s="39"/>
      <c r="QE271" s="39"/>
      <c r="QF271" s="39"/>
      <c r="QG271" s="39"/>
      <c r="QH271" s="39"/>
      <c r="QI271" s="39"/>
      <c r="QJ271" s="39"/>
      <c r="QK271" s="39"/>
      <c r="QL271" s="39"/>
      <c r="QM271" s="39"/>
      <c r="QN271" s="39"/>
      <c r="QO271" s="39"/>
      <c r="QP271" s="39"/>
      <c r="QQ271" s="39"/>
      <c r="QR271" s="39"/>
      <c r="QS271" s="39"/>
      <c r="QT271" s="39"/>
      <c r="QU271" s="39"/>
      <c r="QV271" s="39"/>
      <c r="QW271" s="39"/>
      <c r="QX271" s="39"/>
      <c r="QY271" s="39"/>
      <c r="QZ271" s="39"/>
      <c r="RA271" s="39"/>
      <c r="RB271" s="39"/>
      <c r="RC271" s="39"/>
      <c r="RD271" s="39"/>
      <c r="RE271" s="39"/>
      <c r="RF271" s="39"/>
      <c r="RG271" s="39"/>
      <c r="RH271" s="39"/>
      <c r="RI271" s="39"/>
      <c r="RJ271" s="39"/>
      <c r="RK271" s="39"/>
      <c r="RL271" s="39"/>
      <c r="RM271" s="39"/>
      <c r="RN271" s="39"/>
      <c r="RO271" s="39"/>
      <c r="RP271" s="39"/>
      <c r="RQ271" s="39"/>
      <c r="RR271" s="39"/>
      <c r="RS271" s="39"/>
      <c r="RT271" s="39"/>
      <c r="RU271" s="39"/>
      <c r="RV271" s="39"/>
      <c r="RW271" s="39"/>
      <c r="RX271" s="39"/>
      <c r="RY271" s="39"/>
      <c r="RZ271" s="39"/>
      <c r="SA271" s="39"/>
      <c r="SB271" s="39"/>
      <c r="SC271" s="39"/>
      <c r="SD271" s="39"/>
      <c r="SE271" s="39"/>
      <c r="SF271" s="39"/>
      <c r="SG271" s="39"/>
      <c r="SH271" s="39"/>
      <c r="SI271" s="39"/>
      <c r="SJ271" s="39"/>
      <c r="SK271" s="39"/>
      <c r="SL271" s="39"/>
      <c r="SM271" s="39"/>
      <c r="SN271" s="39"/>
      <c r="SO271" s="39"/>
      <c r="SP271" s="39"/>
      <c r="SQ271" s="39"/>
      <c r="SR271" s="39"/>
      <c r="SS271" s="39"/>
      <c r="ST271" s="39"/>
      <c r="SU271" s="39"/>
      <c r="SV271" s="39"/>
      <c r="SW271" s="39"/>
      <c r="SX271" s="39"/>
      <c r="SY271" s="39"/>
      <c r="SZ271" s="39"/>
      <c r="TA271" s="39"/>
      <c r="TB271" s="39"/>
      <c r="TC271" s="39"/>
      <c r="TD271" s="39"/>
      <c r="TE271" s="39"/>
      <c r="TF271" s="39"/>
      <c r="TG271" s="39"/>
      <c r="TH271" s="39"/>
      <c r="TI271" s="39"/>
    </row>
    <row r="272" spans="1:529" s="40" customFormat="1" ht="30" x14ac:dyDescent="0.25">
      <c r="A272" s="146"/>
      <c r="B272" s="72"/>
      <c r="C272" s="64"/>
      <c r="D272" s="33" t="s">
        <v>466</v>
      </c>
      <c r="E272" s="65">
        <f t="shared" ref="E272:P272" si="164">E20+E63+E64+E65+E66+E67+E109+E110+E111+E139+E192</f>
        <v>23658220.209999997</v>
      </c>
      <c r="F272" s="65">
        <f t="shared" si="164"/>
        <v>23658220.209999997</v>
      </c>
      <c r="G272" s="65">
        <f t="shared" si="164"/>
        <v>2799250</v>
      </c>
      <c r="H272" s="65">
        <f t="shared" si="164"/>
        <v>0</v>
      </c>
      <c r="I272" s="65">
        <f t="shared" si="164"/>
        <v>0</v>
      </c>
      <c r="J272" s="65">
        <f t="shared" si="164"/>
        <v>83667153.299999997</v>
      </c>
      <c r="K272" s="65">
        <f t="shared" si="164"/>
        <v>3667153.3</v>
      </c>
      <c r="L272" s="65">
        <f t="shared" si="164"/>
        <v>80000000</v>
      </c>
      <c r="M272" s="65">
        <f t="shared" si="164"/>
        <v>0</v>
      </c>
      <c r="N272" s="65">
        <f t="shared" si="164"/>
        <v>0</v>
      </c>
      <c r="O272" s="65">
        <f t="shared" si="164"/>
        <v>3667153.3</v>
      </c>
      <c r="P272" s="65">
        <f t="shared" si="164"/>
        <v>107325373.50999999</v>
      </c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  <c r="HT272" s="39"/>
      <c r="HU272" s="39"/>
      <c r="HV272" s="39"/>
      <c r="HW272" s="39"/>
      <c r="HX272" s="39"/>
      <c r="HY272" s="39"/>
      <c r="HZ272" s="39"/>
      <c r="IA272" s="39"/>
      <c r="IB272" s="39"/>
      <c r="IC272" s="39"/>
      <c r="ID272" s="39"/>
      <c r="IE272" s="39"/>
      <c r="IF272" s="39"/>
      <c r="IG272" s="39"/>
      <c r="IH272" s="39"/>
      <c r="II272" s="39"/>
      <c r="IJ272" s="39"/>
      <c r="IK272" s="39"/>
      <c r="IL272" s="39"/>
      <c r="IM272" s="39"/>
      <c r="IN272" s="39"/>
      <c r="IO272" s="39"/>
      <c r="IP272" s="39"/>
      <c r="IQ272" s="39"/>
      <c r="IR272" s="39"/>
      <c r="IS272" s="39"/>
      <c r="IT272" s="39"/>
      <c r="IU272" s="39"/>
      <c r="IV272" s="39"/>
      <c r="IW272" s="39"/>
      <c r="IX272" s="39"/>
      <c r="IY272" s="39"/>
      <c r="IZ272" s="39"/>
      <c r="JA272" s="39"/>
      <c r="JB272" s="39"/>
      <c r="JC272" s="39"/>
      <c r="JD272" s="39"/>
      <c r="JE272" s="39"/>
      <c r="JF272" s="39"/>
      <c r="JG272" s="39"/>
      <c r="JH272" s="39"/>
      <c r="JI272" s="39"/>
      <c r="JJ272" s="39"/>
      <c r="JK272" s="39"/>
      <c r="JL272" s="39"/>
      <c r="JM272" s="39"/>
      <c r="JN272" s="39"/>
      <c r="JO272" s="39"/>
      <c r="JP272" s="39"/>
      <c r="JQ272" s="39"/>
      <c r="JR272" s="39"/>
      <c r="JS272" s="39"/>
      <c r="JT272" s="39"/>
      <c r="JU272" s="39"/>
      <c r="JV272" s="39"/>
      <c r="JW272" s="39"/>
      <c r="JX272" s="39"/>
      <c r="JY272" s="39"/>
      <c r="JZ272" s="39"/>
      <c r="KA272" s="39"/>
      <c r="KB272" s="39"/>
      <c r="KC272" s="39"/>
      <c r="KD272" s="39"/>
      <c r="KE272" s="39"/>
      <c r="KF272" s="39"/>
      <c r="KG272" s="39"/>
      <c r="KH272" s="39"/>
      <c r="KI272" s="39"/>
      <c r="KJ272" s="39"/>
      <c r="KK272" s="39"/>
      <c r="KL272" s="39"/>
      <c r="KM272" s="39"/>
      <c r="KN272" s="39"/>
      <c r="KO272" s="39"/>
      <c r="KP272" s="39"/>
      <c r="KQ272" s="39"/>
      <c r="KR272" s="39"/>
      <c r="KS272" s="39"/>
      <c r="KT272" s="39"/>
      <c r="KU272" s="39"/>
      <c r="KV272" s="39"/>
      <c r="KW272" s="39"/>
      <c r="KX272" s="39"/>
      <c r="KY272" s="39"/>
      <c r="KZ272" s="39"/>
      <c r="LA272" s="39"/>
      <c r="LB272" s="39"/>
      <c r="LC272" s="39"/>
      <c r="LD272" s="39"/>
      <c r="LE272" s="39"/>
      <c r="LF272" s="39"/>
      <c r="LG272" s="39"/>
      <c r="LH272" s="39"/>
      <c r="LI272" s="39"/>
      <c r="LJ272" s="39"/>
      <c r="LK272" s="39"/>
      <c r="LL272" s="39"/>
      <c r="LM272" s="39"/>
      <c r="LN272" s="39"/>
      <c r="LO272" s="39"/>
      <c r="LP272" s="39"/>
      <c r="LQ272" s="39"/>
      <c r="LR272" s="39"/>
      <c r="LS272" s="39"/>
      <c r="LT272" s="39"/>
      <c r="LU272" s="39"/>
      <c r="LV272" s="39"/>
      <c r="LW272" s="39"/>
      <c r="LX272" s="39"/>
      <c r="LY272" s="39"/>
      <c r="LZ272" s="39"/>
      <c r="MA272" s="39"/>
      <c r="MB272" s="39"/>
      <c r="MC272" s="39"/>
      <c r="MD272" s="39"/>
      <c r="ME272" s="39"/>
      <c r="MF272" s="39"/>
      <c r="MG272" s="39"/>
      <c r="MH272" s="39"/>
      <c r="MI272" s="39"/>
      <c r="MJ272" s="39"/>
      <c r="MK272" s="39"/>
      <c r="ML272" s="39"/>
      <c r="MM272" s="39"/>
      <c r="MN272" s="39"/>
      <c r="MO272" s="39"/>
      <c r="MP272" s="39"/>
      <c r="MQ272" s="39"/>
      <c r="MR272" s="39"/>
      <c r="MS272" s="39"/>
      <c r="MT272" s="39"/>
      <c r="MU272" s="39"/>
      <c r="MV272" s="39"/>
      <c r="MW272" s="39"/>
      <c r="MX272" s="39"/>
      <c r="MY272" s="39"/>
      <c r="MZ272" s="39"/>
      <c r="NA272" s="39"/>
      <c r="NB272" s="39"/>
      <c r="NC272" s="39"/>
      <c r="ND272" s="39"/>
      <c r="NE272" s="39"/>
      <c r="NF272" s="39"/>
      <c r="NG272" s="39"/>
      <c r="NH272" s="39"/>
      <c r="NI272" s="39"/>
      <c r="NJ272" s="39"/>
      <c r="NK272" s="39"/>
      <c r="NL272" s="39"/>
      <c r="NM272" s="39"/>
      <c r="NN272" s="39"/>
      <c r="NO272" s="39"/>
      <c r="NP272" s="39"/>
      <c r="NQ272" s="39"/>
      <c r="NR272" s="39"/>
      <c r="NS272" s="39"/>
      <c r="NT272" s="39"/>
      <c r="NU272" s="39"/>
      <c r="NV272" s="39"/>
      <c r="NW272" s="39"/>
      <c r="NX272" s="39"/>
      <c r="NY272" s="39"/>
      <c r="NZ272" s="39"/>
      <c r="OA272" s="39"/>
      <c r="OB272" s="39"/>
      <c r="OC272" s="39"/>
      <c r="OD272" s="39"/>
      <c r="OE272" s="39"/>
      <c r="OF272" s="39"/>
      <c r="OG272" s="39"/>
      <c r="OH272" s="39"/>
      <c r="OI272" s="39"/>
      <c r="OJ272" s="39"/>
      <c r="OK272" s="39"/>
      <c r="OL272" s="39"/>
      <c r="OM272" s="39"/>
      <c r="ON272" s="39"/>
      <c r="OO272" s="39"/>
      <c r="OP272" s="39"/>
      <c r="OQ272" s="39"/>
      <c r="OR272" s="39"/>
      <c r="OS272" s="39"/>
      <c r="OT272" s="39"/>
      <c r="OU272" s="39"/>
      <c r="OV272" s="39"/>
      <c r="OW272" s="39"/>
      <c r="OX272" s="39"/>
      <c r="OY272" s="39"/>
      <c r="OZ272" s="39"/>
      <c r="PA272" s="39"/>
      <c r="PB272" s="39"/>
      <c r="PC272" s="39"/>
      <c r="PD272" s="39"/>
      <c r="PE272" s="39"/>
      <c r="PF272" s="39"/>
      <c r="PG272" s="39"/>
      <c r="PH272" s="39"/>
      <c r="PI272" s="39"/>
      <c r="PJ272" s="39"/>
      <c r="PK272" s="39"/>
      <c r="PL272" s="39"/>
      <c r="PM272" s="39"/>
      <c r="PN272" s="39"/>
      <c r="PO272" s="39"/>
      <c r="PP272" s="39"/>
      <c r="PQ272" s="39"/>
      <c r="PR272" s="39"/>
      <c r="PS272" s="39"/>
      <c r="PT272" s="39"/>
      <c r="PU272" s="39"/>
      <c r="PV272" s="39"/>
      <c r="PW272" s="39"/>
      <c r="PX272" s="39"/>
      <c r="PY272" s="39"/>
      <c r="PZ272" s="39"/>
      <c r="QA272" s="39"/>
      <c r="QB272" s="39"/>
      <c r="QC272" s="39"/>
      <c r="QD272" s="39"/>
      <c r="QE272" s="39"/>
      <c r="QF272" s="39"/>
      <c r="QG272" s="39"/>
      <c r="QH272" s="39"/>
      <c r="QI272" s="39"/>
      <c r="QJ272" s="39"/>
      <c r="QK272" s="39"/>
      <c r="QL272" s="39"/>
      <c r="QM272" s="39"/>
      <c r="QN272" s="39"/>
      <c r="QO272" s="39"/>
      <c r="QP272" s="39"/>
      <c r="QQ272" s="39"/>
      <c r="QR272" s="39"/>
      <c r="QS272" s="39"/>
      <c r="QT272" s="39"/>
      <c r="QU272" s="39"/>
      <c r="QV272" s="39"/>
      <c r="QW272" s="39"/>
      <c r="QX272" s="39"/>
      <c r="QY272" s="39"/>
      <c r="QZ272" s="39"/>
      <c r="RA272" s="39"/>
      <c r="RB272" s="39"/>
      <c r="RC272" s="39"/>
      <c r="RD272" s="39"/>
      <c r="RE272" s="39"/>
      <c r="RF272" s="39"/>
      <c r="RG272" s="39"/>
      <c r="RH272" s="39"/>
      <c r="RI272" s="39"/>
      <c r="RJ272" s="39"/>
      <c r="RK272" s="39"/>
      <c r="RL272" s="39"/>
      <c r="RM272" s="39"/>
      <c r="RN272" s="39"/>
      <c r="RO272" s="39"/>
      <c r="RP272" s="39"/>
      <c r="RQ272" s="39"/>
      <c r="RR272" s="39"/>
      <c r="RS272" s="39"/>
      <c r="RT272" s="39"/>
      <c r="RU272" s="39"/>
      <c r="RV272" s="39"/>
      <c r="RW272" s="39"/>
      <c r="RX272" s="39"/>
      <c r="RY272" s="39"/>
      <c r="RZ272" s="39"/>
      <c r="SA272" s="39"/>
      <c r="SB272" s="39"/>
      <c r="SC272" s="39"/>
      <c r="SD272" s="39"/>
      <c r="SE272" s="39"/>
      <c r="SF272" s="39"/>
      <c r="SG272" s="39"/>
      <c r="SH272" s="39"/>
      <c r="SI272" s="39"/>
      <c r="SJ272" s="39"/>
      <c r="SK272" s="39"/>
      <c r="SL272" s="39"/>
      <c r="SM272" s="39"/>
      <c r="SN272" s="39"/>
      <c r="SO272" s="39"/>
      <c r="SP272" s="39"/>
      <c r="SQ272" s="39"/>
      <c r="SR272" s="39"/>
      <c r="SS272" s="39"/>
      <c r="ST272" s="39"/>
      <c r="SU272" s="39"/>
      <c r="SV272" s="39"/>
      <c r="SW272" s="39"/>
      <c r="SX272" s="39"/>
      <c r="SY272" s="39"/>
      <c r="SZ272" s="39"/>
      <c r="TA272" s="39"/>
      <c r="TB272" s="39"/>
      <c r="TC272" s="39"/>
      <c r="TD272" s="39"/>
      <c r="TE272" s="39"/>
      <c r="TF272" s="39"/>
      <c r="TG272" s="39"/>
      <c r="TH272" s="39"/>
      <c r="TI272" s="39"/>
    </row>
    <row r="273" spans="1:529" s="40" customFormat="1" ht="18.75" customHeight="1" x14ac:dyDescent="0.25">
      <c r="A273" s="73"/>
      <c r="B273" s="72"/>
      <c r="C273" s="72"/>
      <c r="D273" s="142" t="s">
        <v>505</v>
      </c>
      <c r="E273" s="65">
        <f>E112+E224</f>
        <v>0</v>
      </c>
      <c r="F273" s="65">
        <f t="shared" ref="F273:P273" si="165">F112+F224</f>
        <v>0</v>
      </c>
      <c r="G273" s="65">
        <f t="shared" si="165"/>
        <v>0</v>
      </c>
      <c r="H273" s="65">
        <f t="shared" si="165"/>
        <v>0</v>
      </c>
      <c r="I273" s="65">
        <f t="shared" si="165"/>
        <v>0</v>
      </c>
      <c r="J273" s="65">
        <f t="shared" si="165"/>
        <v>58776907</v>
      </c>
      <c r="K273" s="65">
        <f t="shared" si="165"/>
        <v>58776907</v>
      </c>
      <c r="L273" s="65">
        <f t="shared" si="165"/>
        <v>0</v>
      </c>
      <c r="M273" s="65">
        <f t="shared" si="165"/>
        <v>0</v>
      </c>
      <c r="N273" s="65">
        <f t="shared" si="165"/>
        <v>0</v>
      </c>
      <c r="O273" s="65">
        <f t="shared" si="165"/>
        <v>58776907</v>
      </c>
      <c r="P273" s="65">
        <f t="shared" si="165"/>
        <v>58776907</v>
      </c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/>
      <c r="HY273" s="39"/>
      <c r="HZ273" s="39"/>
      <c r="IA273" s="39"/>
      <c r="IB273" s="39"/>
      <c r="IC273" s="39"/>
      <c r="ID273" s="39"/>
      <c r="IE273" s="39"/>
      <c r="IF273" s="39"/>
      <c r="IG273" s="39"/>
      <c r="IH273" s="39"/>
      <c r="II273" s="39"/>
      <c r="IJ273" s="39"/>
      <c r="IK273" s="39"/>
      <c r="IL273" s="39"/>
      <c r="IM273" s="39"/>
      <c r="IN273" s="39"/>
      <c r="IO273" s="39"/>
      <c r="IP273" s="39"/>
      <c r="IQ273" s="39"/>
      <c r="IR273" s="39"/>
      <c r="IS273" s="39"/>
      <c r="IT273" s="39"/>
      <c r="IU273" s="39"/>
      <c r="IV273" s="39"/>
      <c r="IW273" s="39"/>
      <c r="IX273" s="39"/>
      <c r="IY273" s="39"/>
      <c r="IZ273" s="39"/>
      <c r="JA273" s="39"/>
      <c r="JB273" s="39"/>
      <c r="JC273" s="39"/>
      <c r="JD273" s="39"/>
      <c r="JE273" s="39"/>
      <c r="JF273" s="39"/>
      <c r="JG273" s="39"/>
      <c r="JH273" s="39"/>
      <c r="JI273" s="39"/>
      <c r="JJ273" s="39"/>
      <c r="JK273" s="39"/>
      <c r="JL273" s="39"/>
      <c r="JM273" s="39"/>
      <c r="JN273" s="39"/>
      <c r="JO273" s="39"/>
      <c r="JP273" s="39"/>
      <c r="JQ273" s="39"/>
      <c r="JR273" s="39"/>
      <c r="JS273" s="39"/>
      <c r="JT273" s="39"/>
      <c r="JU273" s="39"/>
      <c r="JV273" s="39"/>
      <c r="JW273" s="39"/>
      <c r="JX273" s="39"/>
      <c r="JY273" s="39"/>
      <c r="JZ273" s="39"/>
      <c r="KA273" s="39"/>
      <c r="KB273" s="39"/>
      <c r="KC273" s="39"/>
      <c r="KD273" s="39"/>
      <c r="KE273" s="39"/>
      <c r="KF273" s="39"/>
      <c r="KG273" s="39"/>
      <c r="KH273" s="39"/>
      <c r="KI273" s="39"/>
      <c r="KJ273" s="39"/>
      <c r="KK273" s="39"/>
      <c r="KL273" s="39"/>
      <c r="KM273" s="39"/>
      <c r="KN273" s="39"/>
      <c r="KO273" s="39"/>
      <c r="KP273" s="39"/>
      <c r="KQ273" s="39"/>
      <c r="KR273" s="39"/>
      <c r="KS273" s="39"/>
      <c r="KT273" s="39"/>
      <c r="KU273" s="39"/>
      <c r="KV273" s="39"/>
      <c r="KW273" s="39"/>
      <c r="KX273" s="39"/>
      <c r="KY273" s="39"/>
      <c r="KZ273" s="39"/>
      <c r="LA273" s="39"/>
      <c r="LB273" s="39"/>
      <c r="LC273" s="39"/>
      <c r="LD273" s="39"/>
      <c r="LE273" s="39"/>
      <c r="LF273" s="39"/>
      <c r="LG273" s="39"/>
      <c r="LH273" s="39"/>
      <c r="LI273" s="39"/>
      <c r="LJ273" s="39"/>
      <c r="LK273" s="39"/>
      <c r="LL273" s="39"/>
      <c r="LM273" s="39"/>
      <c r="LN273" s="39"/>
      <c r="LO273" s="39"/>
      <c r="LP273" s="39"/>
      <c r="LQ273" s="39"/>
      <c r="LR273" s="39"/>
      <c r="LS273" s="39"/>
      <c r="LT273" s="39"/>
      <c r="LU273" s="39"/>
      <c r="LV273" s="39"/>
      <c r="LW273" s="39"/>
      <c r="LX273" s="39"/>
      <c r="LY273" s="39"/>
      <c r="LZ273" s="39"/>
      <c r="MA273" s="39"/>
      <c r="MB273" s="39"/>
      <c r="MC273" s="39"/>
      <c r="MD273" s="39"/>
      <c r="ME273" s="39"/>
      <c r="MF273" s="39"/>
      <c r="MG273" s="39"/>
      <c r="MH273" s="39"/>
      <c r="MI273" s="39"/>
      <c r="MJ273" s="39"/>
      <c r="MK273" s="39"/>
      <c r="ML273" s="39"/>
      <c r="MM273" s="39"/>
      <c r="MN273" s="39"/>
      <c r="MO273" s="39"/>
      <c r="MP273" s="39"/>
      <c r="MQ273" s="39"/>
      <c r="MR273" s="39"/>
      <c r="MS273" s="39"/>
      <c r="MT273" s="39"/>
      <c r="MU273" s="39"/>
      <c r="MV273" s="39"/>
      <c r="MW273" s="39"/>
      <c r="MX273" s="39"/>
      <c r="MY273" s="39"/>
      <c r="MZ273" s="39"/>
      <c r="NA273" s="39"/>
      <c r="NB273" s="39"/>
      <c r="NC273" s="39"/>
      <c r="ND273" s="39"/>
      <c r="NE273" s="39"/>
      <c r="NF273" s="39"/>
      <c r="NG273" s="39"/>
      <c r="NH273" s="39"/>
      <c r="NI273" s="39"/>
      <c r="NJ273" s="39"/>
      <c r="NK273" s="39"/>
      <c r="NL273" s="39"/>
      <c r="NM273" s="39"/>
      <c r="NN273" s="39"/>
      <c r="NO273" s="39"/>
      <c r="NP273" s="39"/>
      <c r="NQ273" s="39"/>
      <c r="NR273" s="39"/>
      <c r="NS273" s="39"/>
      <c r="NT273" s="39"/>
      <c r="NU273" s="39"/>
      <c r="NV273" s="39"/>
      <c r="NW273" s="39"/>
      <c r="NX273" s="39"/>
      <c r="NY273" s="39"/>
      <c r="NZ273" s="39"/>
      <c r="OA273" s="39"/>
      <c r="OB273" s="39"/>
      <c r="OC273" s="39"/>
      <c r="OD273" s="39"/>
      <c r="OE273" s="39"/>
      <c r="OF273" s="39"/>
      <c r="OG273" s="39"/>
      <c r="OH273" s="39"/>
      <c r="OI273" s="39"/>
      <c r="OJ273" s="39"/>
      <c r="OK273" s="39"/>
      <c r="OL273" s="39"/>
      <c r="OM273" s="39"/>
      <c r="ON273" s="39"/>
      <c r="OO273" s="39"/>
      <c r="OP273" s="39"/>
      <c r="OQ273" s="39"/>
      <c r="OR273" s="39"/>
      <c r="OS273" s="39"/>
      <c r="OT273" s="39"/>
      <c r="OU273" s="39"/>
      <c r="OV273" s="39"/>
      <c r="OW273" s="39"/>
      <c r="OX273" s="39"/>
      <c r="OY273" s="39"/>
      <c r="OZ273" s="39"/>
      <c r="PA273" s="39"/>
      <c r="PB273" s="39"/>
      <c r="PC273" s="39"/>
      <c r="PD273" s="39"/>
      <c r="PE273" s="39"/>
      <c r="PF273" s="39"/>
      <c r="PG273" s="39"/>
      <c r="PH273" s="39"/>
      <c r="PI273" s="39"/>
      <c r="PJ273" s="39"/>
      <c r="PK273" s="39"/>
      <c r="PL273" s="39"/>
      <c r="PM273" s="39"/>
      <c r="PN273" s="39"/>
      <c r="PO273" s="39"/>
      <c r="PP273" s="39"/>
      <c r="PQ273" s="39"/>
      <c r="PR273" s="39"/>
      <c r="PS273" s="39"/>
      <c r="PT273" s="39"/>
      <c r="PU273" s="39"/>
      <c r="PV273" s="39"/>
      <c r="PW273" s="39"/>
      <c r="PX273" s="39"/>
      <c r="PY273" s="39"/>
      <c r="PZ273" s="39"/>
      <c r="QA273" s="39"/>
      <c r="QB273" s="39"/>
      <c r="QC273" s="39"/>
      <c r="QD273" s="39"/>
      <c r="QE273" s="39"/>
      <c r="QF273" s="39"/>
      <c r="QG273" s="39"/>
      <c r="QH273" s="39"/>
      <c r="QI273" s="39"/>
      <c r="QJ273" s="39"/>
      <c r="QK273" s="39"/>
      <c r="QL273" s="39"/>
      <c r="QM273" s="39"/>
      <c r="QN273" s="39"/>
      <c r="QO273" s="39"/>
      <c r="QP273" s="39"/>
      <c r="QQ273" s="39"/>
      <c r="QR273" s="39"/>
      <c r="QS273" s="39"/>
      <c r="QT273" s="39"/>
      <c r="QU273" s="39"/>
      <c r="QV273" s="39"/>
      <c r="QW273" s="39"/>
      <c r="QX273" s="39"/>
      <c r="QY273" s="39"/>
      <c r="QZ273" s="39"/>
      <c r="RA273" s="39"/>
      <c r="RB273" s="39"/>
      <c r="RC273" s="39"/>
      <c r="RD273" s="39"/>
      <c r="RE273" s="39"/>
      <c r="RF273" s="39"/>
      <c r="RG273" s="39"/>
      <c r="RH273" s="39"/>
      <c r="RI273" s="39"/>
      <c r="RJ273" s="39"/>
      <c r="RK273" s="39"/>
      <c r="RL273" s="39"/>
      <c r="RM273" s="39"/>
      <c r="RN273" s="39"/>
      <c r="RO273" s="39"/>
      <c r="RP273" s="39"/>
      <c r="RQ273" s="39"/>
      <c r="RR273" s="39"/>
      <c r="RS273" s="39"/>
      <c r="RT273" s="39"/>
      <c r="RU273" s="39"/>
      <c r="RV273" s="39"/>
      <c r="RW273" s="39"/>
      <c r="RX273" s="39"/>
      <c r="RY273" s="39"/>
      <c r="RZ273" s="39"/>
      <c r="SA273" s="39"/>
      <c r="SB273" s="39"/>
      <c r="SC273" s="39"/>
      <c r="SD273" s="39"/>
      <c r="SE273" s="39"/>
      <c r="SF273" s="39"/>
      <c r="SG273" s="39"/>
      <c r="SH273" s="39"/>
      <c r="SI273" s="39"/>
      <c r="SJ273" s="39"/>
      <c r="SK273" s="39"/>
      <c r="SL273" s="39"/>
      <c r="SM273" s="39"/>
      <c r="SN273" s="39"/>
      <c r="SO273" s="39"/>
      <c r="SP273" s="39"/>
      <c r="SQ273" s="39"/>
      <c r="SR273" s="39"/>
      <c r="SS273" s="39"/>
      <c r="ST273" s="39"/>
      <c r="SU273" s="39"/>
      <c r="SV273" s="39"/>
      <c r="SW273" s="39"/>
      <c r="SX273" s="39"/>
      <c r="SY273" s="39"/>
      <c r="SZ273" s="39"/>
      <c r="TA273" s="39"/>
      <c r="TB273" s="39"/>
      <c r="TC273" s="39"/>
      <c r="TD273" s="39"/>
      <c r="TE273" s="39"/>
      <c r="TF273" s="39"/>
      <c r="TG273" s="39"/>
      <c r="TH273" s="39"/>
      <c r="TI273" s="39"/>
    </row>
    <row r="274" spans="1:529" s="31" customFormat="1" ht="15.75" customHeight="1" x14ac:dyDescent="0.2">
      <c r="A274" s="126"/>
      <c r="B274" s="127"/>
      <c r="C274" s="128"/>
      <c r="D274" s="129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  <c r="IS274" s="38"/>
      <c r="IT274" s="38"/>
      <c r="IU274" s="38"/>
      <c r="IV274" s="38"/>
      <c r="IW274" s="38"/>
      <c r="IX274" s="38"/>
      <c r="IY274" s="38"/>
      <c r="IZ274" s="38"/>
      <c r="JA274" s="38"/>
      <c r="JB274" s="38"/>
      <c r="JC274" s="38"/>
      <c r="JD274" s="38"/>
      <c r="JE274" s="38"/>
      <c r="JF274" s="38"/>
      <c r="JG274" s="38"/>
      <c r="JH274" s="38"/>
      <c r="JI274" s="38"/>
      <c r="JJ274" s="38"/>
      <c r="JK274" s="38"/>
      <c r="JL274" s="38"/>
      <c r="JM274" s="38"/>
      <c r="JN274" s="38"/>
      <c r="JO274" s="38"/>
      <c r="JP274" s="38"/>
      <c r="JQ274" s="38"/>
      <c r="JR274" s="38"/>
      <c r="JS274" s="38"/>
      <c r="JT274" s="38"/>
      <c r="JU274" s="38"/>
      <c r="JV274" s="38"/>
      <c r="JW274" s="38"/>
      <c r="JX274" s="38"/>
      <c r="JY274" s="38"/>
      <c r="JZ274" s="38"/>
      <c r="KA274" s="38"/>
      <c r="KB274" s="38"/>
      <c r="KC274" s="38"/>
      <c r="KD274" s="38"/>
      <c r="KE274" s="38"/>
      <c r="KF274" s="38"/>
      <c r="KG274" s="38"/>
      <c r="KH274" s="38"/>
      <c r="KI274" s="38"/>
      <c r="KJ274" s="38"/>
      <c r="KK274" s="38"/>
      <c r="KL274" s="38"/>
      <c r="KM274" s="38"/>
      <c r="KN274" s="38"/>
      <c r="KO274" s="38"/>
      <c r="KP274" s="38"/>
      <c r="KQ274" s="38"/>
      <c r="KR274" s="38"/>
      <c r="KS274" s="38"/>
      <c r="KT274" s="38"/>
      <c r="KU274" s="38"/>
      <c r="KV274" s="38"/>
      <c r="KW274" s="38"/>
      <c r="KX274" s="38"/>
      <c r="KY274" s="38"/>
      <c r="KZ274" s="38"/>
      <c r="LA274" s="38"/>
      <c r="LB274" s="38"/>
      <c r="LC274" s="38"/>
      <c r="LD274" s="38"/>
      <c r="LE274" s="38"/>
      <c r="LF274" s="38"/>
      <c r="LG274" s="38"/>
      <c r="LH274" s="38"/>
      <c r="LI274" s="38"/>
      <c r="LJ274" s="38"/>
      <c r="LK274" s="38"/>
      <c r="LL274" s="38"/>
      <c r="LM274" s="38"/>
      <c r="LN274" s="38"/>
      <c r="LO274" s="38"/>
      <c r="LP274" s="38"/>
      <c r="LQ274" s="38"/>
      <c r="LR274" s="38"/>
      <c r="LS274" s="38"/>
      <c r="LT274" s="38"/>
      <c r="LU274" s="38"/>
      <c r="LV274" s="38"/>
      <c r="LW274" s="38"/>
      <c r="LX274" s="38"/>
      <c r="LY274" s="38"/>
      <c r="LZ274" s="38"/>
      <c r="MA274" s="38"/>
      <c r="MB274" s="38"/>
      <c r="MC274" s="38"/>
      <c r="MD274" s="38"/>
      <c r="ME274" s="38"/>
      <c r="MF274" s="38"/>
      <c r="MG274" s="38"/>
      <c r="MH274" s="38"/>
      <c r="MI274" s="38"/>
      <c r="MJ274" s="38"/>
      <c r="MK274" s="38"/>
      <c r="ML274" s="38"/>
      <c r="MM274" s="38"/>
      <c r="MN274" s="38"/>
      <c r="MO274" s="38"/>
      <c r="MP274" s="38"/>
      <c r="MQ274" s="38"/>
      <c r="MR274" s="38"/>
      <c r="MS274" s="38"/>
      <c r="MT274" s="38"/>
      <c r="MU274" s="38"/>
      <c r="MV274" s="38"/>
      <c r="MW274" s="38"/>
      <c r="MX274" s="38"/>
      <c r="MY274" s="38"/>
      <c r="MZ274" s="38"/>
      <c r="NA274" s="38"/>
      <c r="NB274" s="38"/>
      <c r="NC274" s="38"/>
      <c r="ND274" s="38"/>
      <c r="NE274" s="38"/>
      <c r="NF274" s="38"/>
      <c r="NG274" s="38"/>
      <c r="NH274" s="38"/>
      <c r="NI274" s="38"/>
      <c r="NJ274" s="38"/>
      <c r="NK274" s="38"/>
      <c r="NL274" s="38"/>
      <c r="NM274" s="38"/>
      <c r="NN274" s="38"/>
      <c r="NO274" s="38"/>
      <c r="NP274" s="38"/>
      <c r="NQ274" s="38"/>
      <c r="NR274" s="38"/>
      <c r="NS274" s="38"/>
      <c r="NT274" s="38"/>
      <c r="NU274" s="38"/>
      <c r="NV274" s="38"/>
      <c r="NW274" s="38"/>
      <c r="NX274" s="38"/>
      <c r="NY274" s="38"/>
      <c r="NZ274" s="38"/>
      <c r="OA274" s="38"/>
      <c r="OB274" s="38"/>
      <c r="OC274" s="38"/>
      <c r="OD274" s="38"/>
      <c r="OE274" s="38"/>
      <c r="OF274" s="38"/>
      <c r="OG274" s="38"/>
      <c r="OH274" s="38"/>
      <c r="OI274" s="38"/>
      <c r="OJ274" s="38"/>
      <c r="OK274" s="38"/>
      <c r="OL274" s="38"/>
      <c r="OM274" s="38"/>
      <c r="ON274" s="38"/>
      <c r="OO274" s="38"/>
      <c r="OP274" s="38"/>
      <c r="OQ274" s="38"/>
      <c r="OR274" s="38"/>
      <c r="OS274" s="38"/>
      <c r="OT274" s="38"/>
      <c r="OU274" s="38"/>
      <c r="OV274" s="38"/>
      <c r="OW274" s="38"/>
      <c r="OX274" s="38"/>
      <c r="OY274" s="38"/>
      <c r="OZ274" s="38"/>
      <c r="PA274" s="38"/>
      <c r="PB274" s="38"/>
      <c r="PC274" s="38"/>
      <c r="PD274" s="38"/>
      <c r="PE274" s="38"/>
      <c r="PF274" s="38"/>
      <c r="PG274" s="38"/>
      <c r="PH274" s="38"/>
      <c r="PI274" s="38"/>
      <c r="PJ274" s="38"/>
      <c r="PK274" s="38"/>
      <c r="PL274" s="38"/>
      <c r="PM274" s="38"/>
      <c r="PN274" s="38"/>
      <c r="PO274" s="38"/>
      <c r="PP274" s="38"/>
      <c r="PQ274" s="38"/>
      <c r="PR274" s="38"/>
      <c r="PS274" s="38"/>
      <c r="PT274" s="38"/>
      <c r="PU274" s="38"/>
      <c r="PV274" s="38"/>
      <c r="PW274" s="38"/>
      <c r="PX274" s="38"/>
      <c r="PY274" s="38"/>
      <c r="PZ274" s="38"/>
      <c r="QA274" s="38"/>
      <c r="QB274" s="38"/>
      <c r="QC274" s="38"/>
      <c r="QD274" s="38"/>
      <c r="QE274" s="38"/>
      <c r="QF274" s="38"/>
      <c r="QG274" s="38"/>
      <c r="QH274" s="38"/>
      <c r="QI274" s="38"/>
      <c r="QJ274" s="38"/>
      <c r="QK274" s="38"/>
      <c r="QL274" s="38"/>
      <c r="QM274" s="38"/>
      <c r="QN274" s="38"/>
      <c r="QO274" s="38"/>
      <c r="QP274" s="38"/>
      <c r="QQ274" s="38"/>
      <c r="QR274" s="38"/>
      <c r="QS274" s="38"/>
      <c r="QT274" s="38"/>
      <c r="QU274" s="38"/>
      <c r="QV274" s="38"/>
      <c r="QW274" s="38"/>
      <c r="QX274" s="38"/>
      <c r="QY274" s="38"/>
      <c r="QZ274" s="38"/>
      <c r="RA274" s="38"/>
      <c r="RB274" s="38"/>
      <c r="RC274" s="38"/>
      <c r="RD274" s="38"/>
      <c r="RE274" s="38"/>
      <c r="RF274" s="38"/>
      <c r="RG274" s="38"/>
      <c r="RH274" s="38"/>
      <c r="RI274" s="38"/>
      <c r="RJ274" s="38"/>
      <c r="RK274" s="38"/>
      <c r="RL274" s="38"/>
      <c r="RM274" s="38"/>
      <c r="RN274" s="38"/>
      <c r="RO274" s="38"/>
      <c r="RP274" s="38"/>
      <c r="RQ274" s="38"/>
      <c r="RR274" s="38"/>
      <c r="RS274" s="38"/>
      <c r="RT274" s="38"/>
      <c r="RU274" s="38"/>
      <c r="RV274" s="38"/>
      <c r="RW274" s="38"/>
      <c r="RX274" s="38"/>
      <c r="RY274" s="38"/>
      <c r="RZ274" s="38"/>
      <c r="SA274" s="38"/>
      <c r="SB274" s="38"/>
      <c r="SC274" s="38"/>
      <c r="SD274" s="38"/>
      <c r="SE274" s="38"/>
      <c r="SF274" s="38"/>
      <c r="SG274" s="38"/>
      <c r="SH274" s="38"/>
      <c r="SI274" s="38"/>
      <c r="SJ274" s="38"/>
      <c r="SK274" s="38"/>
      <c r="SL274" s="38"/>
      <c r="SM274" s="38"/>
      <c r="SN274" s="38"/>
      <c r="SO274" s="38"/>
      <c r="SP274" s="38"/>
      <c r="SQ274" s="38"/>
      <c r="SR274" s="38"/>
      <c r="SS274" s="38"/>
      <c r="ST274" s="38"/>
      <c r="SU274" s="38"/>
      <c r="SV274" s="38"/>
      <c r="SW274" s="38"/>
      <c r="SX274" s="38"/>
      <c r="SY274" s="38"/>
      <c r="SZ274" s="38"/>
      <c r="TA274" s="38"/>
      <c r="TB274" s="38"/>
      <c r="TC274" s="38"/>
      <c r="TD274" s="38"/>
      <c r="TE274" s="38"/>
      <c r="TF274" s="38"/>
      <c r="TG274" s="38"/>
      <c r="TH274" s="38"/>
      <c r="TI274" s="38"/>
    </row>
    <row r="275" spans="1:529" s="31" customFormat="1" ht="14.25" x14ac:dyDescent="0.2">
      <c r="A275" s="126"/>
      <c r="B275" s="127"/>
      <c r="C275" s="128"/>
      <c r="D275" s="129"/>
      <c r="E275" s="130">
        <f>E269-'дод 4'!D203</f>
        <v>0</v>
      </c>
      <c r="F275" s="130">
        <f>F269-'дод 4'!E203</f>
        <v>0</v>
      </c>
      <c r="G275" s="130">
        <f>G269-'дод 4'!F203</f>
        <v>0</v>
      </c>
      <c r="H275" s="130">
        <f>H269-'дод 4'!G203</f>
        <v>0</v>
      </c>
      <c r="I275" s="130">
        <f>I269-'дод 4'!H203</f>
        <v>0</v>
      </c>
      <c r="J275" s="130">
        <f>J269-'дод 4'!I203</f>
        <v>0</v>
      </c>
      <c r="K275" s="130">
        <f>K269-'дод 4'!J203</f>
        <v>0</v>
      </c>
      <c r="L275" s="130">
        <f>L269-'дод 4'!K203</f>
        <v>0</v>
      </c>
      <c r="M275" s="130">
        <f>M269-'дод 4'!L203</f>
        <v>0</v>
      </c>
      <c r="N275" s="130">
        <f>N269-'дод 4'!M203</f>
        <v>0</v>
      </c>
      <c r="O275" s="130">
        <f>O269-'дод 4'!N203</f>
        <v>0</v>
      </c>
      <c r="P275" s="130">
        <f>P269-'дод 4'!O203</f>
        <v>0</v>
      </c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  <c r="II275" s="38"/>
      <c r="IJ275" s="38"/>
      <c r="IK275" s="38"/>
      <c r="IL275" s="38"/>
      <c r="IM275" s="38"/>
      <c r="IN275" s="38"/>
      <c r="IO275" s="38"/>
      <c r="IP275" s="38"/>
      <c r="IQ275" s="38"/>
      <c r="IR275" s="38"/>
      <c r="IS275" s="38"/>
      <c r="IT275" s="38"/>
      <c r="IU275" s="38"/>
      <c r="IV275" s="38"/>
      <c r="IW275" s="38"/>
      <c r="IX275" s="38"/>
      <c r="IY275" s="38"/>
      <c r="IZ275" s="38"/>
      <c r="JA275" s="38"/>
      <c r="JB275" s="38"/>
      <c r="JC275" s="38"/>
      <c r="JD275" s="38"/>
      <c r="JE275" s="38"/>
      <c r="JF275" s="38"/>
      <c r="JG275" s="38"/>
      <c r="JH275" s="38"/>
      <c r="JI275" s="38"/>
      <c r="JJ275" s="38"/>
      <c r="JK275" s="38"/>
      <c r="JL275" s="38"/>
      <c r="JM275" s="38"/>
      <c r="JN275" s="38"/>
      <c r="JO275" s="38"/>
      <c r="JP275" s="38"/>
      <c r="JQ275" s="38"/>
      <c r="JR275" s="38"/>
      <c r="JS275" s="38"/>
      <c r="JT275" s="38"/>
      <c r="JU275" s="38"/>
      <c r="JV275" s="38"/>
      <c r="JW275" s="38"/>
      <c r="JX275" s="38"/>
      <c r="JY275" s="38"/>
      <c r="JZ275" s="38"/>
      <c r="KA275" s="38"/>
      <c r="KB275" s="38"/>
      <c r="KC275" s="38"/>
      <c r="KD275" s="38"/>
      <c r="KE275" s="38"/>
      <c r="KF275" s="38"/>
      <c r="KG275" s="38"/>
      <c r="KH275" s="38"/>
      <c r="KI275" s="38"/>
      <c r="KJ275" s="38"/>
      <c r="KK275" s="38"/>
      <c r="KL275" s="38"/>
      <c r="KM275" s="38"/>
      <c r="KN275" s="38"/>
      <c r="KO275" s="38"/>
      <c r="KP275" s="38"/>
      <c r="KQ275" s="38"/>
      <c r="KR275" s="38"/>
      <c r="KS275" s="38"/>
      <c r="KT275" s="38"/>
      <c r="KU275" s="38"/>
      <c r="KV275" s="38"/>
      <c r="KW275" s="38"/>
      <c r="KX275" s="38"/>
      <c r="KY275" s="38"/>
      <c r="KZ275" s="38"/>
      <c r="LA275" s="38"/>
      <c r="LB275" s="38"/>
      <c r="LC275" s="38"/>
      <c r="LD275" s="38"/>
      <c r="LE275" s="38"/>
      <c r="LF275" s="38"/>
      <c r="LG275" s="38"/>
      <c r="LH275" s="38"/>
      <c r="LI275" s="38"/>
      <c r="LJ275" s="38"/>
      <c r="LK275" s="38"/>
      <c r="LL275" s="38"/>
      <c r="LM275" s="38"/>
      <c r="LN275" s="38"/>
      <c r="LO275" s="38"/>
      <c r="LP275" s="38"/>
      <c r="LQ275" s="38"/>
      <c r="LR275" s="38"/>
      <c r="LS275" s="38"/>
      <c r="LT275" s="38"/>
      <c r="LU275" s="38"/>
      <c r="LV275" s="38"/>
      <c r="LW275" s="38"/>
      <c r="LX275" s="38"/>
      <c r="LY275" s="38"/>
      <c r="LZ275" s="38"/>
      <c r="MA275" s="38"/>
      <c r="MB275" s="38"/>
      <c r="MC275" s="38"/>
      <c r="MD275" s="38"/>
      <c r="ME275" s="38"/>
      <c r="MF275" s="38"/>
      <c r="MG275" s="38"/>
      <c r="MH275" s="38"/>
      <c r="MI275" s="38"/>
      <c r="MJ275" s="38"/>
      <c r="MK275" s="38"/>
      <c r="ML275" s="38"/>
      <c r="MM275" s="38"/>
      <c r="MN275" s="38"/>
      <c r="MO275" s="38"/>
      <c r="MP275" s="38"/>
      <c r="MQ275" s="38"/>
      <c r="MR275" s="38"/>
      <c r="MS275" s="38"/>
      <c r="MT275" s="38"/>
      <c r="MU275" s="38"/>
      <c r="MV275" s="38"/>
      <c r="MW275" s="38"/>
      <c r="MX275" s="38"/>
      <c r="MY275" s="38"/>
      <c r="MZ275" s="38"/>
      <c r="NA275" s="38"/>
      <c r="NB275" s="38"/>
      <c r="NC275" s="38"/>
      <c r="ND275" s="38"/>
      <c r="NE275" s="38"/>
      <c r="NF275" s="38"/>
      <c r="NG275" s="38"/>
      <c r="NH275" s="38"/>
      <c r="NI275" s="38"/>
      <c r="NJ275" s="38"/>
      <c r="NK275" s="38"/>
      <c r="NL275" s="38"/>
      <c r="NM275" s="38"/>
      <c r="NN275" s="38"/>
      <c r="NO275" s="38"/>
      <c r="NP275" s="38"/>
      <c r="NQ275" s="38"/>
      <c r="NR275" s="38"/>
      <c r="NS275" s="38"/>
      <c r="NT275" s="38"/>
      <c r="NU275" s="38"/>
      <c r="NV275" s="38"/>
      <c r="NW275" s="38"/>
      <c r="NX275" s="38"/>
      <c r="NY275" s="38"/>
      <c r="NZ275" s="38"/>
      <c r="OA275" s="38"/>
      <c r="OB275" s="38"/>
      <c r="OC275" s="38"/>
      <c r="OD275" s="38"/>
      <c r="OE275" s="38"/>
      <c r="OF275" s="38"/>
      <c r="OG275" s="38"/>
      <c r="OH275" s="38"/>
      <c r="OI275" s="38"/>
      <c r="OJ275" s="38"/>
      <c r="OK275" s="38"/>
      <c r="OL275" s="38"/>
      <c r="OM275" s="38"/>
      <c r="ON275" s="38"/>
      <c r="OO275" s="38"/>
      <c r="OP275" s="38"/>
      <c r="OQ275" s="38"/>
      <c r="OR275" s="38"/>
      <c r="OS275" s="38"/>
      <c r="OT275" s="38"/>
      <c r="OU275" s="38"/>
      <c r="OV275" s="38"/>
      <c r="OW275" s="38"/>
      <c r="OX275" s="38"/>
      <c r="OY275" s="38"/>
      <c r="OZ275" s="38"/>
      <c r="PA275" s="38"/>
      <c r="PB275" s="38"/>
      <c r="PC275" s="38"/>
      <c r="PD275" s="38"/>
      <c r="PE275" s="38"/>
      <c r="PF275" s="38"/>
      <c r="PG275" s="38"/>
      <c r="PH275" s="38"/>
      <c r="PI275" s="38"/>
      <c r="PJ275" s="38"/>
      <c r="PK275" s="38"/>
      <c r="PL275" s="38"/>
      <c r="PM275" s="38"/>
      <c r="PN275" s="38"/>
      <c r="PO275" s="38"/>
      <c r="PP275" s="38"/>
      <c r="PQ275" s="38"/>
      <c r="PR275" s="38"/>
      <c r="PS275" s="38"/>
      <c r="PT275" s="38"/>
      <c r="PU275" s="38"/>
      <c r="PV275" s="38"/>
      <c r="PW275" s="38"/>
      <c r="PX275" s="38"/>
      <c r="PY275" s="38"/>
      <c r="PZ275" s="38"/>
      <c r="QA275" s="38"/>
      <c r="QB275" s="38"/>
      <c r="QC275" s="38"/>
      <c r="QD275" s="38"/>
      <c r="QE275" s="38"/>
      <c r="QF275" s="38"/>
      <c r="QG275" s="38"/>
      <c r="QH275" s="38"/>
      <c r="QI275" s="38"/>
      <c r="QJ275" s="38"/>
      <c r="QK275" s="38"/>
      <c r="QL275" s="38"/>
      <c r="QM275" s="38"/>
      <c r="QN275" s="38"/>
      <c r="QO275" s="38"/>
      <c r="QP275" s="38"/>
      <c r="QQ275" s="38"/>
      <c r="QR275" s="38"/>
      <c r="QS275" s="38"/>
      <c r="QT275" s="38"/>
      <c r="QU275" s="38"/>
      <c r="QV275" s="38"/>
      <c r="QW275" s="38"/>
      <c r="QX275" s="38"/>
      <c r="QY275" s="38"/>
      <c r="QZ275" s="38"/>
      <c r="RA275" s="38"/>
      <c r="RB275" s="38"/>
      <c r="RC275" s="38"/>
      <c r="RD275" s="38"/>
      <c r="RE275" s="38"/>
      <c r="RF275" s="38"/>
      <c r="RG275" s="38"/>
      <c r="RH275" s="38"/>
      <c r="RI275" s="38"/>
      <c r="RJ275" s="38"/>
      <c r="RK275" s="38"/>
      <c r="RL275" s="38"/>
      <c r="RM275" s="38"/>
      <c r="RN275" s="38"/>
      <c r="RO275" s="38"/>
      <c r="RP275" s="38"/>
      <c r="RQ275" s="38"/>
      <c r="RR275" s="38"/>
      <c r="RS275" s="38"/>
      <c r="RT275" s="38"/>
      <c r="RU275" s="38"/>
      <c r="RV275" s="38"/>
      <c r="RW275" s="38"/>
      <c r="RX275" s="38"/>
      <c r="RY275" s="38"/>
      <c r="RZ275" s="38"/>
      <c r="SA275" s="38"/>
      <c r="SB275" s="38"/>
      <c r="SC275" s="38"/>
      <c r="SD275" s="38"/>
      <c r="SE275" s="38"/>
      <c r="SF275" s="38"/>
      <c r="SG275" s="38"/>
      <c r="SH275" s="38"/>
      <c r="SI275" s="38"/>
      <c r="SJ275" s="38"/>
      <c r="SK275" s="38"/>
      <c r="SL275" s="38"/>
      <c r="SM275" s="38"/>
      <c r="SN275" s="38"/>
      <c r="SO275" s="38"/>
      <c r="SP275" s="38"/>
      <c r="SQ275" s="38"/>
      <c r="SR275" s="38"/>
      <c r="SS275" s="38"/>
      <c r="ST275" s="38"/>
      <c r="SU275" s="38"/>
      <c r="SV275" s="38"/>
      <c r="SW275" s="38"/>
      <c r="SX275" s="38"/>
      <c r="SY275" s="38"/>
      <c r="SZ275" s="38"/>
      <c r="TA275" s="38"/>
      <c r="TB275" s="38"/>
      <c r="TC275" s="38"/>
      <c r="TD275" s="38"/>
      <c r="TE275" s="38"/>
      <c r="TF275" s="38"/>
      <c r="TG275" s="38"/>
      <c r="TH275" s="38"/>
      <c r="TI275" s="38"/>
    </row>
    <row r="276" spans="1:529" s="31" customFormat="1" ht="17.25" customHeight="1" x14ac:dyDescent="0.2">
      <c r="A276" s="126"/>
      <c r="B276" s="127"/>
      <c r="C276" s="128"/>
      <c r="D276" s="129"/>
      <c r="E276" s="130">
        <f>E270-'дод 4'!D204</f>
        <v>0</v>
      </c>
      <c r="F276" s="130">
        <f>F270-'дод 4'!E204</f>
        <v>0</v>
      </c>
      <c r="G276" s="130">
        <f>G270-'дод 4'!F204</f>
        <v>0</v>
      </c>
      <c r="H276" s="130">
        <f>H270-'дод 4'!G204</f>
        <v>0</v>
      </c>
      <c r="I276" s="130">
        <f>I270-'дод 4'!H204</f>
        <v>0</v>
      </c>
      <c r="J276" s="130">
        <f>J270-'дод 4'!I204</f>
        <v>0</v>
      </c>
      <c r="K276" s="130">
        <f>K270-'дод 4'!J204</f>
        <v>0</v>
      </c>
      <c r="L276" s="130">
        <f>L270-'дод 4'!K204</f>
        <v>0</v>
      </c>
      <c r="M276" s="130">
        <f>M270-'дод 4'!L204</f>
        <v>0</v>
      </c>
      <c r="N276" s="130">
        <f>N270-'дод 4'!M204</f>
        <v>0</v>
      </c>
      <c r="O276" s="130">
        <f>O270-'дод 4'!N204</f>
        <v>0</v>
      </c>
      <c r="P276" s="130">
        <f>P270-'дод 4'!O204</f>
        <v>0</v>
      </c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  <c r="IW276" s="38"/>
      <c r="IX276" s="38"/>
      <c r="IY276" s="38"/>
      <c r="IZ276" s="38"/>
      <c r="JA276" s="38"/>
      <c r="JB276" s="38"/>
      <c r="JC276" s="38"/>
      <c r="JD276" s="38"/>
      <c r="JE276" s="38"/>
      <c r="JF276" s="38"/>
      <c r="JG276" s="38"/>
      <c r="JH276" s="38"/>
      <c r="JI276" s="38"/>
      <c r="JJ276" s="38"/>
      <c r="JK276" s="38"/>
      <c r="JL276" s="38"/>
      <c r="JM276" s="38"/>
      <c r="JN276" s="38"/>
      <c r="JO276" s="38"/>
      <c r="JP276" s="38"/>
      <c r="JQ276" s="38"/>
      <c r="JR276" s="38"/>
      <c r="JS276" s="38"/>
      <c r="JT276" s="38"/>
      <c r="JU276" s="38"/>
      <c r="JV276" s="38"/>
      <c r="JW276" s="38"/>
      <c r="JX276" s="38"/>
      <c r="JY276" s="38"/>
      <c r="JZ276" s="38"/>
      <c r="KA276" s="38"/>
      <c r="KB276" s="38"/>
      <c r="KC276" s="38"/>
      <c r="KD276" s="38"/>
      <c r="KE276" s="38"/>
      <c r="KF276" s="38"/>
      <c r="KG276" s="38"/>
      <c r="KH276" s="38"/>
      <c r="KI276" s="38"/>
      <c r="KJ276" s="38"/>
      <c r="KK276" s="38"/>
      <c r="KL276" s="38"/>
      <c r="KM276" s="38"/>
      <c r="KN276" s="38"/>
      <c r="KO276" s="38"/>
      <c r="KP276" s="38"/>
      <c r="KQ276" s="38"/>
      <c r="KR276" s="38"/>
      <c r="KS276" s="38"/>
      <c r="KT276" s="38"/>
      <c r="KU276" s="38"/>
      <c r="KV276" s="38"/>
      <c r="KW276" s="38"/>
      <c r="KX276" s="38"/>
      <c r="KY276" s="38"/>
      <c r="KZ276" s="38"/>
      <c r="LA276" s="38"/>
      <c r="LB276" s="38"/>
      <c r="LC276" s="38"/>
      <c r="LD276" s="38"/>
      <c r="LE276" s="38"/>
      <c r="LF276" s="38"/>
      <c r="LG276" s="38"/>
      <c r="LH276" s="38"/>
      <c r="LI276" s="38"/>
      <c r="LJ276" s="38"/>
      <c r="LK276" s="38"/>
      <c r="LL276" s="38"/>
      <c r="LM276" s="38"/>
      <c r="LN276" s="38"/>
      <c r="LO276" s="38"/>
      <c r="LP276" s="38"/>
      <c r="LQ276" s="38"/>
      <c r="LR276" s="38"/>
      <c r="LS276" s="38"/>
      <c r="LT276" s="38"/>
      <c r="LU276" s="38"/>
      <c r="LV276" s="38"/>
      <c r="LW276" s="38"/>
      <c r="LX276" s="38"/>
      <c r="LY276" s="38"/>
      <c r="LZ276" s="38"/>
      <c r="MA276" s="38"/>
      <c r="MB276" s="38"/>
      <c r="MC276" s="38"/>
      <c r="MD276" s="38"/>
      <c r="ME276" s="38"/>
      <c r="MF276" s="38"/>
      <c r="MG276" s="38"/>
      <c r="MH276" s="38"/>
      <c r="MI276" s="38"/>
      <c r="MJ276" s="38"/>
      <c r="MK276" s="38"/>
      <c r="ML276" s="38"/>
      <c r="MM276" s="38"/>
      <c r="MN276" s="38"/>
      <c r="MO276" s="38"/>
      <c r="MP276" s="38"/>
      <c r="MQ276" s="38"/>
      <c r="MR276" s="38"/>
      <c r="MS276" s="38"/>
      <c r="MT276" s="38"/>
      <c r="MU276" s="38"/>
      <c r="MV276" s="38"/>
      <c r="MW276" s="38"/>
      <c r="MX276" s="38"/>
      <c r="MY276" s="38"/>
      <c r="MZ276" s="38"/>
      <c r="NA276" s="38"/>
      <c r="NB276" s="38"/>
      <c r="NC276" s="38"/>
      <c r="ND276" s="38"/>
      <c r="NE276" s="38"/>
      <c r="NF276" s="38"/>
      <c r="NG276" s="38"/>
      <c r="NH276" s="38"/>
      <c r="NI276" s="38"/>
      <c r="NJ276" s="38"/>
      <c r="NK276" s="38"/>
      <c r="NL276" s="38"/>
      <c r="NM276" s="38"/>
      <c r="NN276" s="38"/>
      <c r="NO276" s="38"/>
      <c r="NP276" s="38"/>
      <c r="NQ276" s="38"/>
      <c r="NR276" s="38"/>
      <c r="NS276" s="38"/>
      <c r="NT276" s="38"/>
      <c r="NU276" s="38"/>
      <c r="NV276" s="38"/>
      <c r="NW276" s="38"/>
      <c r="NX276" s="38"/>
      <c r="NY276" s="38"/>
      <c r="NZ276" s="38"/>
      <c r="OA276" s="38"/>
      <c r="OB276" s="38"/>
      <c r="OC276" s="38"/>
      <c r="OD276" s="38"/>
      <c r="OE276" s="38"/>
      <c r="OF276" s="38"/>
      <c r="OG276" s="38"/>
      <c r="OH276" s="38"/>
      <c r="OI276" s="38"/>
      <c r="OJ276" s="38"/>
      <c r="OK276" s="38"/>
      <c r="OL276" s="38"/>
      <c r="OM276" s="38"/>
      <c r="ON276" s="38"/>
      <c r="OO276" s="38"/>
      <c r="OP276" s="38"/>
      <c r="OQ276" s="38"/>
      <c r="OR276" s="38"/>
      <c r="OS276" s="38"/>
      <c r="OT276" s="38"/>
      <c r="OU276" s="38"/>
      <c r="OV276" s="38"/>
      <c r="OW276" s="38"/>
      <c r="OX276" s="38"/>
      <c r="OY276" s="38"/>
      <c r="OZ276" s="38"/>
      <c r="PA276" s="38"/>
      <c r="PB276" s="38"/>
      <c r="PC276" s="38"/>
      <c r="PD276" s="38"/>
      <c r="PE276" s="38"/>
      <c r="PF276" s="38"/>
      <c r="PG276" s="38"/>
      <c r="PH276" s="38"/>
      <c r="PI276" s="38"/>
      <c r="PJ276" s="38"/>
      <c r="PK276" s="38"/>
      <c r="PL276" s="38"/>
      <c r="PM276" s="38"/>
      <c r="PN276" s="38"/>
      <c r="PO276" s="38"/>
      <c r="PP276" s="38"/>
      <c r="PQ276" s="38"/>
      <c r="PR276" s="38"/>
      <c r="PS276" s="38"/>
      <c r="PT276" s="38"/>
      <c r="PU276" s="38"/>
      <c r="PV276" s="38"/>
      <c r="PW276" s="38"/>
      <c r="PX276" s="38"/>
      <c r="PY276" s="38"/>
      <c r="PZ276" s="38"/>
      <c r="QA276" s="38"/>
      <c r="QB276" s="38"/>
      <c r="QC276" s="38"/>
      <c r="QD276" s="38"/>
      <c r="QE276" s="38"/>
      <c r="QF276" s="38"/>
      <c r="QG276" s="38"/>
      <c r="QH276" s="38"/>
      <c r="QI276" s="38"/>
      <c r="QJ276" s="38"/>
      <c r="QK276" s="38"/>
      <c r="QL276" s="38"/>
      <c r="QM276" s="38"/>
      <c r="QN276" s="38"/>
      <c r="QO276" s="38"/>
      <c r="QP276" s="38"/>
      <c r="QQ276" s="38"/>
      <c r="QR276" s="38"/>
      <c r="QS276" s="38"/>
      <c r="QT276" s="38"/>
      <c r="QU276" s="38"/>
      <c r="QV276" s="38"/>
      <c r="QW276" s="38"/>
      <c r="QX276" s="38"/>
      <c r="QY276" s="38"/>
      <c r="QZ276" s="38"/>
      <c r="RA276" s="38"/>
      <c r="RB276" s="38"/>
      <c r="RC276" s="38"/>
      <c r="RD276" s="38"/>
      <c r="RE276" s="38"/>
      <c r="RF276" s="38"/>
      <c r="RG276" s="38"/>
      <c r="RH276" s="38"/>
      <c r="RI276" s="38"/>
      <c r="RJ276" s="38"/>
      <c r="RK276" s="38"/>
      <c r="RL276" s="38"/>
      <c r="RM276" s="38"/>
      <c r="RN276" s="38"/>
      <c r="RO276" s="38"/>
      <c r="RP276" s="38"/>
      <c r="RQ276" s="38"/>
      <c r="RR276" s="38"/>
      <c r="RS276" s="38"/>
      <c r="RT276" s="38"/>
      <c r="RU276" s="38"/>
      <c r="RV276" s="38"/>
      <c r="RW276" s="38"/>
      <c r="RX276" s="38"/>
      <c r="RY276" s="38"/>
      <c r="RZ276" s="38"/>
      <c r="SA276" s="38"/>
      <c r="SB276" s="38"/>
      <c r="SC276" s="38"/>
      <c r="SD276" s="38"/>
      <c r="SE276" s="38"/>
      <c r="SF276" s="38"/>
      <c r="SG276" s="38"/>
      <c r="SH276" s="38"/>
      <c r="SI276" s="38"/>
      <c r="SJ276" s="38"/>
      <c r="SK276" s="38"/>
      <c r="SL276" s="38"/>
      <c r="SM276" s="38"/>
      <c r="SN276" s="38"/>
      <c r="SO276" s="38"/>
      <c r="SP276" s="38"/>
      <c r="SQ276" s="38"/>
      <c r="SR276" s="38"/>
      <c r="SS276" s="38"/>
      <c r="ST276" s="38"/>
      <c r="SU276" s="38"/>
      <c r="SV276" s="38"/>
      <c r="SW276" s="38"/>
      <c r="SX276" s="38"/>
      <c r="SY276" s="38"/>
      <c r="SZ276" s="38"/>
      <c r="TA276" s="38"/>
      <c r="TB276" s="38"/>
      <c r="TC276" s="38"/>
      <c r="TD276" s="38"/>
      <c r="TE276" s="38"/>
      <c r="TF276" s="38"/>
      <c r="TG276" s="38"/>
      <c r="TH276" s="38"/>
      <c r="TI276" s="38"/>
    </row>
    <row r="277" spans="1:529" s="31" customFormat="1" ht="14.25" x14ac:dyDescent="0.2">
      <c r="A277" s="126"/>
      <c r="B277" s="127"/>
      <c r="C277" s="128"/>
      <c r="D277" s="129"/>
      <c r="E277" s="130">
        <f>E271-'дод 4'!D205</f>
        <v>0</v>
      </c>
      <c r="F277" s="130">
        <f>F271-'дод 4'!E205</f>
        <v>0</v>
      </c>
      <c r="G277" s="130">
        <f>G271-'дод 4'!F205</f>
        <v>0</v>
      </c>
      <c r="H277" s="130">
        <f>H271-'дод 4'!G205</f>
        <v>0</v>
      </c>
      <c r="I277" s="130">
        <f>I271-'дод 4'!H205</f>
        <v>0</v>
      </c>
      <c r="J277" s="130">
        <f>J271-'дод 4'!I205</f>
        <v>0</v>
      </c>
      <c r="K277" s="130">
        <f>K271-'дод 4'!J205</f>
        <v>0</v>
      </c>
      <c r="L277" s="130">
        <f>L271-'дод 4'!K205</f>
        <v>0</v>
      </c>
      <c r="M277" s="130">
        <f>M271-'дод 4'!L205</f>
        <v>0</v>
      </c>
      <c r="N277" s="130">
        <f>N271-'дод 4'!M205</f>
        <v>0</v>
      </c>
      <c r="O277" s="130">
        <f>O271-'дод 4'!N205</f>
        <v>0</v>
      </c>
      <c r="P277" s="130">
        <f>P271-'дод 4'!O205</f>
        <v>0</v>
      </c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  <c r="IW277" s="38"/>
      <c r="IX277" s="38"/>
      <c r="IY277" s="38"/>
      <c r="IZ277" s="38"/>
      <c r="JA277" s="38"/>
      <c r="JB277" s="38"/>
      <c r="JC277" s="38"/>
      <c r="JD277" s="38"/>
      <c r="JE277" s="38"/>
      <c r="JF277" s="38"/>
      <c r="JG277" s="38"/>
      <c r="JH277" s="38"/>
      <c r="JI277" s="38"/>
      <c r="JJ277" s="38"/>
      <c r="JK277" s="38"/>
      <c r="JL277" s="38"/>
      <c r="JM277" s="38"/>
      <c r="JN277" s="38"/>
      <c r="JO277" s="38"/>
      <c r="JP277" s="38"/>
      <c r="JQ277" s="38"/>
      <c r="JR277" s="38"/>
      <c r="JS277" s="38"/>
      <c r="JT277" s="38"/>
      <c r="JU277" s="38"/>
      <c r="JV277" s="38"/>
      <c r="JW277" s="38"/>
      <c r="JX277" s="38"/>
      <c r="JY277" s="38"/>
      <c r="JZ277" s="38"/>
      <c r="KA277" s="38"/>
      <c r="KB277" s="38"/>
      <c r="KC277" s="38"/>
      <c r="KD277" s="38"/>
      <c r="KE277" s="38"/>
      <c r="KF277" s="38"/>
      <c r="KG277" s="38"/>
      <c r="KH277" s="38"/>
      <c r="KI277" s="38"/>
      <c r="KJ277" s="38"/>
      <c r="KK277" s="38"/>
      <c r="KL277" s="38"/>
      <c r="KM277" s="38"/>
      <c r="KN277" s="38"/>
      <c r="KO277" s="38"/>
      <c r="KP277" s="38"/>
      <c r="KQ277" s="38"/>
      <c r="KR277" s="38"/>
      <c r="KS277" s="38"/>
      <c r="KT277" s="38"/>
      <c r="KU277" s="38"/>
      <c r="KV277" s="38"/>
      <c r="KW277" s="38"/>
      <c r="KX277" s="38"/>
      <c r="KY277" s="38"/>
      <c r="KZ277" s="38"/>
      <c r="LA277" s="38"/>
      <c r="LB277" s="38"/>
      <c r="LC277" s="38"/>
      <c r="LD277" s="38"/>
      <c r="LE277" s="38"/>
      <c r="LF277" s="38"/>
      <c r="LG277" s="38"/>
      <c r="LH277" s="38"/>
      <c r="LI277" s="38"/>
      <c r="LJ277" s="38"/>
      <c r="LK277" s="38"/>
      <c r="LL277" s="38"/>
      <c r="LM277" s="38"/>
      <c r="LN277" s="38"/>
      <c r="LO277" s="38"/>
      <c r="LP277" s="38"/>
      <c r="LQ277" s="38"/>
      <c r="LR277" s="38"/>
      <c r="LS277" s="38"/>
      <c r="LT277" s="38"/>
      <c r="LU277" s="38"/>
      <c r="LV277" s="38"/>
      <c r="LW277" s="38"/>
      <c r="LX277" s="38"/>
      <c r="LY277" s="38"/>
      <c r="LZ277" s="38"/>
      <c r="MA277" s="38"/>
      <c r="MB277" s="38"/>
      <c r="MC277" s="38"/>
      <c r="MD277" s="38"/>
      <c r="ME277" s="38"/>
      <c r="MF277" s="38"/>
      <c r="MG277" s="38"/>
      <c r="MH277" s="38"/>
      <c r="MI277" s="38"/>
      <c r="MJ277" s="38"/>
      <c r="MK277" s="38"/>
      <c r="ML277" s="38"/>
      <c r="MM277" s="38"/>
      <c r="MN277" s="38"/>
      <c r="MO277" s="38"/>
      <c r="MP277" s="38"/>
      <c r="MQ277" s="38"/>
      <c r="MR277" s="38"/>
      <c r="MS277" s="38"/>
      <c r="MT277" s="38"/>
      <c r="MU277" s="38"/>
      <c r="MV277" s="38"/>
      <c r="MW277" s="38"/>
      <c r="MX277" s="38"/>
      <c r="MY277" s="38"/>
      <c r="MZ277" s="38"/>
      <c r="NA277" s="38"/>
      <c r="NB277" s="38"/>
      <c r="NC277" s="38"/>
      <c r="ND277" s="38"/>
      <c r="NE277" s="38"/>
      <c r="NF277" s="38"/>
      <c r="NG277" s="38"/>
      <c r="NH277" s="38"/>
      <c r="NI277" s="38"/>
      <c r="NJ277" s="38"/>
      <c r="NK277" s="38"/>
      <c r="NL277" s="38"/>
      <c r="NM277" s="38"/>
      <c r="NN277" s="38"/>
      <c r="NO277" s="38"/>
      <c r="NP277" s="38"/>
      <c r="NQ277" s="38"/>
      <c r="NR277" s="38"/>
      <c r="NS277" s="38"/>
      <c r="NT277" s="38"/>
      <c r="NU277" s="38"/>
      <c r="NV277" s="38"/>
      <c r="NW277" s="38"/>
      <c r="NX277" s="38"/>
      <c r="NY277" s="38"/>
      <c r="NZ277" s="38"/>
      <c r="OA277" s="38"/>
      <c r="OB277" s="38"/>
      <c r="OC277" s="38"/>
      <c r="OD277" s="38"/>
      <c r="OE277" s="38"/>
      <c r="OF277" s="38"/>
      <c r="OG277" s="38"/>
      <c r="OH277" s="38"/>
      <c r="OI277" s="38"/>
      <c r="OJ277" s="38"/>
      <c r="OK277" s="38"/>
      <c r="OL277" s="38"/>
      <c r="OM277" s="38"/>
      <c r="ON277" s="38"/>
      <c r="OO277" s="38"/>
      <c r="OP277" s="38"/>
      <c r="OQ277" s="38"/>
      <c r="OR277" s="38"/>
      <c r="OS277" s="38"/>
      <c r="OT277" s="38"/>
      <c r="OU277" s="38"/>
      <c r="OV277" s="38"/>
      <c r="OW277" s="38"/>
      <c r="OX277" s="38"/>
      <c r="OY277" s="38"/>
      <c r="OZ277" s="38"/>
      <c r="PA277" s="38"/>
      <c r="PB277" s="38"/>
      <c r="PC277" s="38"/>
      <c r="PD277" s="38"/>
      <c r="PE277" s="38"/>
      <c r="PF277" s="38"/>
      <c r="PG277" s="38"/>
      <c r="PH277" s="38"/>
      <c r="PI277" s="38"/>
      <c r="PJ277" s="38"/>
      <c r="PK277" s="38"/>
      <c r="PL277" s="38"/>
      <c r="PM277" s="38"/>
      <c r="PN277" s="38"/>
      <c r="PO277" s="38"/>
      <c r="PP277" s="38"/>
      <c r="PQ277" s="38"/>
      <c r="PR277" s="38"/>
      <c r="PS277" s="38"/>
      <c r="PT277" s="38"/>
      <c r="PU277" s="38"/>
      <c r="PV277" s="38"/>
      <c r="PW277" s="38"/>
      <c r="PX277" s="38"/>
      <c r="PY277" s="38"/>
      <c r="PZ277" s="38"/>
      <c r="QA277" s="38"/>
      <c r="QB277" s="38"/>
      <c r="QC277" s="38"/>
      <c r="QD277" s="38"/>
      <c r="QE277" s="38"/>
      <c r="QF277" s="38"/>
      <c r="QG277" s="38"/>
      <c r="QH277" s="38"/>
      <c r="QI277" s="38"/>
      <c r="QJ277" s="38"/>
      <c r="QK277" s="38"/>
      <c r="QL277" s="38"/>
      <c r="QM277" s="38"/>
      <c r="QN277" s="38"/>
      <c r="QO277" s="38"/>
      <c r="QP277" s="38"/>
      <c r="QQ277" s="38"/>
      <c r="QR277" s="38"/>
      <c r="QS277" s="38"/>
      <c r="QT277" s="38"/>
      <c r="QU277" s="38"/>
      <c r="QV277" s="38"/>
      <c r="QW277" s="38"/>
      <c r="QX277" s="38"/>
      <c r="QY277" s="38"/>
      <c r="QZ277" s="38"/>
      <c r="RA277" s="38"/>
      <c r="RB277" s="38"/>
      <c r="RC277" s="38"/>
      <c r="RD277" s="38"/>
      <c r="RE277" s="38"/>
      <c r="RF277" s="38"/>
      <c r="RG277" s="38"/>
      <c r="RH277" s="38"/>
      <c r="RI277" s="38"/>
      <c r="RJ277" s="38"/>
      <c r="RK277" s="38"/>
      <c r="RL277" s="38"/>
      <c r="RM277" s="38"/>
      <c r="RN277" s="38"/>
      <c r="RO277" s="38"/>
      <c r="RP277" s="38"/>
      <c r="RQ277" s="38"/>
      <c r="RR277" s="38"/>
      <c r="RS277" s="38"/>
      <c r="RT277" s="38"/>
      <c r="RU277" s="38"/>
      <c r="RV277" s="38"/>
      <c r="RW277" s="38"/>
      <c r="RX277" s="38"/>
      <c r="RY277" s="38"/>
      <c r="RZ277" s="38"/>
      <c r="SA277" s="38"/>
      <c r="SB277" s="38"/>
      <c r="SC277" s="38"/>
      <c r="SD277" s="38"/>
      <c r="SE277" s="38"/>
      <c r="SF277" s="38"/>
      <c r="SG277" s="38"/>
      <c r="SH277" s="38"/>
      <c r="SI277" s="38"/>
      <c r="SJ277" s="38"/>
      <c r="SK277" s="38"/>
      <c r="SL277" s="38"/>
      <c r="SM277" s="38"/>
      <c r="SN277" s="38"/>
      <c r="SO277" s="38"/>
      <c r="SP277" s="38"/>
      <c r="SQ277" s="38"/>
      <c r="SR277" s="38"/>
      <c r="SS277" s="38"/>
      <c r="ST277" s="38"/>
      <c r="SU277" s="38"/>
      <c r="SV277" s="38"/>
      <c r="SW277" s="38"/>
      <c r="SX277" s="38"/>
      <c r="SY277" s="38"/>
      <c r="SZ277" s="38"/>
      <c r="TA277" s="38"/>
      <c r="TB277" s="38"/>
      <c r="TC277" s="38"/>
      <c r="TD277" s="38"/>
      <c r="TE277" s="38"/>
      <c r="TF277" s="38"/>
      <c r="TG277" s="38"/>
      <c r="TH277" s="38"/>
      <c r="TI277" s="38"/>
    </row>
    <row r="278" spans="1:529" s="31" customFormat="1" ht="14.25" x14ac:dyDescent="0.2">
      <c r="A278" s="126"/>
      <c r="B278" s="127"/>
      <c r="C278" s="128"/>
      <c r="D278" s="129"/>
      <c r="E278" s="130">
        <f>E272-'дод 4'!D206</f>
        <v>0</v>
      </c>
      <c r="F278" s="130">
        <f>F272-'дод 4'!E206</f>
        <v>0</v>
      </c>
      <c r="G278" s="130">
        <f>G272-'дод 4'!F206</f>
        <v>0</v>
      </c>
      <c r="H278" s="130">
        <f>H272-'дод 4'!G206</f>
        <v>0</v>
      </c>
      <c r="I278" s="130">
        <f>I272-'дод 4'!H206</f>
        <v>0</v>
      </c>
      <c r="J278" s="130">
        <f>J272-'дод 4'!I206</f>
        <v>0</v>
      </c>
      <c r="K278" s="130">
        <f>K272-'дод 4'!J206</f>
        <v>0</v>
      </c>
      <c r="L278" s="130">
        <f>L272-'дод 4'!K206</f>
        <v>0</v>
      </c>
      <c r="M278" s="130">
        <f>M272-'дод 4'!L206</f>
        <v>0</v>
      </c>
      <c r="N278" s="130">
        <f>N272-'дод 4'!M206</f>
        <v>0</v>
      </c>
      <c r="O278" s="130">
        <f>O272-'дод 4'!N206</f>
        <v>0</v>
      </c>
      <c r="P278" s="130">
        <f>P272-'дод 4'!O206</f>
        <v>0</v>
      </c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  <c r="IW278" s="38"/>
      <c r="IX278" s="38"/>
      <c r="IY278" s="38"/>
      <c r="IZ278" s="38"/>
      <c r="JA278" s="38"/>
      <c r="JB278" s="38"/>
      <c r="JC278" s="38"/>
      <c r="JD278" s="38"/>
      <c r="JE278" s="38"/>
      <c r="JF278" s="38"/>
      <c r="JG278" s="38"/>
      <c r="JH278" s="38"/>
      <c r="JI278" s="38"/>
      <c r="JJ278" s="38"/>
      <c r="JK278" s="38"/>
      <c r="JL278" s="38"/>
      <c r="JM278" s="38"/>
      <c r="JN278" s="38"/>
      <c r="JO278" s="38"/>
      <c r="JP278" s="38"/>
      <c r="JQ278" s="38"/>
      <c r="JR278" s="38"/>
      <c r="JS278" s="38"/>
      <c r="JT278" s="38"/>
      <c r="JU278" s="38"/>
      <c r="JV278" s="38"/>
      <c r="JW278" s="38"/>
      <c r="JX278" s="38"/>
      <c r="JY278" s="38"/>
      <c r="JZ278" s="38"/>
      <c r="KA278" s="38"/>
      <c r="KB278" s="38"/>
      <c r="KC278" s="38"/>
      <c r="KD278" s="38"/>
      <c r="KE278" s="38"/>
      <c r="KF278" s="38"/>
      <c r="KG278" s="38"/>
      <c r="KH278" s="38"/>
      <c r="KI278" s="38"/>
      <c r="KJ278" s="38"/>
      <c r="KK278" s="38"/>
      <c r="KL278" s="38"/>
      <c r="KM278" s="38"/>
      <c r="KN278" s="38"/>
      <c r="KO278" s="38"/>
      <c r="KP278" s="38"/>
      <c r="KQ278" s="38"/>
      <c r="KR278" s="38"/>
      <c r="KS278" s="38"/>
      <c r="KT278" s="38"/>
      <c r="KU278" s="38"/>
      <c r="KV278" s="38"/>
      <c r="KW278" s="38"/>
      <c r="KX278" s="38"/>
      <c r="KY278" s="38"/>
      <c r="KZ278" s="38"/>
      <c r="LA278" s="38"/>
      <c r="LB278" s="38"/>
      <c r="LC278" s="38"/>
      <c r="LD278" s="38"/>
      <c r="LE278" s="38"/>
      <c r="LF278" s="38"/>
      <c r="LG278" s="38"/>
      <c r="LH278" s="38"/>
      <c r="LI278" s="38"/>
      <c r="LJ278" s="38"/>
      <c r="LK278" s="38"/>
      <c r="LL278" s="38"/>
      <c r="LM278" s="38"/>
      <c r="LN278" s="38"/>
      <c r="LO278" s="38"/>
      <c r="LP278" s="38"/>
      <c r="LQ278" s="38"/>
      <c r="LR278" s="38"/>
      <c r="LS278" s="38"/>
      <c r="LT278" s="38"/>
      <c r="LU278" s="38"/>
      <c r="LV278" s="38"/>
      <c r="LW278" s="38"/>
      <c r="LX278" s="38"/>
      <c r="LY278" s="38"/>
      <c r="LZ278" s="38"/>
      <c r="MA278" s="38"/>
      <c r="MB278" s="38"/>
      <c r="MC278" s="38"/>
      <c r="MD278" s="38"/>
      <c r="ME278" s="38"/>
      <c r="MF278" s="38"/>
      <c r="MG278" s="38"/>
      <c r="MH278" s="38"/>
      <c r="MI278" s="38"/>
      <c r="MJ278" s="38"/>
      <c r="MK278" s="38"/>
      <c r="ML278" s="38"/>
      <c r="MM278" s="38"/>
      <c r="MN278" s="38"/>
      <c r="MO278" s="38"/>
      <c r="MP278" s="38"/>
      <c r="MQ278" s="38"/>
      <c r="MR278" s="38"/>
      <c r="MS278" s="38"/>
      <c r="MT278" s="38"/>
      <c r="MU278" s="38"/>
      <c r="MV278" s="38"/>
      <c r="MW278" s="38"/>
      <c r="MX278" s="38"/>
      <c r="MY278" s="38"/>
      <c r="MZ278" s="38"/>
      <c r="NA278" s="38"/>
      <c r="NB278" s="38"/>
      <c r="NC278" s="38"/>
      <c r="ND278" s="38"/>
      <c r="NE278" s="38"/>
      <c r="NF278" s="38"/>
      <c r="NG278" s="38"/>
      <c r="NH278" s="38"/>
      <c r="NI278" s="38"/>
      <c r="NJ278" s="38"/>
      <c r="NK278" s="38"/>
      <c r="NL278" s="38"/>
      <c r="NM278" s="38"/>
      <c r="NN278" s="38"/>
      <c r="NO278" s="38"/>
      <c r="NP278" s="38"/>
      <c r="NQ278" s="38"/>
      <c r="NR278" s="38"/>
      <c r="NS278" s="38"/>
      <c r="NT278" s="38"/>
      <c r="NU278" s="38"/>
      <c r="NV278" s="38"/>
      <c r="NW278" s="38"/>
      <c r="NX278" s="38"/>
      <c r="NY278" s="38"/>
      <c r="NZ278" s="38"/>
      <c r="OA278" s="38"/>
      <c r="OB278" s="38"/>
      <c r="OC278" s="38"/>
      <c r="OD278" s="38"/>
      <c r="OE278" s="38"/>
      <c r="OF278" s="38"/>
      <c r="OG278" s="38"/>
      <c r="OH278" s="38"/>
      <c r="OI278" s="38"/>
      <c r="OJ278" s="38"/>
      <c r="OK278" s="38"/>
      <c r="OL278" s="38"/>
      <c r="OM278" s="38"/>
      <c r="ON278" s="38"/>
      <c r="OO278" s="38"/>
      <c r="OP278" s="38"/>
      <c r="OQ278" s="38"/>
      <c r="OR278" s="38"/>
      <c r="OS278" s="38"/>
      <c r="OT278" s="38"/>
      <c r="OU278" s="38"/>
      <c r="OV278" s="38"/>
      <c r="OW278" s="38"/>
      <c r="OX278" s="38"/>
      <c r="OY278" s="38"/>
      <c r="OZ278" s="38"/>
      <c r="PA278" s="38"/>
      <c r="PB278" s="38"/>
      <c r="PC278" s="38"/>
      <c r="PD278" s="38"/>
      <c r="PE278" s="38"/>
      <c r="PF278" s="38"/>
      <c r="PG278" s="38"/>
      <c r="PH278" s="38"/>
      <c r="PI278" s="38"/>
      <c r="PJ278" s="38"/>
      <c r="PK278" s="38"/>
      <c r="PL278" s="38"/>
      <c r="PM278" s="38"/>
      <c r="PN278" s="38"/>
      <c r="PO278" s="38"/>
      <c r="PP278" s="38"/>
      <c r="PQ278" s="38"/>
      <c r="PR278" s="38"/>
      <c r="PS278" s="38"/>
      <c r="PT278" s="38"/>
      <c r="PU278" s="38"/>
      <c r="PV278" s="38"/>
      <c r="PW278" s="38"/>
      <c r="PX278" s="38"/>
      <c r="PY278" s="38"/>
      <c r="PZ278" s="38"/>
      <c r="QA278" s="38"/>
      <c r="QB278" s="38"/>
      <c r="QC278" s="38"/>
      <c r="QD278" s="38"/>
      <c r="QE278" s="38"/>
      <c r="QF278" s="38"/>
      <c r="QG278" s="38"/>
      <c r="QH278" s="38"/>
      <c r="QI278" s="38"/>
      <c r="QJ278" s="38"/>
      <c r="QK278" s="38"/>
      <c r="QL278" s="38"/>
      <c r="QM278" s="38"/>
      <c r="QN278" s="38"/>
      <c r="QO278" s="38"/>
      <c r="QP278" s="38"/>
      <c r="QQ278" s="38"/>
      <c r="QR278" s="38"/>
      <c r="QS278" s="38"/>
      <c r="QT278" s="38"/>
      <c r="QU278" s="38"/>
      <c r="QV278" s="38"/>
      <c r="QW278" s="38"/>
      <c r="QX278" s="38"/>
      <c r="QY278" s="38"/>
      <c r="QZ278" s="38"/>
      <c r="RA278" s="38"/>
      <c r="RB278" s="38"/>
      <c r="RC278" s="38"/>
      <c r="RD278" s="38"/>
      <c r="RE278" s="38"/>
      <c r="RF278" s="38"/>
      <c r="RG278" s="38"/>
      <c r="RH278" s="38"/>
      <c r="RI278" s="38"/>
      <c r="RJ278" s="38"/>
      <c r="RK278" s="38"/>
      <c r="RL278" s="38"/>
      <c r="RM278" s="38"/>
      <c r="RN278" s="38"/>
      <c r="RO278" s="38"/>
      <c r="RP278" s="38"/>
      <c r="RQ278" s="38"/>
      <c r="RR278" s="38"/>
      <c r="RS278" s="38"/>
      <c r="RT278" s="38"/>
      <c r="RU278" s="38"/>
      <c r="RV278" s="38"/>
      <c r="RW278" s="38"/>
      <c r="RX278" s="38"/>
      <c r="RY278" s="38"/>
      <c r="RZ278" s="38"/>
      <c r="SA278" s="38"/>
      <c r="SB278" s="38"/>
      <c r="SC278" s="38"/>
      <c r="SD278" s="38"/>
      <c r="SE278" s="38"/>
      <c r="SF278" s="38"/>
      <c r="SG278" s="38"/>
      <c r="SH278" s="38"/>
      <c r="SI278" s="38"/>
      <c r="SJ278" s="38"/>
      <c r="SK278" s="38"/>
      <c r="SL278" s="38"/>
      <c r="SM278" s="38"/>
      <c r="SN278" s="38"/>
      <c r="SO278" s="38"/>
      <c r="SP278" s="38"/>
      <c r="SQ278" s="38"/>
      <c r="SR278" s="38"/>
      <c r="SS278" s="38"/>
      <c r="ST278" s="38"/>
      <c r="SU278" s="38"/>
      <c r="SV278" s="38"/>
      <c r="SW278" s="38"/>
      <c r="SX278" s="38"/>
      <c r="SY278" s="38"/>
      <c r="SZ278" s="38"/>
      <c r="TA278" s="38"/>
      <c r="TB278" s="38"/>
      <c r="TC278" s="38"/>
      <c r="TD278" s="38"/>
      <c r="TE278" s="38"/>
      <c r="TF278" s="38"/>
      <c r="TG278" s="38"/>
      <c r="TH278" s="38"/>
      <c r="TI278" s="38"/>
    </row>
    <row r="279" spans="1:529" s="31" customFormat="1" ht="14.25" x14ac:dyDescent="0.2">
      <c r="A279" s="126"/>
      <c r="B279" s="127"/>
      <c r="C279" s="128"/>
      <c r="D279" s="129"/>
      <c r="E279" s="130">
        <f>E273-'дод 4'!D207</f>
        <v>0</v>
      </c>
      <c r="F279" s="130">
        <f>F273-'дод 4'!E207</f>
        <v>0</v>
      </c>
      <c r="G279" s="130">
        <f>G273-'дод 4'!F207</f>
        <v>0</v>
      </c>
      <c r="H279" s="130">
        <f>H273-'дод 4'!G207</f>
        <v>0</v>
      </c>
      <c r="I279" s="130">
        <f>I273-'дод 4'!H207</f>
        <v>0</v>
      </c>
      <c r="J279" s="130">
        <f>J273-'дод 4'!I207</f>
        <v>0</v>
      </c>
      <c r="K279" s="130">
        <f>K273-'дод 4'!J207</f>
        <v>0</v>
      </c>
      <c r="L279" s="130">
        <f>L273-'дод 4'!K207</f>
        <v>0</v>
      </c>
      <c r="M279" s="130">
        <f>M273-'дод 4'!L207</f>
        <v>0</v>
      </c>
      <c r="N279" s="130">
        <f>N273-'дод 4'!M207</f>
        <v>0</v>
      </c>
      <c r="O279" s="130">
        <f>O273-'дод 4'!N207</f>
        <v>0</v>
      </c>
      <c r="P279" s="130">
        <f>P273-'дод 4'!O207</f>
        <v>0</v>
      </c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  <c r="IS279" s="38"/>
      <c r="IT279" s="38"/>
      <c r="IU279" s="38"/>
      <c r="IV279" s="38"/>
      <c r="IW279" s="38"/>
      <c r="IX279" s="38"/>
      <c r="IY279" s="38"/>
      <c r="IZ279" s="38"/>
      <c r="JA279" s="38"/>
      <c r="JB279" s="38"/>
      <c r="JC279" s="38"/>
      <c r="JD279" s="38"/>
      <c r="JE279" s="38"/>
      <c r="JF279" s="38"/>
      <c r="JG279" s="38"/>
      <c r="JH279" s="38"/>
      <c r="JI279" s="38"/>
      <c r="JJ279" s="38"/>
      <c r="JK279" s="38"/>
      <c r="JL279" s="38"/>
      <c r="JM279" s="38"/>
      <c r="JN279" s="38"/>
      <c r="JO279" s="38"/>
      <c r="JP279" s="38"/>
      <c r="JQ279" s="38"/>
      <c r="JR279" s="38"/>
      <c r="JS279" s="38"/>
      <c r="JT279" s="38"/>
      <c r="JU279" s="38"/>
      <c r="JV279" s="38"/>
      <c r="JW279" s="38"/>
      <c r="JX279" s="38"/>
      <c r="JY279" s="38"/>
      <c r="JZ279" s="38"/>
      <c r="KA279" s="38"/>
      <c r="KB279" s="38"/>
      <c r="KC279" s="38"/>
      <c r="KD279" s="38"/>
      <c r="KE279" s="38"/>
      <c r="KF279" s="38"/>
      <c r="KG279" s="38"/>
      <c r="KH279" s="38"/>
      <c r="KI279" s="38"/>
      <c r="KJ279" s="38"/>
      <c r="KK279" s="38"/>
      <c r="KL279" s="38"/>
      <c r="KM279" s="38"/>
      <c r="KN279" s="38"/>
      <c r="KO279" s="38"/>
      <c r="KP279" s="38"/>
      <c r="KQ279" s="38"/>
      <c r="KR279" s="38"/>
      <c r="KS279" s="38"/>
      <c r="KT279" s="38"/>
      <c r="KU279" s="38"/>
      <c r="KV279" s="38"/>
      <c r="KW279" s="38"/>
      <c r="KX279" s="38"/>
      <c r="KY279" s="38"/>
      <c r="KZ279" s="38"/>
      <c r="LA279" s="38"/>
      <c r="LB279" s="38"/>
      <c r="LC279" s="38"/>
      <c r="LD279" s="38"/>
      <c r="LE279" s="38"/>
      <c r="LF279" s="38"/>
      <c r="LG279" s="38"/>
      <c r="LH279" s="38"/>
      <c r="LI279" s="38"/>
      <c r="LJ279" s="38"/>
      <c r="LK279" s="38"/>
      <c r="LL279" s="38"/>
      <c r="LM279" s="38"/>
      <c r="LN279" s="38"/>
      <c r="LO279" s="38"/>
      <c r="LP279" s="38"/>
      <c r="LQ279" s="38"/>
      <c r="LR279" s="38"/>
      <c r="LS279" s="38"/>
      <c r="LT279" s="38"/>
      <c r="LU279" s="38"/>
      <c r="LV279" s="38"/>
      <c r="LW279" s="38"/>
      <c r="LX279" s="38"/>
      <c r="LY279" s="38"/>
      <c r="LZ279" s="38"/>
      <c r="MA279" s="38"/>
      <c r="MB279" s="38"/>
      <c r="MC279" s="38"/>
      <c r="MD279" s="38"/>
      <c r="ME279" s="38"/>
      <c r="MF279" s="38"/>
      <c r="MG279" s="38"/>
      <c r="MH279" s="38"/>
      <c r="MI279" s="38"/>
      <c r="MJ279" s="38"/>
      <c r="MK279" s="38"/>
      <c r="ML279" s="38"/>
      <c r="MM279" s="38"/>
      <c r="MN279" s="38"/>
      <c r="MO279" s="38"/>
      <c r="MP279" s="38"/>
      <c r="MQ279" s="38"/>
      <c r="MR279" s="38"/>
      <c r="MS279" s="38"/>
      <c r="MT279" s="38"/>
      <c r="MU279" s="38"/>
      <c r="MV279" s="38"/>
      <c r="MW279" s="38"/>
      <c r="MX279" s="38"/>
      <c r="MY279" s="38"/>
      <c r="MZ279" s="38"/>
      <c r="NA279" s="38"/>
      <c r="NB279" s="38"/>
      <c r="NC279" s="38"/>
      <c r="ND279" s="38"/>
      <c r="NE279" s="38"/>
      <c r="NF279" s="38"/>
      <c r="NG279" s="38"/>
      <c r="NH279" s="38"/>
      <c r="NI279" s="38"/>
      <c r="NJ279" s="38"/>
      <c r="NK279" s="38"/>
      <c r="NL279" s="38"/>
      <c r="NM279" s="38"/>
      <c r="NN279" s="38"/>
      <c r="NO279" s="38"/>
      <c r="NP279" s="38"/>
      <c r="NQ279" s="38"/>
      <c r="NR279" s="38"/>
      <c r="NS279" s="38"/>
      <c r="NT279" s="38"/>
      <c r="NU279" s="38"/>
      <c r="NV279" s="38"/>
      <c r="NW279" s="38"/>
      <c r="NX279" s="38"/>
      <c r="NY279" s="38"/>
      <c r="NZ279" s="38"/>
      <c r="OA279" s="38"/>
      <c r="OB279" s="38"/>
      <c r="OC279" s="38"/>
      <c r="OD279" s="38"/>
      <c r="OE279" s="38"/>
      <c r="OF279" s="38"/>
      <c r="OG279" s="38"/>
      <c r="OH279" s="38"/>
      <c r="OI279" s="38"/>
      <c r="OJ279" s="38"/>
      <c r="OK279" s="38"/>
      <c r="OL279" s="38"/>
      <c r="OM279" s="38"/>
      <c r="ON279" s="38"/>
      <c r="OO279" s="38"/>
      <c r="OP279" s="38"/>
      <c r="OQ279" s="38"/>
      <c r="OR279" s="38"/>
      <c r="OS279" s="38"/>
      <c r="OT279" s="38"/>
      <c r="OU279" s="38"/>
      <c r="OV279" s="38"/>
      <c r="OW279" s="38"/>
      <c r="OX279" s="38"/>
      <c r="OY279" s="38"/>
      <c r="OZ279" s="38"/>
      <c r="PA279" s="38"/>
      <c r="PB279" s="38"/>
      <c r="PC279" s="38"/>
      <c r="PD279" s="38"/>
      <c r="PE279" s="38"/>
      <c r="PF279" s="38"/>
      <c r="PG279" s="38"/>
      <c r="PH279" s="38"/>
      <c r="PI279" s="38"/>
      <c r="PJ279" s="38"/>
      <c r="PK279" s="38"/>
      <c r="PL279" s="38"/>
      <c r="PM279" s="38"/>
      <c r="PN279" s="38"/>
      <c r="PO279" s="38"/>
      <c r="PP279" s="38"/>
      <c r="PQ279" s="38"/>
      <c r="PR279" s="38"/>
      <c r="PS279" s="38"/>
      <c r="PT279" s="38"/>
      <c r="PU279" s="38"/>
      <c r="PV279" s="38"/>
      <c r="PW279" s="38"/>
      <c r="PX279" s="38"/>
      <c r="PY279" s="38"/>
      <c r="PZ279" s="38"/>
      <c r="QA279" s="38"/>
      <c r="QB279" s="38"/>
      <c r="QC279" s="38"/>
      <c r="QD279" s="38"/>
      <c r="QE279" s="38"/>
      <c r="QF279" s="38"/>
      <c r="QG279" s="38"/>
      <c r="QH279" s="38"/>
      <c r="QI279" s="38"/>
      <c r="QJ279" s="38"/>
      <c r="QK279" s="38"/>
      <c r="QL279" s="38"/>
      <c r="QM279" s="38"/>
      <c r="QN279" s="38"/>
      <c r="QO279" s="38"/>
      <c r="QP279" s="38"/>
      <c r="QQ279" s="38"/>
      <c r="QR279" s="38"/>
      <c r="QS279" s="38"/>
      <c r="QT279" s="38"/>
      <c r="QU279" s="38"/>
      <c r="QV279" s="38"/>
      <c r="QW279" s="38"/>
      <c r="QX279" s="38"/>
      <c r="QY279" s="38"/>
      <c r="QZ279" s="38"/>
      <c r="RA279" s="38"/>
      <c r="RB279" s="38"/>
      <c r="RC279" s="38"/>
      <c r="RD279" s="38"/>
      <c r="RE279" s="38"/>
      <c r="RF279" s="38"/>
      <c r="RG279" s="38"/>
      <c r="RH279" s="38"/>
      <c r="RI279" s="38"/>
      <c r="RJ279" s="38"/>
      <c r="RK279" s="38"/>
      <c r="RL279" s="38"/>
      <c r="RM279" s="38"/>
      <c r="RN279" s="38"/>
      <c r="RO279" s="38"/>
      <c r="RP279" s="38"/>
      <c r="RQ279" s="38"/>
      <c r="RR279" s="38"/>
      <c r="RS279" s="38"/>
      <c r="RT279" s="38"/>
      <c r="RU279" s="38"/>
      <c r="RV279" s="38"/>
      <c r="RW279" s="38"/>
      <c r="RX279" s="38"/>
      <c r="RY279" s="38"/>
      <c r="RZ279" s="38"/>
      <c r="SA279" s="38"/>
      <c r="SB279" s="38"/>
      <c r="SC279" s="38"/>
      <c r="SD279" s="38"/>
      <c r="SE279" s="38"/>
      <c r="SF279" s="38"/>
      <c r="SG279" s="38"/>
      <c r="SH279" s="38"/>
      <c r="SI279" s="38"/>
      <c r="SJ279" s="38"/>
      <c r="SK279" s="38"/>
      <c r="SL279" s="38"/>
      <c r="SM279" s="38"/>
      <c r="SN279" s="38"/>
      <c r="SO279" s="38"/>
      <c r="SP279" s="38"/>
      <c r="SQ279" s="38"/>
      <c r="SR279" s="38"/>
      <c r="SS279" s="38"/>
      <c r="ST279" s="38"/>
      <c r="SU279" s="38"/>
      <c r="SV279" s="38"/>
      <c r="SW279" s="38"/>
      <c r="SX279" s="38"/>
      <c r="SY279" s="38"/>
      <c r="SZ279" s="38"/>
      <c r="TA279" s="38"/>
      <c r="TB279" s="38"/>
      <c r="TC279" s="38"/>
      <c r="TD279" s="38"/>
      <c r="TE279" s="38"/>
      <c r="TF279" s="38"/>
      <c r="TG279" s="38"/>
      <c r="TH279" s="38"/>
      <c r="TI279" s="38"/>
    </row>
    <row r="280" spans="1:529" s="31" customFormat="1" ht="14.25" x14ac:dyDescent="0.2">
      <c r="A280" s="126"/>
      <c r="B280" s="127"/>
      <c r="C280" s="128"/>
      <c r="D280" s="129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  <c r="IS280" s="38"/>
      <c r="IT280" s="38"/>
      <c r="IU280" s="38"/>
      <c r="IV280" s="38"/>
      <c r="IW280" s="38"/>
      <c r="IX280" s="38"/>
      <c r="IY280" s="38"/>
      <c r="IZ280" s="38"/>
      <c r="JA280" s="38"/>
      <c r="JB280" s="38"/>
      <c r="JC280" s="38"/>
      <c r="JD280" s="38"/>
      <c r="JE280" s="38"/>
      <c r="JF280" s="38"/>
      <c r="JG280" s="38"/>
      <c r="JH280" s="38"/>
      <c r="JI280" s="38"/>
      <c r="JJ280" s="38"/>
      <c r="JK280" s="38"/>
      <c r="JL280" s="38"/>
      <c r="JM280" s="38"/>
      <c r="JN280" s="38"/>
      <c r="JO280" s="38"/>
      <c r="JP280" s="38"/>
      <c r="JQ280" s="38"/>
      <c r="JR280" s="38"/>
      <c r="JS280" s="38"/>
      <c r="JT280" s="38"/>
      <c r="JU280" s="38"/>
      <c r="JV280" s="38"/>
      <c r="JW280" s="38"/>
      <c r="JX280" s="38"/>
      <c r="JY280" s="38"/>
      <c r="JZ280" s="38"/>
      <c r="KA280" s="38"/>
      <c r="KB280" s="38"/>
      <c r="KC280" s="38"/>
      <c r="KD280" s="38"/>
      <c r="KE280" s="38"/>
      <c r="KF280" s="38"/>
      <c r="KG280" s="38"/>
      <c r="KH280" s="38"/>
      <c r="KI280" s="38"/>
      <c r="KJ280" s="38"/>
      <c r="KK280" s="38"/>
      <c r="KL280" s="38"/>
      <c r="KM280" s="38"/>
      <c r="KN280" s="38"/>
      <c r="KO280" s="38"/>
      <c r="KP280" s="38"/>
      <c r="KQ280" s="38"/>
      <c r="KR280" s="38"/>
      <c r="KS280" s="38"/>
      <c r="KT280" s="38"/>
      <c r="KU280" s="38"/>
      <c r="KV280" s="38"/>
      <c r="KW280" s="38"/>
      <c r="KX280" s="38"/>
      <c r="KY280" s="38"/>
      <c r="KZ280" s="38"/>
      <c r="LA280" s="38"/>
      <c r="LB280" s="38"/>
      <c r="LC280" s="38"/>
      <c r="LD280" s="38"/>
      <c r="LE280" s="38"/>
      <c r="LF280" s="38"/>
      <c r="LG280" s="38"/>
      <c r="LH280" s="38"/>
      <c r="LI280" s="38"/>
      <c r="LJ280" s="38"/>
      <c r="LK280" s="38"/>
      <c r="LL280" s="38"/>
      <c r="LM280" s="38"/>
      <c r="LN280" s="38"/>
      <c r="LO280" s="38"/>
      <c r="LP280" s="38"/>
      <c r="LQ280" s="38"/>
      <c r="LR280" s="38"/>
      <c r="LS280" s="38"/>
      <c r="LT280" s="38"/>
      <c r="LU280" s="38"/>
      <c r="LV280" s="38"/>
      <c r="LW280" s="38"/>
      <c r="LX280" s="38"/>
      <c r="LY280" s="38"/>
      <c r="LZ280" s="38"/>
      <c r="MA280" s="38"/>
      <c r="MB280" s="38"/>
      <c r="MC280" s="38"/>
      <c r="MD280" s="38"/>
      <c r="ME280" s="38"/>
      <c r="MF280" s="38"/>
      <c r="MG280" s="38"/>
      <c r="MH280" s="38"/>
      <c r="MI280" s="38"/>
      <c r="MJ280" s="38"/>
      <c r="MK280" s="38"/>
      <c r="ML280" s="38"/>
      <c r="MM280" s="38"/>
      <c r="MN280" s="38"/>
      <c r="MO280" s="38"/>
      <c r="MP280" s="38"/>
      <c r="MQ280" s="38"/>
      <c r="MR280" s="38"/>
      <c r="MS280" s="38"/>
      <c r="MT280" s="38"/>
      <c r="MU280" s="38"/>
      <c r="MV280" s="38"/>
      <c r="MW280" s="38"/>
      <c r="MX280" s="38"/>
      <c r="MY280" s="38"/>
      <c r="MZ280" s="38"/>
      <c r="NA280" s="38"/>
      <c r="NB280" s="38"/>
      <c r="NC280" s="38"/>
      <c r="ND280" s="38"/>
      <c r="NE280" s="38"/>
      <c r="NF280" s="38"/>
      <c r="NG280" s="38"/>
      <c r="NH280" s="38"/>
      <c r="NI280" s="38"/>
      <c r="NJ280" s="38"/>
      <c r="NK280" s="38"/>
      <c r="NL280" s="38"/>
      <c r="NM280" s="38"/>
      <c r="NN280" s="38"/>
      <c r="NO280" s="38"/>
      <c r="NP280" s="38"/>
      <c r="NQ280" s="38"/>
      <c r="NR280" s="38"/>
      <c r="NS280" s="38"/>
      <c r="NT280" s="38"/>
      <c r="NU280" s="38"/>
      <c r="NV280" s="38"/>
      <c r="NW280" s="38"/>
      <c r="NX280" s="38"/>
      <c r="NY280" s="38"/>
      <c r="NZ280" s="38"/>
      <c r="OA280" s="38"/>
      <c r="OB280" s="38"/>
      <c r="OC280" s="38"/>
      <c r="OD280" s="38"/>
      <c r="OE280" s="38"/>
      <c r="OF280" s="38"/>
      <c r="OG280" s="38"/>
      <c r="OH280" s="38"/>
      <c r="OI280" s="38"/>
      <c r="OJ280" s="38"/>
      <c r="OK280" s="38"/>
      <c r="OL280" s="38"/>
      <c r="OM280" s="38"/>
      <c r="ON280" s="38"/>
      <c r="OO280" s="38"/>
      <c r="OP280" s="38"/>
      <c r="OQ280" s="38"/>
      <c r="OR280" s="38"/>
      <c r="OS280" s="38"/>
      <c r="OT280" s="38"/>
      <c r="OU280" s="38"/>
      <c r="OV280" s="38"/>
      <c r="OW280" s="38"/>
      <c r="OX280" s="38"/>
      <c r="OY280" s="38"/>
      <c r="OZ280" s="38"/>
      <c r="PA280" s="38"/>
      <c r="PB280" s="38"/>
      <c r="PC280" s="38"/>
      <c r="PD280" s="38"/>
      <c r="PE280" s="38"/>
      <c r="PF280" s="38"/>
      <c r="PG280" s="38"/>
      <c r="PH280" s="38"/>
      <c r="PI280" s="38"/>
      <c r="PJ280" s="38"/>
      <c r="PK280" s="38"/>
      <c r="PL280" s="38"/>
      <c r="PM280" s="38"/>
      <c r="PN280" s="38"/>
      <c r="PO280" s="38"/>
      <c r="PP280" s="38"/>
      <c r="PQ280" s="38"/>
      <c r="PR280" s="38"/>
      <c r="PS280" s="38"/>
      <c r="PT280" s="38"/>
      <c r="PU280" s="38"/>
      <c r="PV280" s="38"/>
      <c r="PW280" s="38"/>
      <c r="PX280" s="38"/>
      <c r="PY280" s="38"/>
      <c r="PZ280" s="38"/>
      <c r="QA280" s="38"/>
      <c r="QB280" s="38"/>
      <c r="QC280" s="38"/>
      <c r="QD280" s="38"/>
      <c r="QE280" s="38"/>
      <c r="QF280" s="38"/>
      <c r="QG280" s="38"/>
      <c r="QH280" s="38"/>
      <c r="QI280" s="38"/>
      <c r="QJ280" s="38"/>
      <c r="QK280" s="38"/>
      <c r="QL280" s="38"/>
      <c r="QM280" s="38"/>
      <c r="QN280" s="38"/>
      <c r="QO280" s="38"/>
      <c r="QP280" s="38"/>
      <c r="QQ280" s="38"/>
      <c r="QR280" s="38"/>
      <c r="QS280" s="38"/>
      <c r="QT280" s="38"/>
      <c r="QU280" s="38"/>
      <c r="QV280" s="38"/>
      <c r="QW280" s="38"/>
      <c r="QX280" s="38"/>
      <c r="QY280" s="38"/>
      <c r="QZ280" s="38"/>
      <c r="RA280" s="38"/>
      <c r="RB280" s="38"/>
      <c r="RC280" s="38"/>
      <c r="RD280" s="38"/>
      <c r="RE280" s="38"/>
      <c r="RF280" s="38"/>
      <c r="RG280" s="38"/>
      <c r="RH280" s="38"/>
      <c r="RI280" s="38"/>
      <c r="RJ280" s="38"/>
      <c r="RK280" s="38"/>
      <c r="RL280" s="38"/>
      <c r="RM280" s="38"/>
      <c r="RN280" s="38"/>
      <c r="RO280" s="38"/>
      <c r="RP280" s="38"/>
      <c r="RQ280" s="38"/>
      <c r="RR280" s="38"/>
      <c r="RS280" s="38"/>
      <c r="RT280" s="38"/>
      <c r="RU280" s="38"/>
      <c r="RV280" s="38"/>
      <c r="RW280" s="38"/>
      <c r="RX280" s="38"/>
      <c r="RY280" s="38"/>
      <c r="RZ280" s="38"/>
      <c r="SA280" s="38"/>
      <c r="SB280" s="38"/>
      <c r="SC280" s="38"/>
      <c r="SD280" s="38"/>
      <c r="SE280" s="38"/>
      <c r="SF280" s="38"/>
      <c r="SG280" s="38"/>
      <c r="SH280" s="38"/>
      <c r="SI280" s="38"/>
      <c r="SJ280" s="38"/>
      <c r="SK280" s="38"/>
      <c r="SL280" s="38"/>
      <c r="SM280" s="38"/>
      <c r="SN280" s="38"/>
      <c r="SO280" s="38"/>
      <c r="SP280" s="38"/>
      <c r="SQ280" s="38"/>
      <c r="SR280" s="38"/>
      <c r="SS280" s="38"/>
      <c r="ST280" s="38"/>
      <c r="SU280" s="38"/>
      <c r="SV280" s="38"/>
      <c r="SW280" s="38"/>
      <c r="SX280" s="38"/>
      <c r="SY280" s="38"/>
      <c r="SZ280" s="38"/>
      <c r="TA280" s="38"/>
      <c r="TB280" s="38"/>
      <c r="TC280" s="38"/>
      <c r="TD280" s="38"/>
      <c r="TE280" s="38"/>
      <c r="TF280" s="38"/>
      <c r="TG280" s="38"/>
      <c r="TH280" s="38"/>
      <c r="TI280" s="38"/>
    </row>
    <row r="281" spans="1:529" s="31" customFormat="1" ht="14.25" x14ac:dyDescent="0.2">
      <c r="A281" s="126"/>
      <c r="B281" s="127"/>
      <c r="C281" s="128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  <c r="IW281" s="38"/>
      <c r="IX281" s="38"/>
      <c r="IY281" s="38"/>
      <c r="IZ281" s="38"/>
      <c r="JA281" s="38"/>
      <c r="JB281" s="38"/>
      <c r="JC281" s="38"/>
      <c r="JD281" s="38"/>
      <c r="JE281" s="38"/>
      <c r="JF281" s="38"/>
      <c r="JG281" s="38"/>
      <c r="JH281" s="38"/>
      <c r="JI281" s="38"/>
      <c r="JJ281" s="38"/>
      <c r="JK281" s="38"/>
      <c r="JL281" s="38"/>
      <c r="JM281" s="38"/>
      <c r="JN281" s="38"/>
      <c r="JO281" s="38"/>
      <c r="JP281" s="38"/>
      <c r="JQ281" s="38"/>
      <c r="JR281" s="38"/>
      <c r="JS281" s="38"/>
      <c r="JT281" s="38"/>
      <c r="JU281" s="38"/>
      <c r="JV281" s="38"/>
      <c r="JW281" s="38"/>
      <c r="JX281" s="38"/>
      <c r="JY281" s="38"/>
      <c r="JZ281" s="38"/>
      <c r="KA281" s="38"/>
      <c r="KB281" s="38"/>
      <c r="KC281" s="38"/>
      <c r="KD281" s="38"/>
      <c r="KE281" s="38"/>
      <c r="KF281" s="38"/>
      <c r="KG281" s="38"/>
      <c r="KH281" s="38"/>
      <c r="KI281" s="38"/>
      <c r="KJ281" s="38"/>
      <c r="KK281" s="38"/>
      <c r="KL281" s="38"/>
      <c r="KM281" s="38"/>
      <c r="KN281" s="38"/>
      <c r="KO281" s="38"/>
      <c r="KP281" s="38"/>
      <c r="KQ281" s="38"/>
      <c r="KR281" s="38"/>
      <c r="KS281" s="38"/>
      <c r="KT281" s="38"/>
      <c r="KU281" s="38"/>
      <c r="KV281" s="38"/>
      <c r="KW281" s="38"/>
      <c r="KX281" s="38"/>
      <c r="KY281" s="38"/>
      <c r="KZ281" s="38"/>
      <c r="LA281" s="38"/>
      <c r="LB281" s="38"/>
      <c r="LC281" s="38"/>
      <c r="LD281" s="38"/>
      <c r="LE281" s="38"/>
      <c r="LF281" s="38"/>
      <c r="LG281" s="38"/>
      <c r="LH281" s="38"/>
      <c r="LI281" s="38"/>
      <c r="LJ281" s="38"/>
      <c r="LK281" s="38"/>
      <c r="LL281" s="38"/>
      <c r="LM281" s="38"/>
      <c r="LN281" s="38"/>
      <c r="LO281" s="38"/>
      <c r="LP281" s="38"/>
      <c r="LQ281" s="38"/>
      <c r="LR281" s="38"/>
      <c r="LS281" s="38"/>
      <c r="LT281" s="38"/>
      <c r="LU281" s="38"/>
      <c r="LV281" s="38"/>
      <c r="LW281" s="38"/>
      <c r="LX281" s="38"/>
      <c r="LY281" s="38"/>
      <c r="LZ281" s="38"/>
      <c r="MA281" s="38"/>
      <c r="MB281" s="38"/>
      <c r="MC281" s="38"/>
      <c r="MD281" s="38"/>
      <c r="ME281" s="38"/>
      <c r="MF281" s="38"/>
      <c r="MG281" s="38"/>
      <c r="MH281" s="38"/>
      <c r="MI281" s="38"/>
      <c r="MJ281" s="38"/>
      <c r="MK281" s="38"/>
      <c r="ML281" s="38"/>
      <c r="MM281" s="38"/>
      <c r="MN281" s="38"/>
      <c r="MO281" s="38"/>
      <c r="MP281" s="38"/>
      <c r="MQ281" s="38"/>
      <c r="MR281" s="38"/>
      <c r="MS281" s="38"/>
      <c r="MT281" s="38"/>
      <c r="MU281" s="38"/>
      <c r="MV281" s="38"/>
      <c r="MW281" s="38"/>
      <c r="MX281" s="38"/>
      <c r="MY281" s="38"/>
      <c r="MZ281" s="38"/>
      <c r="NA281" s="38"/>
      <c r="NB281" s="38"/>
      <c r="NC281" s="38"/>
      <c r="ND281" s="38"/>
      <c r="NE281" s="38"/>
      <c r="NF281" s="38"/>
      <c r="NG281" s="38"/>
      <c r="NH281" s="38"/>
      <c r="NI281" s="38"/>
      <c r="NJ281" s="38"/>
      <c r="NK281" s="38"/>
      <c r="NL281" s="38"/>
      <c r="NM281" s="38"/>
      <c r="NN281" s="38"/>
      <c r="NO281" s="38"/>
      <c r="NP281" s="38"/>
      <c r="NQ281" s="38"/>
      <c r="NR281" s="38"/>
      <c r="NS281" s="38"/>
      <c r="NT281" s="38"/>
      <c r="NU281" s="38"/>
      <c r="NV281" s="38"/>
      <c r="NW281" s="38"/>
      <c r="NX281" s="38"/>
      <c r="NY281" s="38"/>
      <c r="NZ281" s="38"/>
      <c r="OA281" s="38"/>
      <c r="OB281" s="38"/>
      <c r="OC281" s="38"/>
      <c r="OD281" s="38"/>
      <c r="OE281" s="38"/>
      <c r="OF281" s="38"/>
      <c r="OG281" s="38"/>
      <c r="OH281" s="38"/>
      <c r="OI281" s="38"/>
      <c r="OJ281" s="38"/>
      <c r="OK281" s="38"/>
      <c r="OL281" s="38"/>
      <c r="OM281" s="38"/>
      <c r="ON281" s="38"/>
      <c r="OO281" s="38"/>
      <c r="OP281" s="38"/>
      <c r="OQ281" s="38"/>
      <c r="OR281" s="38"/>
      <c r="OS281" s="38"/>
      <c r="OT281" s="38"/>
      <c r="OU281" s="38"/>
      <c r="OV281" s="38"/>
      <c r="OW281" s="38"/>
      <c r="OX281" s="38"/>
      <c r="OY281" s="38"/>
      <c r="OZ281" s="38"/>
      <c r="PA281" s="38"/>
      <c r="PB281" s="38"/>
      <c r="PC281" s="38"/>
      <c r="PD281" s="38"/>
      <c r="PE281" s="38"/>
      <c r="PF281" s="38"/>
      <c r="PG281" s="38"/>
      <c r="PH281" s="38"/>
      <c r="PI281" s="38"/>
      <c r="PJ281" s="38"/>
      <c r="PK281" s="38"/>
      <c r="PL281" s="38"/>
      <c r="PM281" s="38"/>
      <c r="PN281" s="38"/>
      <c r="PO281" s="38"/>
      <c r="PP281" s="38"/>
      <c r="PQ281" s="38"/>
      <c r="PR281" s="38"/>
      <c r="PS281" s="38"/>
      <c r="PT281" s="38"/>
      <c r="PU281" s="38"/>
      <c r="PV281" s="38"/>
      <c r="PW281" s="38"/>
      <c r="PX281" s="38"/>
      <c r="PY281" s="38"/>
      <c r="PZ281" s="38"/>
      <c r="QA281" s="38"/>
      <c r="QB281" s="38"/>
      <c r="QC281" s="38"/>
      <c r="QD281" s="38"/>
      <c r="QE281" s="38"/>
      <c r="QF281" s="38"/>
      <c r="QG281" s="38"/>
      <c r="QH281" s="38"/>
      <c r="QI281" s="38"/>
      <c r="QJ281" s="38"/>
      <c r="QK281" s="38"/>
      <c r="QL281" s="38"/>
      <c r="QM281" s="38"/>
      <c r="QN281" s="38"/>
      <c r="QO281" s="38"/>
      <c r="QP281" s="38"/>
      <c r="QQ281" s="38"/>
      <c r="QR281" s="38"/>
      <c r="QS281" s="38"/>
      <c r="QT281" s="38"/>
      <c r="QU281" s="38"/>
      <c r="QV281" s="38"/>
      <c r="QW281" s="38"/>
      <c r="QX281" s="38"/>
      <c r="QY281" s="38"/>
      <c r="QZ281" s="38"/>
      <c r="RA281" s="38"/>
      <c r="RB281" s="38"/>
      <c r="RC281" s="38"/>
      <c r="RD281" s="38"/>
      <c r="RE281" s="38"/>
      <c r="RF281" s="38"/>
      <c r="RG281" s="38"/>
      <c r="RH281" s="38"/>
      <c r="RI281" s="38"/>
      <c r="RJ281" s="38"/>
      <c r="RK281" s="38"/>
      <c r="RL281" s="38"/>
      <c r="RM281" s="38"/>
      <c r="RN281" s="38"/>
      <c r="RO281" s="38"/>
      <c r="RP281" s="38"/>
      <c r="RQ281" s="38"/>
      <c r="RR281" s="38"/>
      <c r="RS281" s="38"/>
      <c r="RT281" s="38"/>
      <c r="RU281" s="38"/>
      <c r="RV281" s="38"/>
      <c r="RW281" s="38"/>
      <c r="RX281" s="38"/>
      <c r="RY281" s="38"/>
      <c r="RZ281" s="38"/>
      <c r="SA281" s="38"/>
      <c r="SB281" s="38"/>
      <c r="SC281" s="38"/>
      <c r="SD281" s="38"/>
      <c r="SE281" s="38"/>
      <c r="SF281" s="38"/>
      <c r="SG281" s="38"/>
      <c r="SH281" s="38"/>
      <c r="SI281" s="38"/>
      <c r="SJ281" s="38"/>
      <c r="SK281" s="38"/>
      <c r="SL281" s="38"/>
      <c r="SM281" s="38"/>
      <c r="SN281" s="38"/>
      <c r="SO281" s="38"/>
      <c r="SP281" s="38"/>
      <c r="SQ281" s="38"/>
      <c r="SR281" s="38"/>
      <c r="SS281" s="38"/>
      <c r="ST281" s="38"/>
      <c r="SU281" s="38"/>
      <c r="SV281" s="38"/>
      <c r="SW281" s="38"/>
      <c r="SX281" s="38"/>
      <c r="SY281" s="38"/>
      <c r="SZ281" s="38"/>
      <c r="TA281" s="38"/>
      <c r="TB281" s="38"/>
      <c r="TC281" s="38"/>
      <c r="TD281" s="38"/>
      <c r="TE281" s="38"/>
      <c r="TF281" s="38"/>
      <c r="TG281" s="38"/>
      <c r="TH281" s="38"/>
      <c r="TI281" s="38"/>
    </row>
    <row r="282" spans="1:529" s="31" customFormat="1" ht="14.25" x14ac:dyDescent="0.2">
      <c r="A282" s="126"/>
      <c r="B282" s="127"/>
      <c r="C282" s="128"/>
      <c r="D282" s="129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  <c r="IW282" s="38"/>
      <c r="IX282" s="38"/>
      <c r="IY282" s="38"/>
      <c r="IZ282" s="38"/>
      <c r="JA282" s="38"/>
      <c r="JB282" s="38"/>
      <c r="JC282" s="38"/>
      <c r="JD282" s="38"/>
      <c r="JE282" s="38"/>
      <c r="JF282" s="38"/>
      <c r="JG282" s="38"/>
      <c r="JH282" s="38"/>
      <c r="JI282" s="38"/>
      <c r="JJ282" s="38"/>
      <c r="JK282" s="38"/>
      <c r="JL282" s="38"/>
      <c r="JM282" s="38"/>
      <c r="JN282" s="38"/>
      <c r="JO282" s="38"/>
      <c r="JP282" s="38"/>
      <c r="JQ282" s="38"/>
      <c r="JR282" s="38"/>
      <c r="JS282" s="38"/>
      <c r="JT282" s="38"/>
      <c r="JU282" s="38"/>
      <c r="JV282" s="38"/>
      <c r="JW282" s="38"/>
      <c r="JX282" s="38"/>
      <c r="JY282" s="38"/>
      <c r="JZ282" s="38"/>
      <c r="KA282" s="38"/>
      <c r="KB282" s="38"/>
      <c r="KC282" s="38"/>
      <c r="KD282" s="38"/>
      <c r="KE282" s="38"/>
      <c r="KF282" s="38"/>
      <c r="KG282" s="38"/>
      <c r="KH282" s="38"/>
      <c r="KI282" s="38"/>
      <c r="KJ282" s="38"/>
      <c r="KK282" s="38"/>
      <c r="KL282" s="38"/>
      <c r="KM282" s="38"/>
      <c r="KN282" s="38"/>
      <c r="KO282" s="38"/>
      <c r="KP282" s="38"/>
      <c r="KQ282" s="38"/>
      <c r="KR282" s="38"/>
      <c r="KS282" s="38"/>
      <c r="KT282" s="38"/>
      <c r="KU282" s="38"/>
      <c r="KV282" s="38"/>
      <c r="KW282" s="38"/>
      <c r="KX282" s="38"/>
      <c r="KY282" s="38"/>
      <c r="KZ282" s="38"/>
      <c r="LA282" s="38"/>
      <c r="LB282" s="38"/>
      <c r="LC282" s="38"/>
      <c r="LD282" s="38"/>
      <c r="LE282" s="38"/>
      <c r="LF282" s="38"/>
      <c r="LG282" s="38"/>
      <c r="LH282" s="38"/>
      <c r="LI282" s="38"/>
      <c r="LJ282" s="38"/>
      <c r="LK282" s="38"/>
      <c r="LL282" s="38"/>
      <c r="LM282" s="38"/>
      <c r="LN282" s="38"/>
      <c r="LO282" s="38"/>
      <c r="LP282" s="38"/>
      <c r="LQ282" s="38"/>
      <c r="LR282" s="38"/>
      <c r="LS282" s="38"/>
      <c r="LT282" s="38"/>
      <c r="LU282" s="38"/>
      <c r="LV282" s="38"/>
      <c r="LW282" s="38"/>
      <c r="LX282" s="38"/>
      <c r="LY282" s="38"/>
      <c r="LZ282" s="38"/>
      <c r="MA282" s="38"/>
      <c r="MB282" s="38"/>
      <c r="MC282" s="38"/>
      <c r="MD282" s="38"/>
      <c r="ME282" s="38"/>
      <c r="MF282" s="38"/>
      <c r="MG282" s="38"/>
      <c r="MH282" s="38"/>
      <c r="MI282" s="38"/>
      <c r="MJ282" s="38"/>
      <c r="MK282" s="38"/>
      <c r="ML282" s="38"/>
      <c r="MM282" s="38"/>
      <c r="MN282" s="38"/>
      <c r="MO282" s="38"/>
      <c r="MP282" s="38"/>
      <c r="MQ282" s="38"/>
      <c r="MR282" s="38"/>
      <c r="MS282" s="38"/>
      <c r="MT282" s="38"/>
      <c r="MU282" s="38"/>
      <c r="MV282" s="38"/>
      <c r="MW282" s="38"/>
      <c r="MX282" s="38"/>
      <c r="MY282" s="38"/>
      <c r="MZ282" s="38"/>
      <c r="NA282" s="38"/>
      <c r="NB282" s="38"/>
      <c r="NC282" s="38"/>
      <c r="ND282" s="38"/>
      <c r="NE282" s="38"/>
      <c r="NF282" s="38"/>
      <c r="NG282" s="38"/>
      <c r="NH282" s="38"/>
      <c r="NI282" s="38"/>
      <c r="NJ282" s="38"/>
      <c r="NK282" s="38"/>
      <c r="NL282" s="38"/>
      <c r="NM282" s="38"/>
      <c r="NN282" s="38"/>
      <c r="NO282" s="38"/>
      <c r="NP282" s="38"/>
      <c r="NQ282" s="38"/>
      <c r="NR282" s="38"/>
      <c r="NS282" s="38"/>
      <c r="NT282" s="38"/>
      <c r="NU282" s="38"/>
      <c r="NV282" s="38"/>
      <c r="NW282" s="38"/>
      <c r="NX282" s="38"/>
      <c r="NY282" s="38"/>
      <c r="NZ282" s="38"/>
      <c r="OA282" s="38"/>
      <c r="OB282" s="38"/>
      <c r="OC282" s="38"/>
      <c r="OD282" s="38"/>
      <c r="OE282" s="38"/>
      <c r="OF282" s="38"/>
      <c r="OG282" s="38"/>
      <c r="OH282" s="38"/>
      <c r="OI282" s="38"/>
      <c r="OJ282" s="38"/>
      <c r="OK282" s="38"/>
      <c r="OL282" s="38"/>
      <c r="OM282" s="38"/>
      <c r="ON282" s="38"/>
      <c r="OO282" s="38"/>
      <c r="OP282" s="38"/>
      <c r="OQ282" s="38"/>
      <c r="OR282" s="38"/>
      <c r="OS282" s="38"/>
      <c r="OT282" s="38"/>
      <c r="OU282" s="38"/>
      <c r="OV282" s="38"/>
      <c r="OW282" s="38"/>
      <c r="OX282" s="38"/>
      <c r="OY282" s="38"/>
      <c r="OZ282" s="38"/>
      <c r="PA282" s="38"/>
      <c r="PB282" s="38"/>
      <c r="PC282" s="38"/>
      <c r="PD282" s="38"/>
      <c r="PE282" s="38"/>
      <c r="PF282" s="38"/>
      <c r="PG282" s="38"/>
      <c r="PH282" s="38"/>
      <c r="PI282" s="38"/>
      <c r="PJ282" s="38"/>
      <c r="PK282" s="38"/>
      <c r="PL282" s="38"/>
      <c r="PM282" s="38"/>
      <c r="PN282" s="38"/>
      <c r="PO282" s="38"/>
      <c r="PP282" s="38"/>
      <c r="PQ282" s="38"/>
      <c r="PR282" s="38"/>
      <c r="PS282" s="38"/>
      <c r="PT282" s="38"/>
      <c r="PU282" s="38"/>
      <c r="PV282" s="38"/>
      <c r="PW282" s="38"/>
      <c r="PX282" s="38"/>
      <c r="PY282" s="38"/>
      <c r="PZ282" s="38"/>
      <c r="QA282" s="38"/>
      <c r="QB282" s="38"/>
      <c r="QC282" s="38"/>
      <c r="QD282" s="38"/>
      <c r="QE282" s="38"/>
      <c r="QF282" s="38"/>
      <c r="QG282" s="38"/>
      <c r="QH282" s="38"/>
      <c r="QI282" s="38"/>
      <c r="QJ282" s="38"/>
      <c r="QK282" s="38"/>
      <c r="QL282" s="38"/>
      <c r="QM282" s="38"/>
      <c r="QN282" s="38"/>
      <c r="QO282" s="38"/>
      <c r="QP282" s="38"/>
      <c r="QQ282" s="38"/>
      <c r="QR282" s="38"/>
      <c r="QS282" s="38"/>
      <c r="QT282" s="38"/>
      <c r="QU282" s="38"/>
      <c r="QV282" s="38"/>
      <c r="QW282" s="38"/>
      <c r="QX282" s="38"/>
      <c r="QY282" s="38"/>
      <c r="QZ282" s="38"/>
      <c r="RA282" s="38"/>
      <c r="RB282" s="38"/>
      <c r="RC282" s="38"/>
      <c r="RD282" s="38"/>
      <c r="RE282" s="38"/>
      <c r="RF282" s="38"/>
      <c r="RG282" s="38"/>
      <c r="RH282" s="38"/>
      <c r="RI282" s="38"/>
      <c r="RJ282" s="38"/>
      <c r="RK282" s="38"/>
      <c r="RL282" s="38"/>
      <c r="RM282" s="38"/>
      <c r="RN282" s="38"/>
      <c r="RO282" s="38"/>
      <c r="RP282" s="38"/>
      <c r="RQ282" s="38"/>
      <c r="RR282" s="38"/>
      <c r="RS282" s="38"/>
      <c r="RT282" s="38"/>
      <c r="RU282" s="38"/>
      <c r="RV282" s="38"/>
      <c r="RW282" s="38"/>
      <c r="RX282" s="38"/>
      <c r="RY282" s="38"/>
      <c r="RZ282" s="38"/>
      <c r="SA282" s="38"/>
      <c r="SB282" s="38"/>
      <c r="SC282" s="38"/>
      <c r="SD282" s="38"/>
      <c r="SE282" s="38"/>
      <c r="SF282" s="38"/>
      <c r="SG282" s="38"/>
      <c r="SH282" s="38"/>
      <c r="SI282" s="38"/>
      <c r="SJ282" s="38"/>
      <c r="SK282" s="38"/>
      <c r="SL282" s="38"/>
      <c r="SM282" s="38"/>
      <c r="SN282" s="38"/>
      <c r="SO282" s="38"/>
      <c r="SP282" s="38"/>
      <c r="SQ282" s="38"/>
      <c r="SR282" s="38"/>
      <c r="SS282" s="38"/>
      <c r="ST282" s="38"/>
      <c r="SU282" s="38"/>
      <c r="SV282" s="38"/>
      <c r="SW282" s="38"/>
      <c r="SX282" s="38"/>
      <c r="SY282" s="38"/>
      <c r="SZ282" s="38"/>
      <c r="TA282" s="38"/>
      <c r="TB282" s="38"/>
      <c r="TC282" s="38"/>
      <c r="TD282" s="38"/>
      <c r="TE282" s="38"/>
      <c r="TF282" s="38"/>
      <c r="TG282" s="38"/>
      <c r="TH282" s="38"/>
      <c r="TI282" s="38"/>
    </row>
    <row r="283" spans="1:529" s="31" customFormat="1" ht="14.25" x14ac:dyDescent="0.2">
      <c r="A283" s="126"/>
      <c r="B283" s="127"/>
      <c r="C283" s="128"/>
      <c r="D283" s="129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  <c r="IW283" s="38"/>
      <c r="IX283" s="38"/>
      <c r="IY283" s="38"/>
      <c r="IZ283" s="38"/>
      <c r="JA283" s="38"/>
      <c r="JB283" s="38"/>
      <c r="JC283" s="38"/>
      <c r="JD283" s="38"/>
      <c r="JE283" s="38"/>
      <c r="JF283" s="38"/>
      <c r="JG283" s="38"/>
      <c r="JH283" s="38"/>
      <c r="JI283" s="38"/>
      <c r="JJ283" s="38"/>
      <c r="JK283" s="38"/>
      <c r="JL283" s="38"/>
      <c r="JM283" s="38"/>
      <c r="JN283" s="38"/>
      <c r="JO283" s="38"/>
      <c r="JP283" s="38"/>
      <c r="JQ283" s="38"/>
      <c r="JR283" s="38"/>
      <c r="JS283" s="38"/>
      <c r="JT283" s="38"/>
      <c r="JU283" s="38"/>
      <c r="JV283" s="38"/>
      <c r="JW283" s="38"/>
      <c r="JX283" s="38"/>
      <c r="JY283" s="38"/>
      <c r="JZ283" s="38"/>
      <c r="KA283" s="38"/>
      <c r="KB283" s="38"/>
      <c r="KC283" s="38"/>
      <c r="KD283" s="38"/>
      <c r="KE283" s="38"/>
      <c r="KF283" s="38"/>
      <c r="KG283" s="38"/>
      <c r="KH283" s="38"/>
      <c r="KI283" s="38"/>
      <c r="KJ283" s="38"/>
      <c r="KK283" s="38"/>
      <c r="KL283" s="38"/>
      <c r="KM283" s="38"/>
      <c r="KN283" s="38"/>
      <c r="KO283" s="38"/>
      <c r="KP283" s="38"/>
      <c r="KQ283" s="38"/>
      <c r="KR283" s="38"/>
      <c r="KS283" s="38"/>
      <c r="KT283" s="38"/>
      <c r="KU283" s="38"/>
      <c r="KV283" s="38"/>
      <c r="KW283" s="38"/>
      <c r="KX283" s="38"/>
      <c r="KY283" s="38"/>
      <c r="KZ283" s="38"/>
      <c r="LA283" s="38"/>
      <c r="LB283" s="38"/>
      <c r="LC283" s="38"/>
      <c r="LD283" s="38"/>
      <c r="LE283" s="38"/>
      <c r="LF283" s="38"/>
      <c r="LG283" s="38"/>
      <c r="LH283" s="38"/>
      <c r="LI283" s="38"/>
      <c r="LJ283" s="38"/>
      <c r="LK283" s="38"/>
      <c r="LL283" s="38"/>
      <c r="LM283" s="38"/>
      <c r="LN283" s="38"/>
      <c r="LO283" s="38"/>
      <c r="LP283" s="38"/>
      <c r="LQ283" s="38"/>
      <c r="LR283" s="38"/>
      <c r="LS283" s="38"/>
      <c r="LT283" s="38"/>
      <c r="LU283" s="38"/>
      <c r="LV283" s="38"/>
      <c r="LW283" s="38"/>
      <c r="LX283" s="38"/>
      <c r="LY283" s="38"/>
      <c r="LZ283" s="38"/>
      <c r="MA283" s="38"/>
      <c r="MB283" s="38"/>
      <c r="MC283" s="38"/>
      <c r="MD283" s="38"/>
      <c r="ME283" s="38"/>
      <c r="MF283" s="38"/>
      <c r="MG283" s="38"/>
      <c r="MH283" s="38"/>
      <c r="MI283" s="38"/>
      <c r="MJ283" s="38"/>
      <c r="MK283" s="38"/>
      <c r="ML283" s="38"/>
      <c r="MM283" s="38"/>
      <c r="MN283" s="38"/>
      <c r="MO283" s="38"/>
      <c r="MP283" s="38"/>
      <c r="MQ283" s="38"/>
      <c r="MR283" s="38"/>
      <c r="MS283" s="38"/>
      <c r="MT283" s="38"/>
      <c r="MU283" s="38"/>
      <c r="MV283" s="38"/>
      <c r="MW283" s="38"/>
      <c r="MX283" s="38"/>
      <c r="MY283" s="38"/>
      <c r="MZ283" s="38"/>
      <c r="NA283" s="38"/>
      <c r="NB283" s="38"/>
      <c r="NC283" s="38"/>
      <c r="ND283" s="38"/>
      <c r="NE283" s="38"/>
      <c r="NF283" s="38"/>
      <c r="NG283" s="38"/>
      <c r="NH283" s="38"/>
      <c r="NI283" s="38"/>
      <c r="NJ283" s="38"/>
      <c r="NK283" s="38"/>
      <c r="NL283" s="38"/>
      <c r="NM283" s="38"/>
      <c r="NN283" s="38"/>
      <c r="NO283" s="38"/>
      <c r="NP283" s="38"/>
      <c r="NQ283" s="38"/>
      <c r="NR283" s="38"/>
      <c r="NS283" s="38"/>
      <c r="NT283" s="38"/>
      <c r="NU283" s="38"/>
      <c r="NV283" s="38"/>
      <c r="NW283" s="38"/>
      <c r="NX283" s="38"/>
      <c r="NY283" s="38"/>
      <c r="NZ283" s="38"/>
      <c r="OA283" s="38"/>
      <c r="OB283" s="38"/>
      <c r="OC283" s="38"/>
      <c r="OD283" s="38"/>
      <c r="OE283" s="38"/>
      <c r="OF283" s="38"/>
      <c r="OG283" s="38"/>
      <c r="OH283" s="38"/>
      <c r="OI283" s="38"/>
      <c r="OJ283" s="38"/>
      <c r="OK283" s="38"/>
      <c r="OL283" s="38"/>
      <c r="OM283" s="38"/>
      <c r="ON283" s="38"/>
      <c r="OO283" s="38"/>
      <c r="OP283" s="38"/>
      <c r="OQ283" s="38"/>
      <c r="OR283" s="38"/>
      <c r="OS283" s="38"/>
      <c r="OT283" s="38"/>
      <c r="OU283" s="38"/>
      <c r="OV283" s="38"/>
      <c r="OW283" s="38"/>
      <c r="OX283" s="38"/>
      <c r="OY283" s="38"/>
      <c r="OZ283" s="38"/>
      <c r="PA283" s="38"/>
      <c r="PB283" s="38"/>
      <c r="PC283" s="38"/>
      <c r="PD283" s="38"/>
      <c r="PE283" s="38"/>
      <c r="PF283" s="38"/>
      <c r="PG283" s="38"/>
      <c r="PH283" s="38"/>
      <c r="PI283" s="38"/>
      <c r="PJ283" s="38"/>
      <c r="PK283" s="38"/>
      <c r="PL283" s="38"/>
      <c r="PM283" s="38"/>
      <c r="PN283" s="38"/>
      <c r="PO283" s="38"/>
      <c r="PP283" s="38"/>
      <c r="PQ283" s="38"/>
      <c r="PR283" s="38"/>
      <c r="PS283" s="38"/>
      <c r="PT283" s="38"/>
      <c r="PU283" s="38"/>
      <c r="PV283" s="38"/>
      <c r="PW283" s="38"/>
      <c r="PX283" s="38"/>
      <c r="PY283" s="38"/>
      <c r="PZ283" s="38"/>
      <c r="QA283" s="38"/>
      <c r="QB283" s="38"/>
      <c r="QC283" s="38"/>
      <c r="QD283" s="38"/>
      <c r="QE283" s="38"/>
      <c r="QF283" s="38"/>
      <c r="QG283" s="38"/>
      <c r="QH283" s="38"/>
      <c r="QI283" s="38"/>
      <c r="QJ283" s="38"/>
      <c r="QK283" s="38"/>
      <c r="QL283" s="38"/>
      <c r="QM283" s="38"/>
      <c r="QN283" s="38"/>
      <c r="QO283" s="38"/>
      <c r="QP283" s="38"/>
      <c r="QQ283" s="38"/>
      <c r="QR283" s="38"/>
      <c r="QS283" s="38"/>
      <c r="QT283" s="38"/>
      <c r="QU283" s="38"/>
      <c r="QV283" s="38"/>
      <c r="QW283" s="38"/>
      <c r="QX283" s="38"/>
      <c r="QY283" s="38"/>
      <c r="QZ283" s="38"/>
      <c r="RA283" s="38"/>
      <c r="RB283" s="38"/>
      <c r="RC283" s="38"/>
      <c r="RD283" s="38"/>
      <c r="RE283" s="38"/>
      <c r="RF283" s="38"/>
      <c r="RG283" s="38"/>
      <c r="RH283" s="38"/>
      <c r="RI283" s="38"/>
      <c r="RJ283" s="38"/>
      <c r="RK283" s="38"/>
      <c r="RL283" s="38"/>
      <c r="RM283" s="38"/>
      <c r="RN283" s="38"/>
      <c r="RO283" s="38"/>
      <c r="RP283" s="38"/>
      <c r="RQ283" s="38"/>
      <c r="RR283" s="38"/>
      <c r="RS283" s="38"/>
      <c r="RT283" s="38"/>
      <c r="RU283" s="38"/>
      <c r="RV283" s="38"/>
      <c r="RW283" s="38"/>
      <c r="RX283" s="38"/>
      <c r="RY283" s="38"/>
      <c r="RZ283" s="38"/>
      <c r="SA283" s="38"/>
      <c r="SB283" s="38"/>
      <c r="SC283" s="38"/>
      <c r="SD283" s="38"/>
      <c r="SE283" s="38"/>
      <c r="SF283" s="38"/>
      <c r="SG283" s="38"/>
      <c r="SH283" s="38"/>
      <c r="SI283" s="38"/>
      <c r="SJ283" s="38"/>
      <c r="SK283" s="38"/>
      <c r="SL283" s="38"/>
      <c r="SM283" s="38"/>
      <c r="SN283" s="38"/>
      <c r="SO283" s="38"/>
      <c r="SP283" s="38"/>
      <c r="SQ283" s="38"/>
      <c r="SR283" s="38"/>
      <c r="SS283" s="38"/>
      <c r="ST283" s="38"/>
      <c r="SU283" s="38"/>
      <c r="SV283" s="38"/>
      <c r="SW283" s="38"/>
      <c r="SX283" s="38"/>
      <c r="SY283" s="38"/>
      <c r="SZ283" s="38"/>
      <c r="TA283" s="38"/>
      <c r="TB283" s="38"/>
      <c r="TC283" s="38"/>
      <c r="TD283" s="38"/>
      <c r="TE283" s="38"/>
      <c r="TF283" s="38"/>
      <c r="TG283" s="38"/>
      <c r="TH283" s="38"/>
      <c r="TI283" s="38"/>
    </row>
    <row r="284" spans="1:529" s="31" customFormat="1" ht="14.25" x14ac:dyDescent="0.2">
      <c r="A284" s="126"/>
      <c r="B284" s="127"/>
      <c r="C284" s="128"/>
      <c r="D284" s="129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  <c r="IW284" s="38"/>
      <c r="IX284" s="38"/>
      <c r="IY284" s="38"/>
      <c r="IZ284" s="38"/>
      <c r="JA284" s="38"/>
      <c r="JB284" s="38"/>
      <c r="JC284" s="38"/>
      <c r="JD284" s="38"/>
      <c r="JE284" s="38"/>
      <c r="JF284" s="38"/>
      <c r="JG284" s="38"/>
      <c r="JH284" s="38"/>
      <c r="JI284" s="38"/>
      <c r="JJ284" s="38"/>
      <c r="JK284" s="38"/>
      <c r="JL284" s="38"/>
      <c r="JM284" s="38"/>
      <c r="JN284" s="38"/>
      <c r="JO284" s="38"/>
      <c r="JP284" s="38"/>
      <c r="JQ284" s="38"/>
      <c r="JR284" s="38"/>
      <c r="JS284" s="38"/>
      <c r="JT284" s="38"/>
      <c r="JU284" s="38"/>
      <c r="JV284" s="38"/>
      <c r="JW284" s="38"/>
      <c r="JX284" s="38"/>
      <c r="JY284" s="38"/>
      <c r="JZ284" s="38"/>
      <c r="KA284" s="38"/>
      <c r="KB284" s="38"/>
      <c r="KC284" s="38"/>
      <c r="KD284" s="38"/>
      <c r="KE284" s="38"/>
      <c r="KF284" s="38"/>
      <c r="KG284" s="38"/>
      <c r="KH284" s="38"/>
      <c r="KI284" s="38"/>
      <c r="KJ284" s="38"/>
      <c r="KK284" s="38"/>
      <c r="KL284" s="38"/>
      <c r="KM284" s="38"/>
      <c r="KN284" s="38"/>
      <c r="KO284" s="38"/>
      <c r="KP284" s="38"/>
      <c r="KQ284" s="38"/>
      <c r="KR284" s="38"/>
      <c r="KS284" s="38"/>
      <c r="KT284" s="38"/>
      <c r="KU284" s="38"/>
      <c r="KV284" s="38"/>
      <c r="KW284" s="38"/>
      <c r="KX284" s="38"/>
      <c r="KY284" s="38"/>
      <c r="KZ284" s="38"/>
      <c r="LA284" s="38"/>
      <c r="LB284" s="38"/>
      <c r="LC284" s="38"/>
      <c r="LD284" s="38"/>
      <c r="LE284" s="38"/>
      <c r="LF284" s="38"/>
      <c r="LG284" s="38"/>
      <c r="LH284" s="38"/>
      <c r="LI284" s="38"/>
      <c r="LJ284" s="38"/>
      <c r="LK284" s="38"/>
      <c r="LL284" s="38"/>
      <c r="LM284" s="38"/>
      <c r="LN284" s="38"/>
      <c r="LO284" s="38"/>
      <c r="LP284" s="38"/>
      <c r="LQ284" s="38"/>
      <c r="LR284" s="38"/>
      <c r="LS284" s="38"/>
      <c r="LT284" s="38"/>
      <c r="LU284" s="38"/>
      <c r="LV284" s="38"/>
      <c r="LW284" s="38"/>
      <c r="LX284" s="38"/>
      <c r="LY284" s="38"/>
      <c r="LZ284" s="38"/>
      <c r="MA284" s="38"/>
      <c r="MB284" s="38"/>
      <c r="MC284" s="38"/>
      <c r="MD284" s="38"/>
      <c r="ME284" s="38"/>
      <c r="MF284" s="38"/>
      <c r="MG284" s="38"/>
      <c r="MH284" s="38"/>
      <c r="MI284" s="38"/>
      <c r="MJ284" s="38"/>
      <c r="MK284" s="38"/>
      <c r="ML284" s="38"/>
      <c r="MM284" s="38"/>
      <c r="MN284" s="38"/>
      <c r="MO284" s="38"/>
      <c r="MP284" s="38"/>
      <c r="MQ284" s="38"/>
      <c r="MR284" s="38"/>
      <c r="MS284" s="38"/>
      <c r="MT284" s="38"/>
      <c r="MU284" s="38"/>
      <c r="MV284" s="38"/>
      <c r="MW284" s="38"/>
      <c r="MX284" s="38"/>
      <c r="MY284" s="38"/>
      <c r="MZ284" s="38"/>
      <c r="NA284" s="38"/>
      <c r="NB284" s="38"/>
      <c r="NC284" s="38"/>
      <c r="ND284" s="38"/>
      <c r="NE284" s="38"/>
      <c r="NF284" s="38"/>
      <c r="NG284" s="38"/>
      <c r="NH284" s="38"/>
      <c r="NI284" s="38"/>
      <c r="NJ284" s="38"/>
      <c r="NK284" s="38"/>
      <c r="NL284" s="38"/>
      <c r="NM284" s="38"/>
      <c r="NN284" s="38"/>
      <c r="NO284" s="38"/>
      <c r="NP284" s="38"/>
      <c r="NQ284" s="38"/>
      <c r="NR284" s="38"/>
      <c r="NS284" s="38"/>
      <c r="NT284" s="38"/>
      <c r="NU284" s="38"/>
      <c r="NV284" s="38"/>
      <c r="NW284" s="38"/>
      <c r="NX284" s="38"/>
      <c r="NY284" s="38"/>
      <c r="NZ284" s="38"/>
      <c r="OA284" s="38"/>
      <c r="OB284" s="38"/>
      <c r="OC284" s="38"/>
      <c r="OD284" s="38"/>
      <c r="OE284" s="38"/>
      <c r="OF284" s="38"/>
      <c r="OG284" s="38"/>
      <c r="OH284" s="38"/>
      <c r="OI284" s="38"/>
      <c r="OJ284" s="38"/>
      <c r="OK284" s="38"/>
      <c r="OL284" s="38"/>
      <c r="OM284" s="38"/>
      <c r="ON284" s="38"/>
      <c r="OO284" s="38"/>
      <c r="OP284" s="38"/>
      <c r="OQ284" s="38"/>
      <c r="OR284" s="38"/>
      <c r="OS284" s="38"/>
      <c r="OT284" s="38"/>
      <c r="OU284" s="38"/>
      <c r="OV284" s="38"/>
      <c r="OW284" s="38"/>
      <c r="OX284" s="38"/>
      <c r="OY284" s="38"/>
      <c r="OZ284" s="38"/>
      <c r="PA284" s="38"/>
      <c r="PB284" s="38"/>
      <c r="PC284" s="38"/>
      <c r="PD284" s="38"/>
      <c r="PE284" s="38"/>
      <c r="PF284" s="38"/>
      <c r="PG284" s="38"/>
      <c r="PH284" s="38"/>
      <c r="PI284" s="38"/>
      <c r="PJ284" s="38"/>
      <c r="PK284" s="38"/>
      <c r="PL284" s="38"/>
      <c r="PM284" s="38"/>
      <c r="PN284" s="38"/>
      <c r="PO284" s="38"/>
      <c r="PP284" s="38"/>
      <c r="PQ284" s="38"/>
      <c r="PR284" s="38"/>
      <c r="PS284" s="38"/>
      <c r="PT284" s="38"/>
      <c r="PU284" s="38"/>
      <c r="PV284" s="38"/>
      <c r="PW284" s="38"/>
      <c r="PX284" s="38"/>
      <c r="PY284" s="38"/>
      <c r="PZ284" s="38"/>
      <c r="QA284" s="38"/>
      <c r="QB284" s="38"/>
      <c r="QC284" s="38"/>
      <c r="QD284" s="38"/>
      <c r="QE284" s="38"/>
      <c r="QF284" s="38"/>
      <c r="QG284" s="38"/>
      <c r="QH284" s="38"/>
      <c r="QI284" s="38"/>
      <c r="QJ284" s="38"/>
      <c r="QK284" s="38"/>
      <c r="QL284" s="38"/>
      <c r="QM284" s="38"/>
      <c r="QN284" s="38"/>
      <c r="QO284" s="38"/>
      <c r="QP284" s="38"/>
      <c r="QQ284" s="38"/>
      <c r="QR284" s="38"/>
      <c r="QS284" s="38"/>
      <c r="QT284" s="38"/>
      <c r="QU284" s="38"/>
      <c r="QV284" s="38"/>
      <c r="QW284" s="38"/>
      <c r="QX284" s="38"/>
      <c r="QY284" s="38"/>
      <c r="QZ284" s="38"/>
      <c r="RA284" s="38"/>
      <c r="RB284" s="38"/>
      <c r="RC284" s="38"/>
      <c r="RD284" s="38"/>
      <c r="RE284" s="38"/>
      <c r="RF284" s="38"/>
      <c r="RG284" s="38"/>
      <c r="RH284" s="38"/>
      <c r="RI284" s="38"/>
      <c r="RJ284" s="38"/>
      <c r="RK284" s="38"/>
      <c r="RL284" s="38"/>
      <c r="RM284" s="38"/>
      <c r="RN284" s="38"/>
      <c r="RO284" s="38"/>
      <c r="RP284" s="38"/>
      <c r="RQ284" s="38"/>
      <c r="RR284" s="38"/>
      <c r="RS284" s="38"/>
      <c r="RT284" s="38"/>
      <c r="RU284" s="38"/>
      <c r="RV284" s="38"/>
      <c r="RW284" s="38"/>
      <c r="RX284" s="38"/>
      <c r="RY284" s="38"/>
      <c r="RZ284" s="38"/>
      <c r="SA284" s="38"/>
      <c r="SB284" s="38"/>
      <c r="SC284" s="38"/>
      <c r="SD284" s="38"/>
      <c r="SE284" s="38"/>
      <c r="SF284" s="38"/>
      <c r="SG284" s="38"/>
      <c r="SH284" s="38"/>
      <c r="SI284" s="38"/>
      <c r="SJ284" s="38"/>
      <c r="SK284" s="38"/>
      <c r="SL284" s="38"/>
      <c r="SM284" s="38"/>
      <c r="SN284" s="38"/>
      <c r="SO284" s="38"/>
      <c r="SP284" s="38"/>
      <c r="SQ284" s="38"/>
      <c r="SR284" s="38"/>
      <c r="SS284" s="38"/>
      <c r="ST284" s="38"/>
      <c r="SU284" s="38"/>
      <c r="SV284" s="38"/>
      <c r="SW284" s="38"/>
      <c r="SX284" s="38"/>
      <c r="SY284" s="38"/>
      <c r="SZ284" s="38"/>
      <c r="TA284" s="38"/>
      <c r="TB284" s="38"/>
      <c r="TC284" s="38"/>
      <c r="TD284" s="38"/>
      <c r="TE284" s="38"/>
      <c r="TF284" s="38"/>
      <c r="TG284" s="38"/>
      <c r="TH284" s="38"/>
      <c r="TI284" s="38"/>
    </row>
    <row r="285" spans="1:529" s="34" customFormat="1" ht="31.5" customHeight="1" x14ac:dyDescent="0.45">
      <c r="A285" s="114" t="s">
        <v>534</v>
      </c>
      <c r="B285" s="114"/>
      <c r="C285" s="114"/>
      <c r="D285" s="114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9" t="s">
        <v>535</v>
      </c>
      <c r="P285" s="179"/>
    </row>
    <row r="286" spans="1:529" s="34" customFormat="1" ht="33" customHeight="1" x14ac:dyDescent="0.5">
      <c r="A286" s="117"/>
      <c r="B286" s="117"/>
      <c r="C286" s="117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85"/>
      <c r="R286" s="85"/>
      <c r="S286" s="85"/>
      <c r="T286" s="85"/>
      <c r="U286" s="85"/>
    </row>
    <row r="287" spans="1:529" s="95" customFormat="1" ht="26.25" x14ac:dyDescent="0.4">
      <c r="A287" s="121" t="s">
        <v>525</v>
      </c>
      <c r="B287" s="96"/>
      <c r="C287" s="96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1:529" s="106" customFormat="1" ht="35.25" x14ac:dyDescent="0.5">
      <c r="A288" s="121" t="s">
        <v>426</v>
      </c>
      <c r="B288" s="96"/>
      <c r="C288" s="96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7"/>
      <c r="R288" s="107"/>
      <c r="S288" s="107"/>
      <c r="T288" s="107"/>
      <c r="U288" s="107"/>
      <c r="V288" s="107"/>
      <c r="W288" s="108"/>
      <c r="X288" s="109"/>
    </row>
    <row r="289" spans="1:16" s="34" customFormat="1" ht="16.5" customHeight="1" x14ac:dyDescent="0.25">
      <c r="A289" s="83"/>
      <c r="B289" s="92"/>
      <c r="C289" s="92"/>
      <c r="D289" s="41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</row>
    <row r="290" spans="1:16" s="34" customFormat="1" ht="18.75" customHeight="1" x14ac:dyDescent="0.25">
      <c r="A290" s="83"/>
      <c r="B290" s="92"/>
      <c r="C290" s="92"/>
      <c r="D290" s="41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1:16" s="34" customFormat="1" x14ac:dyDescent="0.25">
      <c r="A291" s="83"/>
      <c r="B291" s="92"/>
      <c r="C291" s="92"/>
      <c r="D291" s="41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175"/>
    </row>
    <row r="292" spans="1:16" s="34" customFormat="1" x14ac:dyDescent="0.25">
      <c r="A292" s="83"/>
      <c r="B292" s="92"/>
      <c r="C292" s="92"/>
      <c r="D292" s="41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175"/>
    </row>
    <row r="293" spans="1:16" s="34" customFormat="1" x14ac:dyDescent="0.25">
      <c r="A293" s="83"/>
      <c r="B293" s="92"/>
      <c r="C293" s="92"/>
      <c r="D293" s="41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175"/>
    </row>
    <row r="294" spans="1:16" s="34" customFormat="1" x14ac:dyDescent="0.25">
      <c r="A294" s="83"/>
      <c r="B294" s="92"/>
      <c r="C294" s="92"/>
      <c r="D294" s="41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s="34" customFormat="1" x14ac:dyDescent="0.25">
      <c r="A295" s="83"/>
      <c r="B295" s="92"/>
      <c r="C295" s="92"/>
      <c r="D295" s="41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pans="1:16" s="34" customFormat="1" x14ac:dyDescent="0.25">
      <c r="A296" s="83"/>
      <c r="B296" s="92"/>
      <c r="C296" s="92"/>
      <c r="D296" s="41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pans="1:16" s="34" customFormat="1" x14ac:dyDescent="0.25">
      <c r="A297" s="83"/>
      <c r="B297" s="92"/>
      <c r="C297" s="92"/>
      <c r="D297" s="41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</row>
    <row r="298" spans="1:16" s="34" customFormat="1" x14ac:dyDescent="0.25">
      <c r="A298" s="83"/>
      <c r="B298" s="92"/>
      <c r="C298" s="92"/>
      <c r="D298" s="41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</row>
    <row r="299" spans="1:16" s="34" customFormat="1" x14ac:dyDescent="0.25">
      <c r="A299" s="83"/>
      <c r="B299" s="92"/>
      <c r="C299" s="92"/>
      <c r="D299" s="41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175"/>
    </row>
    <row r="300" spans="1:16" s="34" customFormat="1" x14ac:dyDescent="0.25">
      <c r="A300" s="83"/>
      <c r="B300" s="92"/>
      <c r="C300" s="92"/>
      <c r="D300" s="41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175"/>
    </row>
    <row r="301" spans="1:16" s="34" customFormat="1" x14ac:dyDescent="0.25">
      <c r="A301" s="83"/>
      <c r="B301" s="92"/>
      <c r="C301" s="92"/>
      <c r="D301" s="41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175"/>
    </row>
    <row r="302" spans="1:16" s="34" customFormat="1" x14ac:dyDescent="0.25">
      <c r="A302" s="83"/>
      <c r="B302" s="92"/>
      <c r="C302" s="92"/>
      <c r="D302" s="41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175"/>
    </row>
    <row r="303" spans="1:16" s="34" customFormat="1" x14ac:dyDescent="0.25">
      <c r="A303" s="83"/>
      <c r="B303" s="92"/>
      <c r="C303" s="92"/>
      <c r="D303" s="41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175"/>
    </row>
    <row r="304" spans="1:16" s="34" customFormat="1" x14ac:dyDescent="0.25">
      <c r="A304" s="83"/>
      <c r="B304" s="92"/>
      <c r="C304" s="92"/>
      <c r="D304" s="41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175"/>
    </row>
    <row r="305" spans="1:16" s="34" customFormat="1" x14ac:dyDescent="0.25">
      <c r="A305" s="83"/>
      <c r="B305" s="92"/>
      <c r="C305" s="92"/>
      <c r="D305" s="41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175"/>
    </row>
    <row r="306" spans="1:16" s="34" customFormat="1" x14ac:dyDescent="0.25">
      <c r="A306" s="83"/>
      <c r="B306" s="92"/>
      <c r="C306" s="92"/>
      <c r="D306" s="41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175"/>
    </row>
    <row r="307" spans="1:16" s="34" customFormat="1" x14ac:dyDescent="0.25">
      <c r="A307" s="83"/>
      <c r="B307" s="92"/>
      <c r="C307" s="92"/>
      <c r="D307" s="41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175"/>
    </row>
    <row r="308" spans="1:16" s="34" customFormat="1" x14ac:dyDescent="0.25">
      <c r="A308" s="83"/>
      <c r="B308" s="92"/>
      <c r="C308" s="92"/>
      <c r="D308" s="41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175"/>
    </row>
    <row r="309" spans="1:16" s="34" customFormat="1" x14ac:dyDescent="0.25">
      <c r="A309" s="83"/>
      <c r="B309" s="92"/>
      <c r="C309" s="92"/>
      <c r="D309" s="41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175"/>
    </row>
    <row r="310" spans="1:16" s="34" customFormat="1" x14ac:dyDescent="0.25">
      <c r="A310" s="83"/>
      <c r="B310" s="92"/>
      <c r="C310" s="92"/>
      <c r="D310" s="41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175"/>
    </row>
    <row r="311" spans="1:16" s="34" customFormat="1" x14ac:dyDescent="0.25">
      <c r="A311" s="83"/>
      <c r="B311" s="92"/>
      <c r="C311" s="92"/>
      <c r="D311" s="41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175"/>
    </row>
    <row r="312" spans="1:16" s="34" customFormat="1" x14ac:dyDescent="0.25">
      <c r="A312" s="83"/>
      <c r="B312" s="92"/>
      <c r="C312" s="92"/>
      <c r="D312" s="41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175"/>
    </row>
    <row r="313" spans="1:16" s="34" customFormat="1" x14ac:dyDescent="0.25">
      <c r="A313" s="83"/>
      <c r="B313" s="92"/>
      <c r="C313" s="92"/>
      <c r="D313" s="41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175"/>
    </row>
    <row r="314" spans="1:16" s="34" customFormat="1" x14ac:dyDescent="0.25">
      <c r="A314" s="83"/>
      <c r="B314" s="92"/>
      <c r="C314" s="92"/>
      <c r="D314" s="41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175"/>
    </row>
    <row r="315" spans="1:16" s="34" customFormat="1" x14ac:dyDescent="0.25">
      <c r="A315" s="83"/>
      <c r="B315" s="92"/>
      <c r="C315" s="92"/>
      <c r="D315" s="41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175"/>
    </row>
    <row r="316" spans="1:16" s="34" customFormat="1" x14ac:dyDescent="0.25">
      <c r="A316" s="83"/>
      <c r="B316" s="92"/>
      <c r="C316" s="92"/>
      <c r="D316" s="41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175"/>
    </row>
    <row r="317" spans="1:16" s="34" customFormat="1" x14ac:dyDescent="0.25">
      <c r="A317" s="83"/>
      <c r="B317" s="92"/>
      <c r="C317" s="92"/>
      <c r="D317" s="41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175"/>
    </row>
    <row r="318" spans="1:16" s="34" customFormat="1" x14ac:dyDescent="0.25">
      <c r="A318" s="83"/>
      <c r="B318" s="92"/>
      <c r="C318" s="92"/>
      <c r="D318" s="41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175"/>
    </row>
    <row r="319" spans="1:16" s="34" customFormat="1" x14ac:dyDescent="0.25">
      <c r="A319" s="83"/>
      <c r="B319" s="92"/>
      <c r="C319" s="92"/>
      <c r="D319" s="41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175"/>
    </row>
    <row r="320" spans="1:16" s="34" customFormat="1" x14ac:dyDescent="0.25">
      <c r="A320" s="83"/>
      <c r="B320" s="92"/>
      <c r="C320" s="92"/>
      <c r="D320" s="41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175"/>
    </row>
    <row r="321" spans="1:16" s="34" customFormat="1" x14ac:dyDescent="0.25">
      <c r="A321" s="83"/>
      <c r="B321" s="92"/>
      <c r="C321" s="92"/>
      <c r="D321" s="41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175"/>
    </row>
    <row r="322" spans="1:16" s="34" customFormat="1" x14ac:dyDescent="0.25">
      <c r="A322" s="83"/>
      <c r="B322" s="92"/>
      <c r="C322" s="92"/>
      <c r="D322" s="41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175"/>
    </row>
    <row r="323" spans="1:16" s="34" customFormat="1" x14ac:dyDescent="0.25">
      <c r="A323" s="83"/>
      <c r="B323" s="92"/>
      <c r="C323" s="92"/>
      <c r="D323" s="41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175"/>
    </row>
    <row r="324" spans="1:16" s="34" customFormat="1" x14ac:dyDescent="0.25">
      <c r="A324" s="83"/>
      <c r="B324" s="92"/>
      <c r="C324" s="92"/>
      <c r="D324" s="41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175"/>
    </row>
    <row r="325" spans="1:16" s="34" customFormat="1" x14ac:dyDescent="0.25">
      <c r="A325" s="83"/>
      <c r="B325" s="92"/>
      <c r="C325" s="92"/>
      <c r="D325" s="41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175"/>
    </row>
    <row r="326" spans="1:16" s="34" customFormat="1" x14ac:dyDescent="0.25">
      <c r="A326" s="83"/>
      <c r="B326" s="92"/>
      <c r="C326" s="92"/>
      <c r="D326" s="41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175"/>
    </row>
    <row r="327" spans="1:16" s="34" customFormat="1" x14ac:dyDescent="0.25">
      <c r="A327" s="83"/>
      <c r="B327" s="92"/>
      <c r="C327" s="92"/>
      <c r="D327" s="41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175"/>
    </row>
    <row r="328" spans="1:16" s="34" customFormat="1" x14ac:dyDescent="0.25">
      <c r="A328" s="83"/>
      <c r="B328" s="92"/>
      <c r="C328" s="92"/>
      <c r="D328" s="41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175"/>
    </row>
    <row r="329" spans="1:16" s="34" customFormat="1" x14ac:dyDescent="0.25">
      <c r="A329" s="83"/>
      <c r="B329" s="92"/>
      <c r="C329" s="92"/>
      <c r="D329" s="41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175"/>
    </row>
    <row r="330" spans="1:16" s="34" customFormat="1" x14ac:dyDescent="0.25">
      <c r="A330" s="83"/>
      <c r="B330" s="92"/>
      <c r="C330" s="92"/>
      <c r="D330" s="41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175"/>
    </row>
    <row r="331" spans="1:16" s="34" customFormat="1" x14ac:dyDescent="0.25">
      <c r="A331" s="83"/>
      <c r="B331" s="92"/>
      <c r="C331" s="92"/>
      <c r="D331" s="41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175"/>
    </row>
    <row r="332" spans="1:16" s="34" customFormat="1" x14ac:dyDescent="0.25">
      <c r="A332" s="83"/>
      <c r="B332" s="92"/>
      <c r="C332" s="92"/>
      <c r="D332" s="41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175"/>
    </row>
    <row r="333" spans="1:16" s="34" customFormat="1" x14ac:dyDescent="0.25">
      <c r="A333" s="83"/>
      <c r="B333" s="92"/>
      <c r="C333" s="92"/>
      <c r="D333" s="41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175"/>
    </row>
    <row r="334" spans="1:16" s="34" customFormat="1" x14ac:dyDescent="0.25">
      <c r="A334" s="83"/>
      <c r="B334" s="92"/>
      <c r="C334" s="92"/>
      <c r="D334" s="41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175"/>
    </row>
    <row r="335" spans="1:16" s="34" customFormat="1" x14ac:dyDescent="0.25">
      <c r="A335" s="83"/>
      <c r="B335" s="92"/>
      <c r="C335" s="92"/>
      <c r="D335" s="41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175"/>
    </row>
    <row r="336" spans="1:16" s="34" customFormat="1" x14ac:dyDescent="0.25">
      <c r="A336" s="83"/>
      <c r="B336" s="92"/>
      <c r="C336" s="92"/>
      <c r="D336" s="41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175"/>
    </row>
    <row r="337" spans="1:16" s="34" customFormat="1" x14ac:dyDescent="0.25">
      <c r="A337" s="83"/>
      <c r="B337" s="92"/>
      <c r="C337" s="92"/>
      <c r="D337" s="41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175"/>
    </row>
    <row r="338" spans="1:16" s="34" customFormat="1" x14ac:dyDescent="0.25">
      <c r="A338" s="83"/>
      <c r="B338" s="92"/>
      <c r="C338" s="92"/>
      <c r="D338" s="41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175"/>
    </row>
    <row r="339" spans="1:16" s="34" customFormat="1" x14ac:dyDescent="0.25">
      <c r="A339" s="83"/>
      <c r="B339" s="92"/>
      <c r="C339" s="92"/>
      <c r="D339" s="41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175"/>
    </row>
    <row r="340" spans="1:16" s="34" customFormat="1" x14ac:dyDescent="0.25">
      <c r="A340" s="83"/>
      <c r="B340" s="92"/>
      <c r="C340" s="92"/>
      <c r="D340" s="41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175"/>
    </row>
    <row r="341" spans="1:16" s="34" customFormat="1" x14ac:dyDescent="0.25">
      <c r="A341" s="83"/>
      <c r="B341" s="92"/>
      <c r="C341" s="92"/>
      <c r="D341" s="41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175"/>
    </row>
    <row r="342" spans="1:16" s="34" customFormat="1" x14ac:dyDescent="0.25">
      <c r="A342" s="83"/>
      <c r="B342" s="92"/>
      <c r="C342" s="92"/>
      <c r="D342" s="41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175"/>
    </row>
    <row r="343" spans="1:16" s="34" customFormat="1" x14ac:dyDescent="0.25">
      <c r="A343" s="83"/>
      <c r="B343" s="92"/>
      <c r="C343" s="92"/>
      <c r="D343" s="41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175"/>
    </row>
    <row r="344" spans="1:16" s="34" customFormat="1" x14ac:dyDescent="0.25">
      <c r="A344" s="83"/>
      <c r="B344" s="92"/>
      <c r="C344" s="92"/>
      <c r="D344" s="41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175"/>
    </row>
    <row r="345" spans="1:16" s="34" customFormat="1" x14ac:dyDescent="0.25">
      <c r="A345" s="83"/>
      <c r="B345" s="92"/>
      <c r="C345" s="92"/>
      <c r="D345" s="41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175"/>
    </row>
    <row r="346" spans="1:16" s="34" customFormat="1" x14ac:dyDescent="0.25">
      <c r="A346" s="83"/>
      <c r="B346" s="92"/>
      <c r="C346" s="92"/>
      <c r="D346" s="41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175"/>
    </row>
    <row r="347" spans="1:16" s="34" customFormat="1" x14ac:dyDescent="0.25">
      <c r="A347" s="83"/>
      <c r="B347" s="92"/>
      <c r="C347" s="92"/>
      <c r="D347" s="41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175"/>
    </row>
    <row r="348" spans="1:16" s="34" customFormat="1" x14ac:dyDescent="0.25">
      <c r="A348" s="83"/>
      <c r="B348" s="92"/>
      <c r="C348" s="92"/>
      <c r="D348" s="41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175"/>
    </row>
    <row r="349" spans="1:16" s="34" customFormat="1" x14ac:dyDescent="0.25">
      <c r="A349" s="83"/>
      <c r="B349" s="92"/>
      <c r="C349" s="92"/>
      <c r="D349" s="41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175"/>
    </row>
    <row r="350" spans="1:16" s="34" customFormat="1" x14ac:dyDescent="0.25">
      <c r="A350" s="83"/>
      <c r="B350" s="92"/>
      <c r="C350" s="92"/>
      <c r="D350" s="41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175"/>
    </row>
    <row r="351" spans="1:16" s="34" customFormat="1" x14ac:dyDescent="0.25">
      <c r="A351" s="83"/>
      <c r="B351" s="92"/>
      <c r="C351" s="92"/>
      <c r="D351" s="41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175"/>
    </row>
    <row r="352" spans="1:16" s="34" customFormat="1" x14ac:dyDescent="0.25">
      <c r="A352" s="83"/>
      <c r="B352" s="92"/>
      <c r="C352" s="92"/>
      <c r="D352" s="41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175"/>
    </row>
    <row r="353" spans="1:16" s="34" customFormat="1" x14ac:dyDescent="0.25">
      <c r="A353" s="83"/>
      <c r="B353" s="92"/>
      <c r="C353" s="92"/>
      <c r="D353" s="41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175"/>
    </row>
    <row r="354" spans="1:16" s="34" customFormat="1" x14ac:dyDescent="0.25">
      <c r="A354" s="83"/>
      <c r="B354" s="92"/>
      <c r="C354" s="92"/>
      <c r="D354" s="41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175"/>
    </row>
    <row r="355" spans="1:16" s="34" customFormat="1" x14ac:dyDescent="0.25">
      <c r="A355" s="83"/>
      <c r="B355" s="92"/>
      <c r="C355" s="92"/>
      <c r="D355" s="41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175"/>
    </row>
    <row r="356" spans="1:16" s="34" customFormat="1" x14ac:dyDescent="0.25">
      <c r="A356" s="83"/>
      <c r="B356" s="92"/>
      <c r="C356" s="92"/>
      <c r="D356" s="41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175"/>
    </row>
    <row r="357" spans="1:16" s="34" customFormat="1" x14ac:dyDescent="0.25">
      <c r="A357" s="83"/>
      <c r="B357" s="92"/>
      <c r="C357" s="92"/>
      <c r="D357" s="41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175"/>
    </row>
    <row r="358" spans="1:16" s="34" customFormat="1" x14ac:dyDescent="0.25">
      <c r="A358" s="83"/>
      <c r="B358" s="92"/>
      <c r="C358" s="92"/>
      <c r="D358" s="41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175"/>
    </row>
    <row r="359" spans="1:16" s="34" customFormat="1" x14ac:dyDescent="0.25">
      <c r="A359" s="83"/>
      <c r="B359" s="92"/>
      <c r="C359" s="92"/>
      <c r="D359" s="41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175"/>
    </row>
    <row r="360" spans="1:16" s="34" customFormat="1" x14ac:dyDescent="0.25">
      <c r="A360" s="83"/>
      <c r="B360" s="92"/>
      <c r="C360" s="92"/>
      <c r="D360" s="41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175"/>
    </row>
    <row r="361" spans="1:16" s="34" customFormat="1" x14ac:dyDescent="0.25">
      <c r="A361" s="83"/>
      <c r="B361" s="92"/>
      <c r="C361" s="92"/>
      <c r="D361" s="41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175"/>
    </row>
    <row r="362" spans="1:16" s="34" customFormat="1" x14ac:dyDescent="0.25">
      <c r="A362" s="83"/>
      <c r="B362" s="92"/>
      <c r="C362" s="92"/>
      <c r="D362" s="41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175"/>
    </row>
    <row r="363" spans="1:16" s="34" customFormat="1" x14ac:dyDescent="0.25">
      <c r="A363" s="83"/>
      <c r="B363" s="92"/>
      <c r="C363" s="92"/>
      <c r="D363" s="41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175"/>
    </row>
    <row r="364" spans="1:16" s="34" customFormat="1" x14ac:dyDescent="0.25">
      <c r="A364" s="83"/>
      <c r="B364" s="92"/>
      <c r="C364" s="92"/>
      <c r="D364" s="41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175"/>
    </row>
    <row r="365" spans="1:16" s="34" customFormat="1" x14ac:dyDescent="0.25">
      <c r="A365" s="83"/>
      <c r="B365" s="92"/>
      <c r="C365" s="92"/>
      <c r="D365" s="41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175"/>
    </row>
    <row r="366" spans="1:16" s="34" customFormat="1" x14ac:dyDescent="0.25">
      <c r="A366" s="83"/>
      <c r="B366" s="92"/>
      <c r="C366" s="92"/>
      <c r="D366" s="41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175"/>
    </row>
    <row r="367" spans="1:16" s="34" customFormat="1" x14ac:dyDescent="0.25">
      <c r="A367" s="83"/>
      <c r="B367" s="92"/>
      <c r="C367" s="92"/>
      <c r="D367" s="41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175"/>
    </row>
    <row r="368" spans="1:16" s="34" customFormat="1" x14ac:dyDescent="0.25">
      <c r="A368" s="83"/>
      <c r="B368" s="92"/>
      <c r="C368" s="92"/>
      <c r="D368" s="41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175"/>
    </row>
    <row r="369" spans="1:16" s="34" customFormat="1" x14ac:dyDescent="0.25">
      <c r="A369" s="83"/>
      <c r="B369" s="92"/>
      <c r="C369" s="92"/>
      <c r="D369" s="41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175"/>
    </row>
    <row r="370" spans="1:16" s="34" customFormat="1" x14ac:dyDescent="0.25">
      <c r="A370" s="83"/>
      <c r="B370" s="92"/>
      <c r="C370" s="92"/>
      <c r="D370" s="41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175"/>
    </row>
    <row r="371" spans="1:16" s="34" customFormat="1" x14ac:dyDescent="0.25">
      <c r="A371" s="83"/>
      <c r="B371" s="92"/>
      <c r="C371" s="92"/>
      <c r="D371" s="41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175"/>
    </row>
    <row r="372" spans="1:16" s="34" customFormat="1" x14ac:dyDescent="0.25">
      <c r="A372" s="83"/>
      <c r="B372" s="92"/>
      <c r="C372" s="92"/>
      <c r="D372" s="41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175"/>
    </row>
    <row r="373" spans="1:16" s="34" customFormat="1" x14ac:dyDescent="0.25">
      <c r="A373" s="83"/>
      <c r="B373" s="92"/>
      <c r="C373" s="92"/>
      <c r="D373" s="41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175"/>
    </row>
    <row r="374" spans="1:16" s="34" customFormat="1" x14ac:dyDescent="0.25">
      <c r="A374" s="83"/>
      <c r="B374" s="92"/>
      <c r="C374" s="92"/>
      <c r="D374" s="41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175"/>
    </row>
    <row r="375" spans="1:16" s="34" customFormat="1" x14ac:dyDescent="0.25">
      <c r="A375" s="83"/>
      <c r="B375" s="92"/>
      <c r="C375" s="92"/>
      <c r="D375" s="41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175"/>
    </row>
    <row r="376" spans="1:16" s="34" customFormat="1" x14ac:dyDescent="0.25">
      <c r="A376" s="83"/>
      <c r="B376" s="92"/>
      <c r="C376" s="92"/>
      <c r="D376" s="41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175"/>
    </row>
    <row r="377" spans="1:16" s="34" customFormat="1" x14ac:dyDescent="0.25">
      <c r="A377" s="83"/>
      <c r="B377" s="92"/>
      <c r="C377" s="92"/>
      <c r="D377" s="41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175"/>
    </row>
    <row r="378" spans="1:16" s="34" customFormat="1" x14ac:dyDescent="0.25">
      <c r="A378" s="83"/>
      <c r="B378" s="92"/>
      <c r="C378" s="92"/>
      <c r="D378" s="41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175"/>
    </row>
    <row r="379" spans="1:16" s="34" customFormat="1" x14ac:dyDescent="0.25">
      <c r="A379" s="83"/>
      <c r="B379" s="92"/>
      <c r="C379" s="92"/>
      <c r="D379" s="41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175"/>
    </row>
    <row r="380" spans="1:16" s="34" customFormat="1" x14ac:dyDescent="0.25">
      <c r="A380" s="83"/>
      <c r="B380" s="92"/>
      <c r="C380" s="92"/>
      <c r="D380" s="41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175"/>
    </row>
    <row r="381" spans="1:16" s="34" customFormat="1" x14ac:dyDescent="0.25">
      <c r="A381" s="83"/>
      <c r="B381" s="92"/>
      <c r="C381" s="92"/>
      <c r="D381" s="41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175"/>
    </row>
    <row r="382" spans="1:16" s="34" customFormat="1" x14ac:dyDescent="0.25">
      <c r="A382" s="83"/>
      <c r="B382" s="92"/>
      <c r="C382" s="92"/>
      <c r="D382" s="41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175"/>
    </row>
    <row r="383" spans="1:16" s="34" customFormat="1" x14ac:dyDescent="0.25">
      <c r="A383" s="83"/>
      <c r="B383" s="92"/>
      <c r="C383" s="92"/>
      <c r="D383" s="41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175"/>
    </row>
    <row r="384" spans="1:16" s="34" customFormat="1" x14ac:dyDescent="0.25">
      <c r="A384" s="83"/>
      <c r="B384" s="92"/>
      <c r="C384" s="92"/>
      <c r="D384" s="41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175"/>
    </row>
    <row r="385" spans="1:16" s="34" customFormat="1" x14ac:dyDescent="0.25">
      <c r="A385" s="83"/>
      <c r="B385" s="92"/>
      <c r="C385" s="92"/>
      <c r="D385" s="41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175"/>
    </row>
    <row r="386" spans="1:16" s="34" customFormat="1" x14ac:dyDescent="0.25">
      <c r="A386" s="83"/>
      <c r="B386" s="92"/>
      <c r="C386" s="92"/>
      <c r="D386" s="41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175"/>
    </row>
    <row r="387" spans="1:16" s="34" customFormat="1" x14ac:dyDescent="0.25">
      <c r="A387" s="83"/>
      <c r="B387" s="92"/>
      <c r="C387" s="92"/>
      <c r="D387" s="41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175"/>
    </row>
    <row r="388" spans="1:16" s="34" customFormat="1" x14ac:dyDescent="0.25">
      <c r="A388" s="83"/>
      <c r="B388" s="92"/>
      <c r="C388" s="92"/>
      <c r="D388" s="41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175"/>
    </row>
    <row r="389" spans="1:16" s="34" customFormat="1" x14ac:dyDescent="0.25">
      <c r="A389" s="83"/>
      <c r="B389" s="92"/>
      <c r="C389" s="92"/>
      <c r="D389" s="41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175"/>
    </row>
    <row r="390" spans="1:16" s="34" customFormat="1" x14ac:dyDescent="0.25">
      <c r="A390" s="83"/>
      <c r="B390" s="92"/>
      <c r="C390" s="92"/>
      <c r="D390" s="41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175"/>
    </row>
    <row r="391" spans="1:16" s="34" customFormat="1" x14ac:dyDescent="0.25">
      <c r="A391" s="83"/>
      <c r="B391" s="92"/>
      <c r="C391" s="92"/>
      <c r="D391" s="41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175"/>
    </row>
    <row r="392" spans="1:16" s="34" customFormat="1" x14ac:dyDescent="0.25">
      <c r="A392" s="83"/>
      <c r="B392" s="92"/>
      <c r="C392" s="92"/>
      <c r="D392" s="41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175"/>
    </row>
    <row r="393" spans="1:16" s="34" customFormat="1" x14ac:dyDescent="0.25">
      <c r="A393" s="83"/>
      <c r="B393" s="92"/>
      <c r="C393" s="92"/>
      <c r="D393" s="41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175"/>
    </row>
    <row r="394" spans="1:16" s="34" customFormat="1" x14ac:dyDescent="0.25">
      <c r="A394" s="83"/>
      <c r="B394" s="92"/>
      <c r="C394" s="92"/>
      <c r="D394" s="41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175"/>
    </row>
    <row r="395" spans="1:16" s="34" customFormat="1" x14ac:dyDescent="0.25">
      <c r="A395" s="83"/>
      <c r="B395" s="92"/>
      <c r="C395" s="92"/>
      <c r="D395" s="41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175"/>
    </row>
    <row r="396" spans="1:16" s="34" customFormat="1" x14ac:dyDescent="0.25">
      <c r="A396" s="83"/>
      <c r="B396" s="92"/>
      <c r="C396" s="92"/>
      <c r="D396" s="41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175"/>
    </row>
    <row r="397" spans="1:16" s="34" customFormat="1" x14ac:dyDescent="0.25">
      <c r="A397" s="83"/>
      <c r="B397" s="92"/>
      <c r="C397" s="92"/>
      <c r="D397" s="41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175"/>
    </row>
    <row r="398" spans="1:16" s="34" customFormat="1" x14ac:dyDescent="0.25">
      <c r="A398" s="83"/>
      <c r="B398" s="92"/>
      <c r="C398" s="92"/>
      <c r="D398" s="41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175"/>
    </row>
    <row r="399" spans="1:16" s="34" customFormat="1" x14ac:dyDescent="0.25">
      <c r="A399" s="83"/>
      <c r="B399" s="92"/>
      <c r="C399" s="92"/>
      <c r="D399" s="41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175"/>
    </row>
    <row r="400" spans="1:16" s="34" customFormat="1" x14ac:dyDescent="0.25">
      <c r="A400" s="83"/>
      <c r="B400" s="92"/>
      <c r="C400" s="92"/>
      <c r="D400" s="41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175"/>
    </row>
    <row r="401" spans="1:16" s="34" customFormat="1" x14ac:dyDescent="0.25">
      <c r="A401" s="83"/>
      <c r="B401" s="92"/>
      <c r="C401" s="92"/>
      <c r="D401" s="41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175"/>
    </row>
    <row r="402" spans="1:16" s="34" customFormat="1" x14ac:dyDescent="0.25">
      <c r="A402" s="83"/>
      <c r="B402" s="92"/>
      <c r="C402" s="92"/>
      <c r="D402" s="41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175"/>
    </row>
    <row r="403" spans="1:16" s="34" customFormat="1" x14ac:dyDescent="0.25">
      <c r="A403" s="83"/>
      <c r="B403" s="92"/>
      <c r="C403" s="92"/>
      <c r="D403" s="41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175"/>
    </row>
    <row r="404" spans="1:16" s="34" customFormat="1" x14ac:dyDescent="0.25">
      <c r="A404" s="83"/>
      <c r="B404" s="92"/>
      <c r="C404" s="92"/>
      <c r="D404" s="41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175"/>
    </row>
    <row r="405" spans="1:16" s="34" customFormat="1" x14ac:dyDescent="0.25">
      <c r="A405" s="83"/>
      <c r="B405" s="92"/>
      <c r="C405" s="92"/>
      <c r="D405" s="41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175"/>
    </row>
    <row r="406" spans="1:16" s="34" customFormat="1" x14ac:dyDescent="0.25">
      <c r="A406" s="83"/>
      <c r="B406" s="92"/>
      <c r="C406" s="92"/>
      <c r="D406" s="41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175"/>
    </row>
    <row r="407" spans="1:16" s="34" customFormat="1" x14ac:dyDescent="0.25">
      <c r="A407" s="83"/>
      <c r="B407" s="92"/>
      <c r="C407" s="92"/>
      <c r="D407" s="41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175"/>
    </row>
    <row r="408" spans="1:16" s="34" customFormat="1" x14ac:dyDescent="0.25">
      <c r="A408" s="83"/>
      <c r="B408" s="92"/>
      <c r="C408" s="92"/>
      <c r="D408" s="41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175"/>
    </row>
    <row r="409" spans="1:16" s="34" customFormat="1" x14ac:dyDescent="0.25">
      <c r="A409" s="83"/>
      <c r="B409" s="92"/>
      <c r="C409" s="92"/>
      <c r="D409" s="41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175"/>
    </row>
    <row r="410" spans="1:16" s="34" customFormat="1" x14ac:dyDescent="0.25">
      <c r="A410" s="83"/>
      <c r="B410" s="92"/>
      <c r="C410" s="92"/>
      <c r="D410" s="41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175"/>
    </row>
    <row r="411" spans="1:16" s="34" customFormat="1" x14ac:dyDescent="0.25">
      <c r="A411" s="83"/>
      <c r="B411" s="92"/>
      <c r="C411" s="92"/>
      <c r="D411" s="41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175"/>
    </row>
    <row r="412" spans="1:16" s="34" customFormat="1" x14ac:dyDescent="0.25">
      <c r="A412" s="83"/>
      <c r="B412" s="92"/>
      <c r="C412" s="92"/>
      <c r="D412" s="41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175"/>
    </row>
    <row r="413" spans="1:16" s="34" customFormat="1" x14ac:dyDescent="0.25">
      <c r="A413" s="83"/>
      <c r="B413" s="92"/>
      <c r="C413" s="92"/>
      <c r="D413" s="41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175"/>
    </row>
    <row r="414" spans="1:16" s="34" customFormat="1" x14ac:dyDescent="0.25">
      <c r="A414" s="83"/>
      <c r="B414" s="92"/>
      <c r="C414" s="92"/>
      <c r="D414" s="41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175"/>
    </row>
    <row r="415" spans="1:16" s="34" customFormat="1" x14ac:dyDescent="0.25">
      <c r="A415" s="83"/>
      <c r="B415" s="92"/>
      <c r="C415" s="92"/>
      <c r="D415" s="41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175"/>
    </row>
    <row r="416" spans="1:16" s="34" customFormat="1" x14ac:dyDescent="0.25">
      <c r="A416" s="83"/>
      <c r="B416" s="92"/>
      <c r="C416" s="92"/>
      <c r="D416" s="41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175"/>
    </row>
    <row r="417" spans="1:16" s="34" customFormat="1" x14ac:dyDescent="0.25">
      <c r="A417" s="83"/>
      <c r="B417" s="92"/>
      <c r="C417" s="92"/>
      <c r="D417" s="41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175"/>
    </row>
    <row r="418" spans="1:16" s="34" customFormat="1" x14ac:dyDescent="0.25">
      <c r="A418" s="83"/>
      <c r="B418" s="92"/>
      <c r="C418" s="92"/>
      <c r="D418" s="41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175"/>
    </row>
    <row r="419" spans="1:16" s="34" customFormat="1" x14ac:dyDescent="0.25">
      <c r="A419" s="83"/>
      <c r="B419" s="92"/>
      <c r="C419" s="92"/>
      <c r="D419" s="41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175"/>
    </row>
    <row r="420" spans="1:16" s="34" customFormat="1" x14ac:dyDescent="0.25">
      <c r="A420" s="83"/>
      <c r="B420" s="92"/>
      <c r="C420" s="92"/>
      <c r="D420" s="41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175"/>
    </row>
    <row r="421" spans="1:16" s="34" customFormat="1" x14ac:dyDescent="0.25">
      <c r="A421" s="83"/>
      <c r="B421" s="92"/>
      <c r="C421" s="92"/>
      <c r="D421" s="41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175"/>
    </row>
    <row r="422" spans="1:16" s="34" customFormat="1" x14ac:dyDescent="0.25">
      <c r="A422" s="83"/>
      <c r="B422" s="92"/>
      <c r="C422" s="92"/>
      <c r="D422" s="41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175"/>
    </row>
    <row r="423" spans="1:16" s="34" customFormat="1" x14ac:dyDescent="0.25">
      <c r="A423" s="83"/>
      <c r="B423" s="92"/>
      <c r="C423" s="92"/>
      <c r="D423" s="41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175"/>
    </row>
    <row r="424" spans="1:16" s="34" customFormat="1" x14ac:dyDescent="0.25">
      <c r="A424" s="83"/>
      <c r="B424" s="92"/>
      <c r="C424" s="92"/>
      <c r="D424" s="41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175"/>
    </row>
    <row r="425" spans="1:16" s="34" customFormat="1" x14ac:dyDescent="0.25">
      <c r="A425" s="83"/>
      <c r="B425" s="92"/>
      <c r="C425" s="92"/>
      <c r="D425" s="41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175"/>
    </row>
    <row r="426" spans="1:16" s="34" customFormat="1" x14ac:dyDescent="0.25">
      <c r="A426" s="83"/>
      <c r="B426" s="92"/>
      <c r="C426" s="92"/>
      <c r="D426" s="41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175"/>
    </row>
    <row r="427" spans="1:16" s="34" customFormat="1" x14ac:dyDescent="0.25">
      <c r="A427" s="83"/>
      <c r="B427" s="92"/>
      <c r="C427" s="92"/>
      <c r="D427" s="41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175"/>
    </row>
    <row r="428" spans="1:16" s="34" customFormat="1" x14ac:dyDescent="0.25">
      <c r="A428" s="83"/>
      <c r="B428" s="92"/>
      <c r="C428" s="92"/>
      <c r="D428" s="41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175"/>
    </row>
    <row r="429" spans="1:16" s="34" customFormat="1" x14ac:dyDescent="0.25">
      <c r="A429" s="83"/>
      <c r="B429" s="92"/>
      <c r="C429" s="92"/>
      <c r="D429" s="41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175"/>
    </row>
    <row r="430" spans="1:16" s="34" customFormat="1" x14ac:dyDescent="0.25">
      <c r="A430" s="83"/>
      <c r="B430" s="92"/>
      <c r="C430" s="92"/>
      <c r="D430" s="41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175"/>
    </row>
    <row r="431" spans="1:16" s="34" customFormat="1" x14ac:dyDescent="0.25">
      <c r="A431" s="83"/>
      <c r="B431" s="92"/>
      <c r="C431" s="92"/>
      <c r="D431" s="41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175"/>
    </row>
    <row r="432" spans="1:16" s="34" customFormat="1" x14ac:dyDescent="0.25">
      <c r="A432" s="83"/>
      <c r="B432" s="92"/>
      <c r="C432" s="92"/>
      <c r="D432" s="41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175"/>
    </row>
    <row r="433" spans="1:16" s="34" customFormat="1" x14ac:dyDescent="0.25">
      <c r="A433" s="83"/>
      <c r="B433" s="92"/>
      <c r="C433" s="92"/>
      <c r="D433" s="41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175"/>
    </row>
    <row r="434" spans="1:16" s="34" customFormat="1" x14ac:dyDescent="0.25">
      <c r="A434" s="83"/>
      <c r="B434" s="92"/>
      <c r="C434" s="92"/>
      <c r="D434" s="41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175"/>
    </row>
    <row r="435" spans="1:16" s="34" customFormat="1" x14ac:dyDescent="0.25">
      <c r="A435" s="83"/>
      <c r="B435" s="92"/>
      <c r="C435" s="92"/>
      <c r="D435" s="41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175"/>
    </row>
    <row r="436" spans="1:16" s="34" customFormat="1" x14ac:dyDescent="0.25">
      <c r="A436" s="83"/>
      <c r="B436" s="92"/>
      <c r="C436" s="92"/>
      <c r="D436" s="41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175"/>
    </row>
    <row r="437" spans="1:16" s="34" customFormat="1" x14ac:dyDescent="0.25">
      <c r="A437" s="83"/>
      <c r="B437" s="92"/>
      <c r="C437" s="92"/>
      <c r="D437" s="41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175"/>
    </row>
    <row r="438" spans="1:16" s="34" customFormat="1" x14ac:dyDescent="0.25">
      <c r="A438" s="83"/>
      <c r="B438" s="92"/>
      <c r="C438" s="92"/>
      <c r="D438" s="41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175"/>
    </row>
    <row r="439" spans="1:16" s="34" customFormat="1" x14ac:dyDescent="0.25">
      <c r="A439" s="83"/>
      <c r="B439" s="92"/>
      <c r="C439" s="92"/>
      <c r="D439" s="41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175"/>
    </row>
    <row r="440" spans="1:16" s="34" customFormat="1" x14ac:dyDescent="0.25">
      <c r="A440" s="83"/>
      <c r="B440" s="92"/>
      <c r="C440" s="92"/>
      <c r="D440" s="41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175"/>
    </row>
    <row r="441" spans="1:16" s="34" customFormat="1" x14ac:dyDescent="0.25">
      <c r="A441" s="83"/>
      <c r="B441" s="92"/>
      <c r="C441" s="92"/>
      <c r="D441" s="41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175"/>
    </row>
    <row r="442" spans="1:16" s="34" customFormat="1" x14ac:dyDescent="0.25">
      <c r="A442" s="83"/>
      <c r="B442" s="92"/>
      <c r="C442" s="92"/>
      <c r="D442" s="41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175"/>
    </row>
    <row r="443" spans="1:16" s="34" customFormat="1" x14ac:dyDescent="0.25">
      <c r="A443" s="83"/>
      <c r="B443" s="92"/>
      <c r="C443" s="92"/>
      <c r="D443" s="41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175"/>
    </row>
    <row r="444" spans="1:16" s="34" customFormat="1" x14ac:dyDescent="0.25">
      <c r="A444" s="83"/>
      <c r="B444" s="92"/>
      <c r="C444" s="92"/>
      <c r="D444" s="41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175"/>
    </row>
    <row r="445" spans="1:16" s="34" customFormat="1" x14ac:dyDescent="0.25">
      <c r="A445" s="83"/>
      <c r="B445" s="92"/>
      <c r="C445" s="92"/>
      <c r="D445" s="41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175"/>
    </row>
    <row r="446" spans="1:16" s="34" customFormat="1" x14ac:dyDescent="0.25">
      <c r="A446" s="83"/>
      <c r="B446" s="92"/>
      <c r="C446" s="92"/>
      <c r="D446" s="41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175"/>
    </row>
    <row r="447" spans="1:16" s="34" customFormat="1" x14ac:dyDescent="0.25">
      <c r="A447" s="83"/>
      <c r="B447" s="92"/>
      <c r="C447" s="92"/>
      <c r="D447" s="41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175"/>
    </row>
    <row r="448" spans="1:16" s="34" customFormat="1" x14ac:dyDescent="0.25">
      <c r="A448" s="83"/>
      <c r="B448" s="92"/>
      <c r="C448" s="92"/>
      <c r="D448" s="41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175"/>
    </row>
    <row r="449" spans="1:16" s="34" customFormat="1" x14ac:dyDescent="0.25">
      <c r="A449" s="83"/>
      <c r="B449" s="92"/>
      <c r="C449" s="92"/>
      <c r="D449" s="41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175"/>
    </row>
    <row r="450" spans="1:16" s="34" customFormat="1" x14ac:dyDescent="0.25">
      <c r="A450" s="83"/>
      <c r="B450" s="92"/>
      <c r="C450" s="92"/>
      <c r="D450" s="41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175"/>
    </row>
    <row r="451" spans="1:16" s="34" customFormat="1" x14ac:dyDescent="0.25">
      <c r="A451" s="83"/>
      <c r="B451" s="92"/>
      <c r="C451" s="92"/>
      <c r="D451" s="41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175"/>
    </row>
    <row r="452" spans="1:16" s="34" customFormat="1" x14ac:dyDescent="0.25">
      <c r="A452" s="83"/>
      <c r="B452" s="92"/>
      <c r="C452" s="92"/>
      <c r="D452" s="41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175"/>
    </row>
    <row r="453" spans="1:16" s="34" customFormat="1" x14ac:dyDescent="0.25">
      <c r="A453" s="83"/>
      <c r="B453" s="92"/>
      <c r="C453" s="92"/>
      <c r="D453" s="41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175"/>
    </row>
    <row r="454" spans="1:16" s="34" customFormat="1" x14ac:dyDescent="0.25">
      <c r="A454" s="83"/>
      <c r="B454" s="92"/>
      <c r="C454" s="92"/>
      <c r="D454" s="41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175"/>
    </row>
    <row r="455" spans="1:16" s="34" customFormat="1" x14ac:dyDescent="0.25">
      <c r="A455" s="83"/>
      <c r="B455" s="92"/>
      <c r="C455" s="92"/>
      <c r="D455" s="41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175"/>
    </row>
    <row r="456" spans="1:16" s="34" customFormat="1" x14ac:dyDescent="0.25">
      <c r="A456" s="83"/>
      <c r="B456" s="92"/>
      <c r="C456" s="92"/>
      <c r="D456" s="41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175"/>
    </row>
    <row r="457" spans="1:16" s="34" customFormat="1" x14ac:dyDescent="0.25">
      <c r="A457" s="83"/>
      <c r="B457" s="92"/>
      <c r="C457" s="92"/>
      <c r="D457" s="41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175"/>
    </row>
    <row r="458" spans="1:16" s="34" customFormat="1" x14ac:dyDescent="0.25">
      <c r="A458" s="83"/>
      <c r="B458" s="92"/>
      <c r="C458" s="92"/>
      <c r="D458" s="41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175"/>
    </row>
    <row r="459" spans="1:16" s="34" customFormat="1" x14ac:dyDescent="0.25">
      <c r="A459" s="83"/>
      <c r="B459" s="92"/>
      <c r="C459" s="92"/>
      <c r="D459" s="41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175"/>
    </row>
    <row r="460" spans="1:16" s="34" customFormat="1" x14ac:dyDescent="0.25">
      <c r="A460" s="83"/>
      <c r="B460" s="92"/>
      <c r="C460" s="92"/>
      <c r="D460" s="41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175"/>
    </row>
    <row r="461" spans="1:16" s="34" customFormat="1" x14ac:dyDescent="0.25">
      <c r="A461" s="83"/>
      <c r="B461" s="92"/>
      <c r="C461" s="92"/>
      <c r="D461" s="41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175"/>
    </row>
    <row r="462" spans="1:16" s="34" customFormat="1" x14ac:dyDescent="0.25">
      <c r="A462" s="83"/>
      <c r="B462" s="92"/>
      <c r="C462" s="92"/>
      <c r="D462" s="41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175"/>
    </row>
    <row r="463" spans="1:16" s="34" customFormat="1" x14ac:dyDescent="0.25">
      <c r="A463" s="83"/>
      <c r="B463" s="92"/>
      <c r="C463" s="92"/>
      <c r="D463" s="41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175"/>
    </row>
    <row r="464" spans="1:16" s="34" customFormat="1" x14ac:dyDescent="0.25">
      <c r="A464" s="83"/>
      <c r="B464" s="92"/>
      <c r="C464" s="92"/>
      <c r="D464" s="41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175"/>
    </row>
    <row r="465" spans="1:16" s="34" customFormat="1" x14ac:dyDescent="0.25">
      <c r="A465" s="83"/>
      <c r="B465" s="92"/>
      <c r="C465" s="92"/>
      <c r="D465" s="41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175"/>
    </row>
    <row r="466" spans="1:16" s="34" customFormat="1" x14ac:dyDescent="0.25">
      <c r="A466" s="83"/>
      <c r="B466" s="92"/>
      <c r="C466" s="92"/>
      <c r="D466" s="41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175"/>
    </row>
    <row r="467" spans="1:16" s="34" customFormat="1" x14ac:dyDescent="0.25">
      <c r="A467" s="83"/>
      <c r="B467" s="92"/>
      <c r="C467" s="92"/>
      <c r="D467" s="41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175"/>
    </row>
    <row r="468" spans="1:16" s="34" customFormat="1" x14ac:dyDescent="0.25">
      <c r="A468" s="83"/>
      <c r="B468" s="92"/>
      <c r="C468" s="92"/>
      <c r="D468" s="41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175"/>
    </row>
    <row r="469" spans="1:16" s="34" customFormat="1" x14ac:dyDescent="0.25">
      <c r="A469" s="83"/>
      <c r="B469" s="92"/>
      <c r="C469" s="92"/>
      <c r="D469" s="41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175"/>
    </row>
    <row r="470" spans="1:16" s="34" customFormat="1" x14ac:dyDescent="0.25">
      <c r="A470" s="83"/>
      <c r="B470" s="92"/>
      <c r="C470" s="92"/>
      <c r="D470" s="41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175"/>
    </row>
    <row r="471" spans="1:16" s="34" customFormat="1" x14ac:dyDescent="0.25">
      <c r="A471" s="83"/>
      <c r="B471" s="92"/>
      <c r="C471" s="92"/>
      <c r="D471" s="41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175"/>
    </row>
    <row r="472" spans="1:16" s="34" customFormat="1" x14ac:dyDescent="0.25">
      <c r="A472" s="83"/>
      <c r="B472" s="92"/>
      <c r="C472" s="92"/>
      <c r="D472" s="41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175"/>
    </row>
    <row r="473" spans="1:16" s="34" customFormat="1" x14ac:dyDescent="0.25">
      <c r="A473" s="83"/>
      <c r="B473" s="92"/>
      <c r="C473" s="92"/>
      <c r="D473" s="41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175"/>
    </row>
    <row r="474" spans="1:16" s="34" customFormat="1" x14ac:dyDescent="0.25">
      <c r="A474" s="83"/>
      <c r="B474" s="92"/>
      <c r="C474" s="92"/>
      <c r="D474" s="41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175"/>
    </row>
    <row r="475" spans="1:16" s="34" customFormat="1" x14ac:dyDescent="0.25">
      <c r="A475" s="83"/>
      <c r="B475" s="92"/>
      <c r="C475" s="92"/>
      <c r="D475" s="41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175"/>
    </row>
    <row r="476" spans="1:16" s="34" customFormat="1" x14ac:dyDescent="0.25">
      <c r="A476" s="83"/>
      <c r="B476" s="92"/>
      <c r="C476" s="92"/>
      <c r="D476" s="41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175"/>
    </row>
    <row r="477" spans="1:16" s="34" customFormat="1" x14ac:dyDescent="0.25">
      <c r="A477" s="83"/>
      <c r="B477" s="92"/>
      <c r="C477" s="92"/>
      <c r="D477" s="41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175"/>
    </row>
    <row r="478" spans="1:16" s="34" customFormat="1" x14ac:dyDescent="0.25">
      <c r="A478" s="83"/>
      <c r="B478" s="92"/>
      <c r="C478" s="92"/>
      <c r="D478" s="41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175"/>
    </row>
    <row r="479" spans="1:16" s="34" customFormat="1" x14ac:dyDescent="0.25">
      <c r="A479" s="83"/>
      <c r="B479" s="92"/>
      <c r="C479" s="92"/>
      <c r="D479" s="41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175"/>
    </row>
    <row r="480" spans="1:16" s="34" customFormat="1" x14ac:dyDescent="0.25">
      <c r="A480" s="83"/>
      <c r="B480" s="92"/>
      <c r="C480" s="92"/>
      <c r="D480" s="41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175"/>
    </row>
    <row r="481" spans="1:16" s="34" customFormat="1" x14ac:dyDescent="0.25">
      <c r="A481" s="83"/>
      <c r="B481" s="92"/>
      <c r="C481" s="92"/>
      <c r="D481" s="41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175"/>
    </row>
    <row r="482" spans="1:16" s="34" customFormat="1" x14ac:dyDescent="0.25">
      <c r="A482" s="83"/>
      <c r="B482" s="92"/>
      <c r="C482" s="92"/>
      <c r="D482" s="41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175"/>
    </row>
    <row r="483" spans="1:16" s="34" customFormat="1" x14ac:dyDescent="0.25">
      <c r="A483" s="83"/>
      <c r="B483" s="92"/>
      <c r="C483" s="92"/>
      <c r="D483" s="41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175"/>
    </row>
    <row r="484" spans="1:16" s="34" customFormat="1" x14ac:dyDescent="0.25">
      <c r="A484" s="83"/>
      <c r="B484" s="92"/>
      <c r="C484" s="92"/>
      <c r="D484" s="41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175"/>
    </row>
    <row r="485" spans="1:16" s="34" customFormat="1" x14ac:dyDescent="0.25">
      <c r="A485" s="83"/>
      <c r="B485" s="92"/>
      <c r="C485" s="92"/>
      <c r="D485" s="41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175"/>
    </row>
    <row r="486" spans="1:16" s="34" customFormat="1" x14ac:dyDescent="0.25">
      <c r="A486" s="83"/>
      <c r="B486" s="92"/>
      <c r="C486" s="92"/>
      <c r="D486" s="41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175"/>
    </row>
    <row r="487" spans="1:16" s="34" customFormat="1" x14ac:dyDescent="0.25">
      <c r="A487" s="83"/>
      <c r="B487" s="92"/>
      <c r="C487" s="92"/>
      <c r="D487" s="41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175"/>
    </row>
    <row r="488" spans="1:16" s="34" customFormat="1" x14ac:dyDescent="0.25">
      <c r="A488" s="83"/>
      <c r="B488" s="92"/>
      <c r="C488" s="92"/>
      <c r="D488" s="41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175"/>
    </row>
    <row r="489" spans="1:16" s="34" customFormat="1" x14ac:dyDescent="0.25">
      <c r="A489" s="83"/>
      <c r="B489" s="92"/>
      <c r="C489" s="92"/>
      <c r="D489" s="41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175"/>
    </row>
    <row r="490" spans="1:16" s="34" customFormat="1" x14ac:dyDescent="0.25">
      <c r="A490" s="83"/>
      <c r="B490" s="92"/>
      <c r="C490" s="92"/>
      <c r="D490" s="41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175"/>
    </row>
    <row r="491" spans="1:16" s="34" customFormat="1" x14ac:dyDescent="0.25">
      <c r="A491" s="83"/>
      <c r="B491" s="92"/>
      <c r="C491" s="92"/>
      <c r="D491" s="41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175"/>
    </row>
    <row r="492" spans="1:16" s="34" customFormat="1" x14ac:dyDescent="0.25">
      <c r="A492" s="83"/>
      <c r="B492" s="92"/>
      <c r="C492" s="92"/>
      <c r="D492" s="41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175"/>
    </row>
    <row r="493" spans="1:16" s="34" customFormat="1" x14ac:dyDescent="0.25">
      <c r="A493" s="83"/>
      <c r="B493" s="92"/>
      <c r="C493" s="92"/>
      <c r="D493" s="41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175"/>
    </row>
    <row r="494" spans="1:16" s="34" customFormat="1" x14ac:dyDescent="0.25">
      <c r="A494" s="83"/>
      <c r="B494" s="92"/>
      <c r="C494" s="92"/>
      <c r="D494" s="41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175"/>
    </row>
    <row r="495" spans="1:16" s="34" customFormat="1" x14ac:dyDescent="0.25">
      <c r="A495" s="83"/>
      <c r="B495" s="92"/>
      <c r="C495" s="92"/>
      <c r="D495" s="41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175"/>
    </row>
    <row r="496" spans="1:16" s="34" customFormat="1" x14ac:dyDescent="0.25">
      <c r="A496" s="83"/>
      <c r="B496" s="92"/>
      <c r="C496" s="92"/>
      <c r="D496" s="41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175"/>
    </row>
    <row r="497" spans="1:16" s="34" customFormat="1" x14ac:dyDescent="0.25">
      <c r="A497" s="83"/>
      <c r="B497" s="92"/>
      <c r="C497" s="92"/>
      <c r="D497" s="41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175"/>
    </row>
    <row r="498" spans="1:16" s="34" customFormat="1" x14ac:dyDescent="0.25">
      <c r="A498" s="83"/>
      <c r="B498" s="92"/>
      <c r="C498" s="92"/>
      <c r="D498" s="41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175"/>
    </row>
    <row r="499" spans="1:16" s="34" customFormat="1" x14ac:dyDescent="0.25">
      <c r="A499" s="83"/>
      <c r="B499" s="92"/>
      <c r="C499" s="92"/>
      <c r="D499" s="41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175"/>
    </row>
    <row r="500" spans="1:16" s="34" customFormat="1" x14ac:dyDescent="0.25">
      <c r="A500" s="83"/>
      <c r="B500" s="92"/>
      <c r="C500" s="92"/>
      <c r="D500" s="41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175"/>
    </row>
    <row r="501" spans="1:16" s="34" customFormat="1" x14ac:dyDescent="0.25">
      <c r="A501" s="83"/>
      <c r="B501" s="92"/>
      <c r="C501" s="92"/>
      <c r="D501" s="41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175"/>
    </row>
    <row r="502" spans="1:16" s="34" customFormat="1" x14ac:dyDescent="0.25">
      <c r="A502" s="83"/>
      <c r="B502" s="92"/>
      <c r="C502" s="92"/>
      <c r="D502" s="41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175"/>
    </row>
    <row r="503" spans="1:16" s="34" customFormat="1" x14ac:dyDescent="0.25">
      <c r="A503" s="83"/>
      <c r="B503" s="92"/>
      <c r="C503" s="92"/>
      <c r="D503" s="41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175"/>
    </row>
    <row r="504" spans="1:16" s="34" customFormat="1" x14ac:dyDescent="0.25">
      <c r="A504" s="83"/>
      <c r="B504" s="92"/>
      <c r="C504" s="92"/>
      <c r="D504" s="41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175"/>
    </row>
    <row r="505" spans="1:16" s="34" customFormat="1" x14ac:dyDescent="0.25">
      <c r="A505" s="83"/>
      <c r="B505" s="92"/>
      <c r="C505" s="92"/>
      <c r="D505" s="41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175"/>
    </row>
    <row r="506" spans="1:16" s="34" customFormat="1" x14ac:dyDescent="0.25">
      <c r="A506" s="83"/>
      <c r="B506" s="92"/>
      <c r="C506" s="92"/>
      <c r="D506" s="41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175"/>
    </row>
    <row r="507" spans="1:16" s="34" customFormat="1" x14ac:dyDescent="0.25">
      <c r="A507" s="83"/>
      <c r="B507" s="92"/>
      <c r="C507" s="92"/>
      <c r="D507" s="41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175"/>
    </row>
    <row r="508" spans="1:16" s="34" customFormat="1" x14ac:dyDescent="0.25">
      <c r="A508" s="83"/>
      <c r="B508" s="92"/>
      <c r="C508" s="92"/>
      <c r="D508" s="41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175"/>
    </row>
    <row r="509" spans="1:16" s="34" customFormat="1" x14ac:dyDescent="0.25">
      <c r="A509" s="83"/>
      <c r="B509" s="92"/>
      <c r="C509" s="92"/>
      <c r="D509" s="41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175"/>
    </row>
    <row r="510" spans="1:16" s="34" customFormat="1" x14ac:dyDescent="0.25">
      <c r="A510" s="83"/>
      <c r="B510" s="92"/>
      <c r="C510" s="92"/>
      <c r="D510" s="41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175"/>
    </row>
    <row r="511" spans="1:16" s="34" customFormat="1" x14ac:dyDescent="0.25">
      <c r="A511" s="83"/>
      <c r="B511" s="92"/>
      <c r="C511" s="92"/>
      <c r="D511" s="41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175"/>
    </row>
    <row r="512" spans="1:16" s="34" customFormat="1" x14ac:dyDescent="0.25">
      <c r="A512" s="83"/>
      <c r="B512" s="92"/>
      <c r="C512" s="92"/>
      <c r="D512" s="41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175"/>
    </row>
    <row r="513" spans="1:16" s="34" customFormat="1" x14ac:dyDescent="0.25">
      <c r="A513" s="83"/>
      <c r="B513" s="92"/>
      <c r="C513" s="92"/>
      <c r="D513" s="41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175"/>
    </row>
    <row r="514" spans="1:16" s="34" customFormat="1" x14ac:dyDescent="0.25">
      <c r="A514" s="83"/>
      <c r="B514" s="92"/>
      <c r="C514" s="92"/>
      <c r="D514" s="41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175"/>
    </row>
    <row r="515" spans="1:16" s="34" customFormat="1" x14ac:dyDescent="0.25">
      <c r="A515" s="83"/>
      <c r="B515" s="92"/>
      <c r="C515" s="92"/>
      <c r="D515" s="41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175"/>
    </row>
    <row r="516" spans="1:16" s="34" customFormat="1" x14ac:dyDescent="0.25">
      <c r="A516" s="83"/>
      <c r="B516" s="92"/>
      <c r="C516" s="92"/>
      <c r="D516" s="41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175"/>
    </row>
    <row r="517" spans="1:16" s="34" customFormat="1" x14ac:dyDescent="0.25">
      <c r="A517" s="83"/>
      <c r="B517" s="92"/>
      <c r="C517" s="92"/>
      <c r="D517" s="41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175"/>
    </row>
    <row r="518" spans="1:16" s="34" customFormat="1" x14ac:dyDescent="0.25">
      <c r="A518" s="83"/>
      <c r="B518" s="92"/>
      <c r="C518" s="92"/>
      <c r="D518" s="41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175"/>
    </row>
    <row r="519" spans="1:16" s="34" customFormat="1" x14ac:dyDescent="0.25">
      <c r="A519" s="83"/>
      <c r="B519" s="92"/>
      <c r="C519" s="92"/>
      <c r="D519" s="41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175"/>
    </row>
    <row r="520" spans="1:16" s="34" customFormat="1" x14ac:dyDescent="0.25">
      <c r="A520" s="83"/>
      <c r="B520" s="92"/>
      <c r="C520" s="92"/>
      <c r="D520" s="41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175"/>
    </row>
    <row r="521" spans="1:16" s="34" customFormat="1" x14ac:dyDescent="0.25">
      <c r="A521" s="83"/>
      <c r="B521" s="92"/>
      <c r="C521" s="92"/>
      <c r="D521" s="41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175"/>
    </row>
    <row r="522" spans="1:16" s="34" customFormat="1" x14ac:dyDescent="0.25">
      <c r="A522" s="83"/>
      <c r="B522" s="92"/>
      <c r="C522" s="92"/>
      <c r="D522" s="41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175"/>
    </row>
    <row r="523" spans="1:16" s="34" customFormat="1" x14ac:dyDescent="0.25">
      <c r="A523" s="83"/>
      <c r="B523" s="92"/>
      <c r="C523" s="92"/>
      <c r="D523" s="41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175"/>
    </row>
    <row r="524" spans="1:16" s="34" customFormat="1" x14ac:dyDescent="0.25">
      <c r="A524" s="83"/>
      <c r="B524" s="92"/>
      <c r="C524" s="92"/>
      <c r="D524" s="41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175"/>
    </row>
    <row r="525" spans="1:16" s="34" customFormat="1" x14ac:dyDescent="0.25">
      <c r="A525" s="83"/>
      <c r="B525" s="92"/>
      <c r="C525" s="92"/>
      <c r="D525" s="41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175"/>
    </row>
    <row r="526" spans="1:16" s="34" customFormat="1" x14ac:dyDescent="0.25">
      <c r="A526" s="83"/>
      <c r="B526" s="92"/>
      <c r="C526" s="92"/>
      <c r="D526" s="41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175"/>
    </row>
    <row r="527" spans="1:16" s="34" customFormat="1" x14ac:dyDescent="0.25">
      <c r="A527" s="83"/>
      <c r="B527" s="92"/>
      <c r="C527" s="92"/>
      <c r="D527" s="41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175"/>
    </row>
    <row r="528" spans="1:16" s="34" customFormat="1" x14ac:dyDescent="0.25">
      <c r="A528" s="83"/>
      <c r="B528" s="92"/>
      <c r="C528" s="92"/>
      <c r="D528" s="41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175"/>
    </row>
    <row r="529" spans="1:16" s="34" customFormat="1" x14ac:dyDescent="0.25">
      <c r="A529" s="83"/>
      <c r="B529" s="92"/>
      <c r="C529" s="92"/>
      <c r="D529" s="41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175"/>
    </row>
    <row r="530" spans="1:16" s="34" customFormat="1" x14ac:dyDescent="0.25">
      <c r="A530" s="83"/>
      <c r="B530" s="92"/>
      <c r="C530" s="92"/>
      <c r="D530" s="41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175"/>
    </row>
    <row r="531" spans="1:16" s="34" customFormat="1" x14ac:dyDescent="0.25">
      <c r="A531" s="83"/>
      <c r="B531" s="92"/>
      <c r="C531" s="92"/>
      <c r="D531" s="41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175"/>
    </row>
    <row r="532" spans="1:16" s="34" customFormat="1" x14ac:dyDescent="0.25">
      <c r="A532" s="83"/>
      <c r="B532" s="92"/>
      <c r="C532" s="92"/>
      <c r="D532" s="41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175"/>
    </row>
    <row r="533" spans="1:16" s="34" customFormat="1" x14ac:dyDescent="0.25">
      <c r="A533" s="83"/>
      <c r="B533" s="92"/>
      <c r="C533" s="92"/>
      <c r="D533" s="41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175"/>
    </row>
    <row r="534" spans="1:16" s="34" customFormat="1" x14ac:dyDescent="0.25">
      <c r="A534" s="83"/>
      <c r="B534" s="92"/>
      <c r="C534" s="92"/>
      <c r="D534" s="41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175"/>
    </row>
    <row r="535" spans="1:16" s="34" customFormat="1" x14ac:dyDescent="0.25">
      <c r="A535" s="83"/>
      <c r="B535" s="92"/>
      <c r="C535" s="92"/>
      <c r="D535" s="41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175"/>
    </row>
    <row r="536" spans="1:16" s="34" customFormat="1" x14ac:dyDescent="0.25">
      <c r="A536" s="83"/>
      <c r="B536" s="92"/>
      <c r="C536" s="92"/>
      <c r="D536" s="41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175"/>
    </row>
    <row r="537" spans="1:16" s="34" customFormat="1" x14ac:dyDescent="0.25">
      <c r="A537" s="83"/>
      <c r="B537" s="92"/>
      <c r="C537" s="92"/>
      <c r="D537" s="41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175"/>
    </row>
    <row r="538" spans="1:16" s="34" customFormat="1" x14ac:dyDescent="0.25">
      <c r="A538" s="83"/>
      <c r="B538" s="92"/>
      <c r="C538" s="92"/>
      <c r="D538" s="41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175"/>
    </row>
    <row r="539" spans="1:16" s="34" customFormat="1" x14ac:dyDescent="0.25">
      <c r="A539" s="83"/>
      <c r="B539" s="92"/>
      <c r="C539" s="92"/>
      <c r="D539" s="41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175"/>
    </row>
    <row r="540" spans="1:16" s="34" customFormat="1" x14ac:dyDescent="0.25">
      <c r="A540" s="83"/>
      <c r="B540" s="92"/>
      <c r="C540" s="92"/>
      <c r="D540" s="41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175"/>
    </row>
    <row r="541" spans="1:16" s="34" customFormat="1" x14ac:dyDescent="0.25">
      <c r="A541" s="83"/>
      <c r="B541" s="92"/>
      <c r="C541" s="92"/>
      <c r="D541" s="41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175"/>
    </row>
    <row r="542" spans="1:16" s="34" customFormat="1" x14ac:dyDescent="0.25">
      <c r="A542" s="83"/>
      <c r="B542" s="92"/>
      <c r="C542" s="92"/>
      <c r="D542" s="41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175"/>
    </row>
    <row r="543" spans="1:16" s="34" customFormat="1" x14ac:dyDescent="0.25">
      <c r="A543" s="83"/>
      <c r="B543" s="92"/>
      <c r="C543" s="92"/>
      <c r="D543" s="41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175"/>
    </row>
    <row r="544" spans="1:16" s="34" customFormat="1" x14ac:dyDescent="0.25">
      <c r="A544" s="83"/>
      <c r="B544" s="92"/>
      <c r="C544" s="92"/>
      <c r="D544" s="41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175"/>
    </row>
    <row r="545" spans="1:16" s="34" customFormat="1" x14ac:dyDescent="0.25">
      <c r="A545" s="83"/>
      <c r="B545" s="92"/>
      <c r="C545" s="92"/>
      <c r="D545" s="41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175"/>
    </row>
    <row r="546" spans="1:16" s="34" customFormat="1" x14ac:dyDescent="0.25">
      <c r="A546" s="83"/>
      <c r="B546" s="92"/>
      <c r="C546" s="92"/>
      <c r="D546" s="41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175"/>
    </row>
    <row r="547" spans="1:16" s="34" customFormat="1" x14ac:dyDescent="0.25">
      <c r="A547" s="83"/>
      <c r="B547" s="92"/>
      <c r="C547" s="92"/>
      <c r="D547" s="41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175"/>
    </row>
    <row r="548" spans="1:16" s="34" customFormat="1" x14ac:dyDescent="0.25">
      <c r="A548" s="83"/>
      <c r="B548" s="92"/>
      <c r="C548" s="92"/>
      <c r="D548" s="41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175"/>
    </row>
    <row r="549" spans="1:16" s="34" customFormat="1" x14ac:dyDescent="0.25">
      <c r="A549" s="83"/>
      <c r="B549" s="92"/>
      <c r="C549" s="92"/>
      <c r="D549" s="41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175"/>
    </row>
    <row r="550" spans="1:16" s="34" customFormat="1" x14ac:dyDescent="0.25">
      <c r="A550" s="83"/>
      <c r="B550" s="92"/>
      <c r="C550" s="92"/>
      <c r="D550" s="41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175"/>
    </row>
    <row r="551" spans="1:16" s="34" customFormat="1" x14ac:dyDescent="0.25">
      <c r="A551" s="83"/>
      <c r="B551" s="92"/>
      <c r="C551" s="92"/>
      <c r="D551" s="41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175"/>
    </row>
    <row r="552" spans="1:16" s="34" customFormat="1" x14ac:dyDescent="0.25">
      <c r="A552" s="83"/>
      <c r="B552" s="92"/>
      <c r="C552" s="92"/>
      <c r="D552" s="41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175"/>
    </row>
    <row r="553" spans="1:16" s="34" customFormat="1" x14ac:dyDescent="0.25">
      <c r="A553" s="83"/>
      <c r="B553" s="92"/>
      <c r="C553" s="92"/>
      <c r="D553" s="41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175"/>
    </row>
    <row r="554" spans="1:16" s="34" customFormat="1" x14ac:dyDescent="0.25">
      <c r="A554" s="83"/>
      <c r="B554" s="92"/>
      <c r="C554" s="92"/>
      <c r="D554" s="41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175"/>
    </row>
    <row r="555" spans="1:16" s="34" customFormat="1" x14ac:dyDescent="0.25">
      <c r="A555" s="83"/>
      <c r="B555" s="92"/>
      <c r="C555" s="92"/>
      <c r="D555" s="41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175"/>
    </row>
    <row r="556" spans="1:16" s="34" customFormat="1" x14ac:dyDescent="0.25">
      <c r="A556" s="83"/>
      <c r="B556" s="92"/>
      <c r="C556" s="92"/>
      <c r="D556" s="41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175"/>
    </row>
    <row r="557" spans="1:16" s="34" customFormat="1" x14ac:dyDescent="0.25">
      <c r="A557" s="83"/>
      <c r="B557" s="92"/>
      <c r="C557" s="92"/>
      <c r="D557" s="41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175"/>
    </row>
    <row r="558" spans="1:16" s="34" customFormat="1" x14ac:dyDescent="0.25">
      <c r="A558" s="83"/>
      <c r="B558" s="92"/>
      <c r="C558" s="92"/>
      <c r="D558" s="41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175"/>
    </row>
    <row r="559" spans="1:16" s="34" customFormat="1" x14ac:dyDescent="0.25">
      <c r="A559" s="83"/>
      <c r="B559" s="92"/>
      <c r="C559" s="92"/>
      <c r="D559" s="41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175"/>
    </row>
    <row r="560" spans="1:16" s="34" customFormat="1" x14ac:dyDescent="0.25">
      <c r="A560" s="83"/>
      <c r="B560" s="92"/>
      <c r="C560" s="92"/>
      <c r="D560" s="41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175"/>
    </row>
    <row r="561" spans="1:16" s="34" customFormat="1" x14ac:dyDescent="0.25">
      <c r="A561" s="83"/>
      <c r="B561" s="92"/>
      <c r="C561" s="92"/>
      <c r="D561" s="41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175"/>
    </row>
    <row r="562" spans="1:16" s="34" customFormat="1" x14ac:dyDescent="0.25">
      <c r="A562" s="83"/>
      <c r="B562" s="92"/>
      <c r="C562" s="92"/>
      <c r="D562" s="41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175"/>
    </row>
    <row r="563" spans="1:16" s="34" customFormat="1" x14ac:dyDescent="0.25">
      <c r="A563" s="83"/>
      <c r="B563" s="92"/>
      <c r="C563" s="92"/>
      <c r="D563" s="41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175"/>
    </row>
    <row r="564" spans="1:16" s="34" customFormat="1" x14ac:dyDescent="0.25">
      <c r="A564" s="83"/>
      <c r="B564" s="92"/>
      <c r="C564" s="92"/>
      <c r="D564" s="41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175"/>
    </row>
    <row r="565" spans="1:16" s="34" customFormat="1" x14ac:dyDescent="0.25">
      <c r="A565" s="83"/>
      <c r="B565" s="92"/>
      <c r="C565" s="92"/>
      <c r="D565" s="41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175"/>
    </row>
    <row r="566" spans="1:16" s="34" customFormat="1" x14ac:dyDescent="0.25">
      <c r="A566" s="83"/>
      <c r="B566" s="92"/>
      <c r="C566" s="92"/>
      <c r="D566" s="41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175"/>
    </row>
    <row r="567" spans="1:16" s="34" customFormat="1" x14ac:dyDescent="0.25">
      <c r="A567" s="83"/>
      <c r="B567" s="92"/>
      <c r="C567" s="92"/>
      <c r="D567" s="41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175"/>
    </row>
    <row r="568" spans="1:16" s="34" customFormat="1" x14ac:dyDescent="0.25">
      <c r="A568" s="83"/>
      <c r="B568" s="92"/>
      <c r="C568" s="92"/>
      <c r="D568" s="41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175"/>
    </row>
    <row r="569" spans="1:16" s="34" customFormat="1" x14ac:dyDescent="0.25">
      <c r="A569" s="83"/>
      <c r="B569" s="92"/>
      <c r="C569" s="92"/>
      <c r="D569" s="41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175"/>
    </row>
    <row r="570" spans="1:16" s="34" customFormat="1" x14ac:dyDescent="0.25">
      <c r="A570" s="83"/>
      <c r="B570" s="92"/>
      <c r="C570" s="92"/>
      <c r="D570" s="41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175"/>
    </row>
    <row r="571" spans="1:16" s="34" customFormat="1" x14ac:dyDescent="0.25">
      <c r="A571" s="83"/>
      <c r="B571" s="92"/>
      <c r="C571" s="92"/>
      <c r="D571" s="41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175"/>
    </row>
    <row r="572" spans="1:16" s="34" customFormat="1" x14ac:dyDescent="0.25">
      <c r="A572" s="83"/>
      <c r="B572" s="92"/>
      <c r="C572" s="92"/>
      <c r="D572" s="41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175"/>
    </row>
    <row r="573" spans="1:16" s="34" customFormat="1" x14ac:dyDescent="0.25">
      <c r="A573" s="83"/>
      <c r="B573" s="92"/>
      <c r="C573" s="92"/>
      <c r="D573" s="41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175"/>
    </row>
    <row r="574" spans="1:16" s="34" customFormat="1" x14ac:dyDescent="0.25">
      <c r="A574" s="83"/>
      <c r="B574" s="92"/>
      <c r="C574" s="92"/>
      <c r="D574" s="41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175"/>
    </row>
    <row r="575" spans="1:16" s="34" customFormat="1" x14ac:dyDescent="0.25">
      <c r="A575" s="83"/>
      <c r="B575" s="92"/>
      <c r="C575" s="92"/>
      <c r="D575" s="41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175"/>
    </row>
    <row r="576" spans="1:16" s="34" customFormat="1" x14ac:dyDescent="0.25">
      <c r="A576" s="83"/>
      <c r="B576" s="92"/>
      <c r="C576" s="92"/>
      <c r="D576" s="41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175"/>
    </row>
    <row r="577" spans="1:16" s="34" customFormat="1" x14ac:dyDescent="0.25">
      <c r="A577" s="83"/>
      <c r="B577" s="92"/>
      <c r="C577" s="92"/>
      <c r="D577" s="41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175"/>
    </row>
    <row r="578" spans="1:16" s="34" customFormat="1" x14ac:dyDescent="0.25">
      <c r="A578" s="83"/>
      <c r="B578" s="92"/>
      <c r="C578" s="92"/>
      <c r="D578" s="41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175"/>
    </row>
    <row r="579" spans="1:16" s="34" customFormat="1" x14ac:dyDescent="0.25">
      <c r="A579" s="83"/>
      <c r="B579" s="92"/>
      <c r="C579" s="92"/>
      <c r="D579" s="41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175"/>
    </row>
    <row r="580" spans="1:16" s="34" customFormat="1" x14ac:dyDescent="0.25">
      <c r="A580" s="83"/>
      <c r="B580" s="92"/>
      <c r="C580" s="92"/>
      <c r="D580" s="41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175"/>
    </row>
    <row r="581" spans="1:16" s="34" customFormat="1" x14ac:dyDescent="0.25">
      <c r="A581" s="83"/>
      <c r="B581" s="92"/>
      <c r="C581" s="92"/>
      <c r="D581" s="41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175"/>
    </row>
    <row r="582" spans="1:16" s="34" customFormat="1" x14ac:dyDescent="0.25">
      <c r="A582" s="83"/>
      <c r="B582" s="92"/>
      <c r="C582" s="92"/>
      <c r="D582" s="41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175"/>
    </row>
    <row r="583" spans="1:16" s="34" customFormat="1" x14ac:dyDescent="0.25">
      <c r="A583" s="83"/>
      <c r="B583" s="92"/>
      <c r="C583" s="92"/>
      <c r="D583" s="41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175"/>
    </row>
    <row r="584" spans="1:16" s="34" customFormat="1" x14ac:dyDescent="0.25">
      <c r="A584" s="83"/>
      <c r="B584" s="92"/>
      <c r="C584" s="92"/>
      <c r="D584" s="41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175"/>
    </row>
    <row r="585" spans="1:16" s="34" customFormat="1" x14ac:dyDescent="0.25">
      <c r="A585" s="83"/>
      <c r="B585" s="92"/>
      <c r="C585" s="92"/>
      <c r="D585" s="41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175"/>
    </row>
    <row r="586" spans="1:16" s="34" customFormat="1" x14ac:dyDescent="0.25">
      <c r="A586" s="83"/>
      <c r="B586" s="92"/>
      <c r="C586" s="92"/>
      <c r="D586" s="41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175"/>
    </row>
    <row r="587" spans="1:16" s="34" customFormat="1" x14ac:dyDescent="0.25">
      <c r="A587" s="83"/>
      <c r="B587" s="92"/>
      <c r="C587" s="92"/>
      <c r="D587" s="41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175"/>
    </row>
    <row r="588" spans="1:16" s="34" customFormat="1" x14ac:dyDescent="0.25">
      <c r="A588" s="83"/>
      <c r="B588" s="92"/>
      <c r="C588" s="92"/>
      <c r="D588" s="41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175"/>
    </row>
    <row r="589" spans="1:16" s="34" customFormat="1" x14ac:dyDescent="0.25">
      <c r="A589" s="83"/>
      <c r="B589" s="92"/>
      <c r="C589" s="92"/>
      <c r="D589" s="41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175"/>
    </row>
    <row r="590" spans="1:16" s="34" customFormat="1" x14ac:dyDescent="0.25">
      <c r="A590" s="83"/>
      <c r="B590" s="92"/>
      <c r="C590" s="92"/>
      <c r="D590" s="41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175"/>
    </row>
    <row r="591" spans="1:16" s="34" customFormat="1" x14ac:dyDescent="0.25">
      <c r="A591" s="83"/>
      <c r="B591" s="92"/>
      <c r="C591" s="92"/>
      <c r="D591" s="41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175"/>
    </row>
    <row r="592" spans="1:16" s="34" customFormat="1" x14ac:dyDescent="0.25">
      <c r="A592" s="83"/>
      <c r="B592" s="92"/>
      <c r="C592" s="92"/>
      <c r="D592" s="41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175"/>
    </row>
    <row r="593" spans="1:16" s="34" customFormat="1" x14ac:dyDescent="0.25">
      <c r="A593" s="83"/>
      <c r="B593" s="92"/>
      <c r="C593" s="92"/>
      <c r="D593" s="41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175"/>
    </row>
    <row r="594" spans="1:16" s="34" customFormat="1" x14ac:dyDescent="0.25">
      <c r="A594" s="83"/>
      <c r="B594" s="92"/>
      <c r="C594" s="92"/>
      <c r="D594" s="41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175"/>
    </row>
    <row r="595" spans="1:16" s="34" customFormat="1" x14ac:dyDescent="0.25">
      <c r="A595" s="83"/>
      <c r="B595" s="92"/>
      <c r="C595" s="92"/>
      <c r="D595" s="41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175"/>
    </row>
    <row r="596" spans="1:16" s="34" customFormat="1" x14ac:dyDescent="0.25">
      <c r="A596" s="83"/>
      <c r="B596" s="92"/>
      <c r="C596" s="92"/>
      <c r="D596" s="41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175"/>
    </row>
    <row r="597" spans="1:16" s="34" customFormat="1" x14ac:dyDescent="0.25">
      <c r="A597" s="83"/>
      <c r="B597" s="92"/>
      <c r="C597" s="92"/>
      <c r="D597" s="41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175"/>
    </row>
    <row r="598" spans="1:16" s="34" customFormat="1" x14ac:dyDescent="0.25">
      <c r="A598" s="83"/>
      <c r="B598" s="92"/>
      <c r="C598" s="92"/>
      <c r="D598" s="41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175"/>
    </row>
    <row r="599" spans="1:16" s="34" customFormat="1" x14ac:dyDescent="0.25">
      <c r="A599" s="83"/>
      <c r="B599" s="92"/>
      <c r="C599" s="92"/>
      <c r="D599" s="41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175"/>
    </row>
    <row r="600" spans="1:16" s="34" customFormat="1" x14ac:dyDescent="0.25">
      <c r="A600" s="83"/>
      <c r="B600" s="92"/>
      <c r="C600" s="92"/>
      <c r="D600" s="41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175"/>
    </row>
    <row r="601" spans="1:16" s="34" customFormat="1" x14ac:dyDescent="0.25">
      <c r="A601" s="83"/>
      <c r="B601" s="92"/>
      <c r="C601" s="92"/>
      <c r="D601" s="41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175"/>
    </row>
    <row r="602" spans="1:16" s="34" customFormat="1" x14ac:dyDescent="0.25">
      <c r="A602" s="83"/>
      <c r="B602" s="92"/>
      <c r="C602" s="92"/>
      <c r="D602" s="41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175"/>
    </row>
    <row r="603" spans="1:16" s="34" customFormat="1" x14ac:dyDescent="0.25">
      <c r="A603" s="83"/>
      <c r="B603" s="92"/>
      <c r="C603" s="92"/>
      <c r="D603" s="41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175"/>
    </row>
    <row r="604" spans="1:16" s="34" customFormat="1" x14ac:dyDescent="0.25">
      <c r="A604" s="83"/>
      <c r="B604" s="92"/>
      <c r="C604" s="92"/>
      <c r="D604" s="41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175"/>
    </row>
    <row r="605" spans="1:16" s="34" customFormat="1" x14ac:dyDescent="0.25">
      <c r="A605" s="83"/>
      <c r="B605" s="92"/>
      <c r="C605" s="92"/>
      <c r="D605" s="41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175"/>
    </row>
    <row r="606" spans="1:16" s="34" customFormat="1" x14ac:dyDescent="0.25">
      <c r="A606" s="83"/>
      <c r="B606" s="92"/>
      <c r="C606" s="92"/>
      <c r="D606" s="41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175"/>
    </row>
    <row r="607" spans="1:16" s="34" customFormat="1" x14ac:dyDescent="0.25">
      <c r="A607" s="83"/>
      <c r="B607" s="92"/>
      <c r="C607" s="92"/>
      <c r="D607" s="41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175"/>
    </row>
    <row r="608" spans="1:16" s="34" customFormat="1" x14ac:dyDescent="0.25">
      <c r="A608" s="83"/>
      <c r="B608" s="92"/>
      <c r="C608" s="92"/>
      <c r="D608" s="41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175"/>
    </row>
    <row r="609" spans="1:16" s="34" customFormat="1" x14ac:dyDescent="0.25">
      <c r="A609" s="83"/>
      <c r="B609" s="92"/>
      <c r="C609" s="92"/>
      <c r="D609" s="41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175"/>
    </row>
    <row r="610" spans="1:16" s="34" customFormat="1" x14ac:dyDescent="0.25">
      <c r="A610" s="83"/>
      <c r="B610" s="92"/>
      <c r="C610" s="92"/>
      <c r="D610" s="41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175"/>
    </row>
    <row r="611" spans="1:16" s="34" customFormat="1" x14ac:dyDescent="0.25">
      <c r="A611" s="83"/>
      <c r="B611" s="92"/>
      <c r="C611" s="92"/>
      <c r="D611" s="41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175"/>
    </row>
    <row r="612" spans="1:16" s="34" customFormat="1" x14ac:dyDescent="0.25">
      <c r="A612" s="83"/>
      <c r="B612" s="92"/>
      <c r="C612" s="92"/>
      <c r="D612" s="41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175"/>
    </row>
    <row r="613" spans="1:16" s="34" customFormat="1" x14ac:dyDescent="0.25">
      <c r="A613" s="83"/>
      <c r="B613" s="92"/>
      <c r="C613" s="92"/>
      <c r="D613" s="41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175"/>
    </row>
    <row r="614" spans="1:16" s="34" customFormat="1" x14ac:dyDescent="0.25">
      <c r="A614" s="83"/>
      <c r="B614" s="92"/>
      <c r="C614" s="92"/>
      <c r="D614" s="41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175"/>
    </row>
    <row r="615" spans="1:16" s="34" customFormat="1" x14ac:dyDescent="0.25">
      <c r="A615" s="83"/>
      <c r="B615" s="92"/>
      <c r="C615" s="92"/>
      <c r="D615" s="41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175"/>
    </row>
    <row r="616" spans="1:16" s="34" customFormat="1" x14ac:dyDescent="0.25">
      <c r="A616" s="83"/>
      <c r="B616" s="92"/>
      <c r="C616" s="92"/>
      <c r="D616" s="41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175"/>
    </row>
    <row r="617" spans="1:16" s="34" customFormat="1" x14ac:dyDescent="0.25">
      <c r="A617" s="83"/>
      <c r="B617" s="92"/>
      <c r="C617" s="92"/>
      <c r="D617" s="41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175"/>
    </row>
    <row r="618" spans="1:16" s="34" customFormat="1" x14ac:dyDescent="0.25">
      <c r="A618" s="83"/>
      <c r="B618" s="92"/>
      <c r="C618" s="92"/>
      <c r="D618" s="41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175"/>
    </row>
    <row r="619" spans="1:16" s="34" customFormat="1" x14ac:dyDescent="0.25">
      <c r="A619" s="83"/>
      <c r="B619" s="92"/>
      <c r="C619" s="92"/>
      <c r="D619" s="41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175"/>
    </row>
    <row r="620" spans="1:16" s="34" customFormat="1" x14ac:dyDescent="0.25">
      <c r="A620" s="83"/>
      <c r="B620" s="92"/>
      <c r="C620" s="92"/>
      <c r="D620" s="41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175"/>
    </row>
    <row r="621" spans="1:16" s="34" customFormat="1" x14ac:dyDescent="0.25">
      <c r="A621" s="83"/>
      <c r="B621" s="92"/>
      <c r="C621" s="92"/>
      <c r="D621" s="41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175"/>
    </row>
    <row r="622" spans="1:16" s="34" customFormat="1" x14ac:dyDescent="0.25">
      <c r="A622" s="83"/>
      <c r="B622" s="92"/>
      <c r="C622" s="92"/>
      <c r="D622" s="41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175"/>
    </row>
    <row r="623" spans="1:16" s="34" customFormat="1" x14ac:dyDescent="0.25">
      <c r="A623" s="83"/>
      <c r="B623" s="92"/>
      <c r="C623" s="92"/>
      <c r="D623" s="41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175"/>
    </row>
    <row r="624" spans="1:16" s="34" customFormat="1" x14ac:dyDescent="0.25">
      <c r="A624" s="83"/>
      <c r="B624" s="92"/>
      <c r="C624" s="92"/>
      <c r="D624" s="41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175"/>
    </row>
    <row r="625" spans="1:16" s="34" customFormat="1" x14ac:dyDescent="0.25">
      <c r="A625" s="83"/>
      <c r="B625" s="92"/>
      <c r="C625" s="92"/>
      <c r="D625" s="41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175"/>
    </row>
    <row r="626" spans="1:16" s="34" customFormat="1" x14ac:dyDescent="0.25">
      <c r="A626" s="83"/>
      <c r="B626" s="92"/>
      <c r="C626" s="92"/>
      <c r="D626" s="41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175"/>
    </row>
    <row r="627" spans="1:16" s="34" customFormat="1" x14ac:dyDescent="0.25">
      <c r="A627" s="83"/>
      <c r="B627" s="92"/>
      <c r="C627" s="92"/>
      <c r="D627" s="41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175"/>
    </row>
    <row r="628" spans="1:16" s="34" customFormat="1" x14ac:dyDescent="0.25">
      <c r="A628" s="83"/>
      <c r="B628" s="92"/>
      <c r="C628" s="92"/>
      <c r="D628" s="41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175"/>
    </row>
    <row r="629" spans="1:16" s="34" customFormat="1" x14ac:dyDescent="0.25">
      <c r="A629" s="83"/>
      <c r="B629" s="92"/>
      <c r="C629" s="92"/>
      <c r="D629" s="41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175"/>
    </row>
    <row r="630" spans="1:16" s="34" customFormat="1" x14ac:dyDescent="0.25">
      <c r="A630" s="83"/>
      <c r="B630" s="92"/>
      <c r="C630" s="92"/>
      <c r="D630" s="41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175"/>
    </row>
    <row r="631" spans="1:16" s="34" customFormat="1" x14ac:dyDescent="0.25">
      <c r="A631" s="83"/>
      <c r="B631" s="92"/>
      <c r="C631" s="92"/>
      <c r="D631" s="41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175"/>
    </row>
    <row r="632" spans="1:16" s="34" customFormat="1" x14ac:dyDescent="0.25">
      <c r="A632" s="83"/>
      <c r="B632" s="92"/>
      <c r="C632" s="92"/>
      <c r="D632" s="41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175"/>
    </row>
    <row r="633" spans="1:16" s="34" customFormat="1" x14ac:dyDescent="0.25">
      <c r="A633" s="83"/>
      <c r="B633" s="92"/>
      <c r="C633" s="92"/>
      <c r="D633" s="41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175"/>
    </row>
    <row r="634" spans="1:16" s="34" customFormat="1" x14ac:dyDescent="0.25">
      <c r="A634" s="83"/>
      <c r="B634" s="92"/>
      <c r="C634" s="92"/>
      <c r="D634" s="41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175"/>
    </row>
    <row r="635" spans="1:16" s="34" customFormat="1" x14ac:dyDescent="0.25">
      <c r="A635" s="83"/>
      <c r="B635" s="92"/>
      <c r="C635" s="92"/>
      <c r="D635" s="41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175"/>
    </row>
    <row r="636" spans="1:16" s="34" customFormat="1" x14ac:dyDescent="0.25">
      <c r="A636" s="83"/>
      <c r="B636" s="92"/>
      <c r="C636" s="92"/>
      <c r="D636" s="41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175"/>
    </row>
    <row r="637" spans="1:16" s="34" customFormat="1" x14ac:dyDescent="0.25">
      <c r="A637" s="83"/>
      <c r="B637" s="92"/>
      <c r="C637" s="92"/>
      <c r="D637" s="41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175"/>
    </row>
    <row r="638" spans="1:16" s="34" customFormat="1" x14ac:dyDescent="0.25">
      <c r="A638" s="83"/>
      <c r="B638" s="92"/>
      <c r="C638" s="92"/>
      <c r="D638" s="41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175"/>
    </row>
    <row r="639" spans="1:16" s="34" customFormat="1" x14ac:dyDescent="0.25">
      <c r="A639" s="83"/>
      <c r="B639" s="92"/>
      <c r="C639" s="92"/>
      <c r="D639" s="41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175"/>
    </row>
    <row r="640" spans="1:16" s="34" customFormat="1" x14ac:dyDescent="0.25">
      <c r="A640" s="83"/>
      <c r="B640" s="92"/>
      <c r="C640" s="92"/>
      <c r="D640" s="41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175"/>
    </row>
    <row r="641" spans="1:16" s="34" customFormat="1" x14ac:dyDescent="0.25">
      <c r="A641" s="83"/>
      <c r="B641" s="92"/>
      <c r="C641" s="92"/>
      <c r="D641" s="41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175"/>
    </row>
    <row r="642" spans="1:16" s="34" customFormat="1" x14ac:dyDescent="0.25">
      <c r="A642" s="83"/>
      <c r="B642" s="92"/>
      <c r="C642" s="92"/>
      <c r="D642" s="41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175"/>
    </row>
    <row r="643" spans="1:16" s="34" customFormat="1" x14ac:dyDescent="0.25">
      <c r="A643" s="83"/>
      <c r="B643" s="92"/>
      <c r="C643" s="92"/>
      <c r="D643" s="41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175"/>
    </row>
    <row r="644" spans="1:16" s="34" customFormat="1" x14ac:dyDescent="0.25">
      <c r="A644" s="83"/>
      <c r="B644" s="92"/>
      <c r="C644" s="92"/>
      <c r="D644" s="41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175"/>
    </row>
    <row r="645" spans="1:16" s="34" customFormat="1" x14ac:dyDescent="0.25">
      <c r="A645" s="83"/>
      <c r="B645" s="92"/>
      <c r="C645" s="92"/>
      <c r="D645" s="41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175"/>
    </row>
    <row r="646" spans="1:16" s="34" customFormat="1" x14ac:dyDescent="0.25">
      <c r="A646" s="83"/>
      <c r="B646" s="92"/>
      <c r="C646" s="92"/>
      <c r="D646" s="41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175"/>
    </row>
    <row r="647" spans="1:16" s="34" customFormat="1" x14ac:dyDescent="0.25">
      <c r="A647" s="83"/>
      <c r="B647" s="92"/>
      <c r="C647" s="92"/>
      <c r="D647" s="41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175"/>
    </row>
    <row r="648" spans="1:16" s="34" customFormat="1" x14ac:dyDescent="0.25">
      <c r="A648" s="83"/>
      <c r="B648" s="92"/>
      <c r="C648" s="92"/>
      <c r="D648" s="41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175"/>
    </row>
    <row r="649" spans="1:16" s="34" customFormat="1" x14ac:dyDescent="0.25">
      <c r="A649" s="83"/>
      <c r="B649" s="92"/>
      <c r="C649" s="92"/>
      <c r="D649" s="41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175"/>
    </row>
    <row r="650" spans="1:16" s="34" customFormat="1" x14ac:dyDescent="0.25">
      <c r="A650" s="83"/>
      <c r="B650" s="92"/>
      <c r="C650" s="92"/>
      <c r="D650" s="41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175"/>
    </row>
    <row r="651" spans="1:16" s="34" customFormat="1" x14ac:dyDescent="0.25">
      <c r="A651" s="83"/>
      <c r="B651" s="92"/>
      <c r="C651" s="92"/>
      <c r="D651" s="41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175"/>
    </row>
    <row r="652" spans="1:16" s="34" customFormat="1" x14ac:dyDescent="0.25">
      <c r="A652" s="83"/>
      <c r="B652" s="92"/>
      <c r="C652" s="92"/>
      <c r="D652" s="41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175"/>
    </row>
    <row r="653" spans="1:16" s="34" customFormat="1" x14ac:dyDescent="0.25">
      <c r="A653" s="83"/>
      <c r="B653" s="92"/>
      <c r="C653" s="92"/>
      <c r="D653" s="41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175"/>
    </row>
    <row r="654" spans="1:16" s="34" customFormat="1" x14ac:dyDescent="0.25">
      <c r="A654" s="83"/>
      <c r="B654" s="92"/>
      <c r="C654" s="92"/>
      <c r="D654" s="41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175"/>
    </row>
    <row r="655" spans="1:16" s="34" customFormat="1" x14ac:dyDescent="0.25">
      <c r="A655" s="83"/>
      <c r="B655" s="92"/>
      <c r="C655" s="92"/>
      <c r="D655" s="41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175"/>
    </row>
    <row r="656" spans="1:16" s="34" customFormat="1" x14ac:dyDescent="0.25">
      <c r="A656" s="83"/>
      <c r="B656" s="92"/>
      <c r="C656" s="92"/>
      <c r="D656" s="41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175"/>
    </row>
    <row r="657" spans="1:16" s="34" customFormat="1" x14ac:dyDescent="0.25">
      <c r="A657" s="83"/>
      <c r="B657" s="92"/>
      <c r="C657" s="92"/>
      <c r="D657" s="41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175"/>
    </row>
    <row r="658" spans="1:16" s="34" customFormat="1" x14ac:dyDescent="0.25">
      <c r="A658" s="83"/>
      <c r="B658" s="92"/>
      <c r="C658" s="92"/>
      <c r="D658" s="41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175"/>
    </row>
    <row r="659" spans="1:16" s="34" customFormat="1" x14ac:dyDescent="0.25">
      <c r="A659" s="83"/>
      <c r="B659" s="92"/>
      <c r="C659" s="92"/>
      <c r="D659" s="41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175"/>
    </row>
    <row r="660" spans="1:16" s="34" customFormat="1" x14ac:dyDescent="0.25">
      <c r="A660" s="83"/>
      <c r="B660" s="92"/>
      <c r="C660" s="92"/>
      <c r="D660" s="41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175"/>
    </row>
    <row r="661" spans="1:16" s="34" customFormat="1" x14ac:dyDescent="0.25">
      <c r="A661" s="83"/>
      <c r="B661" s="92"/>
      <c r="C661" s="92"/>
      <c r="D661" s="41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175"/>
    </row>
    <row r="662" spans="1:16" s="34" customFormat="1" x14ac:dyDescent="0.25">
      <c r="A662" s="83"/>
      <c r="B662" s="92"/>
      <c r="C662" s="92"/>
      <c r="D662" s="41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175"/>
    </row>
    <row r="663" spans="1:16" s="34" customFormat="1" x14ac:dyDescent="0.25">
      <c r="A663" s="83"/>
      <c r="B663" s="92"/>
      <c r="C663" s="92"/>
      <c r="D663" s="41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175"/>
    </row>
    <row r="664" spans="1:16" s="34" customFormat="1" x14ac:dyDescent="0.25">
      <c r="A664" s="83"/>
      <c r="B664" s="92"/>
      <c r="C664" s="92"/>
      <c r="D664" s="41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175"/>
    </row>
    <row r="665" spans="1:16" s="34" customFormat="1" x14ac:dyDescent="0.25">
      <c r="A665" s="83"/>
      <c r="B665" s="92"/>
      <c r="C665" s="92"/>
      <c r="D665" s="41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175"/>
    </row>
    <row r="666" spans="1:16" s="34" customFormat="1" x14ac:dyDescent="0.25">
      <c r="A666" s="83"/>
      <c r="B666" s="92"/>
      <c r="C666" s="92"/>
      <c r="D666" s="41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175"/>
    </row>
    <row r="667" spans="1:16" s="34" customFormat="1" x14ac:dyDescent="0.25">
      <c r="A667" s="83"/>
      <c r="B667" s="92"/>
      <c r="C667" s="92"/>
      <c r="D667" s="41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175"/>
    </row>
    <row r="668" spans="1:16" s="34" customFormat="1" x14ac:dyDescent="0.25">
      <c r="A668" s="83"/>
      <c r="B668" s="92"/>
      <c r="C668" s="92"/>
      <c r="D668" s="41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175"/>
    </row>
    <row r="669" spans="1:16" s="34" customFormat="1" x14ac:dyDescent="0.25">
      <c r="A669" s="83"/>
      <c r="B669" s="92"/>
      <c r="C669" s="92"/>
      <c r="D669" s="41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175"/>
    </row>
    <row r="670" spans="1:16" s="34" customFormat="1" x14ac:dyDescent="0.25">
      <c r="A670" s="83"/>
      <c r="B670" s="92"/>
      <c r="C670" s="92"/>
      <c r="D670" s="41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175"/>
    </row>
    <row r="671" spans="1:16" s="34" customFormat="1" x14ac:dyDescent="0.25">
      <c r="A671" s="83"/>
      <c r="B671" s="92"/>
      <c r="C671" s="92"/>
      <c r="D671" s="41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175"/>
    </row>
    <row r="672" spans="1:16" s="34" customFormat="1" x14ac:dyDescent="0.25">
      <c r="A672" s="83"/>
      <c r="B672" s="92"/>
      <c r="C672" s="92"/>
      <c r="D672" s="41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175"/>
    </row>
    <row r="673" spans="1:16" s="34" customFormat="1" x14ac:dyDescent="0.25">
      <c r="A673" s="83"/>
      <c r="B673" s="92"/>
      <c r="C673" s="92"/>
      <c r="D673" s="41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175"/>
    </row>
    <row r="674" spans="1:16" s="34" customFormat="1" x14ac:dyDescent="0.25">
      <c r="A674" s="83"/>
      <c r="B674" s="92"/>
      <c r="C674" s="92"/>
      <c r="D674" s="41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175"/>
    </row>
    <row r="675" spans="1:16" s="34" customFormat="1" x14ac:dyDescent="0.25">
      <c r="A675" s="83"/>
      <c r="B675" s="92"/>
      <c r="C675" s="92"/>
      <c r="D675" s="41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175"/>
    </row>
    <row r="676" spans="1:16" s="34" customFormat="1" x14ac:dyDescent="0.25">
      <c r="A676" s="83"/>
      <c r="B676" s="92"/>
      <c r="C676" s="92"/>
      <c r="D676" s="41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175"/>
    </row>
    <row r="677" spans="1:16" s="34" customFormat="1" x14ac:dyDescent="0.25">
      <c r="A677" s="83"/>
      <c r="B677" s="92"/>
      <c r="C677" s="92"/>
      <c r="D677" s="41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175"/>
    </row>
    <row r="678" spans="1:16" s="34" customFormat="1" x14ac:dyDescent="0.25">
      <c r="A678" s="83"/>
      <c r="B678" s="92"/>
      <c r="C678" s="92"/>
      <c r="D678" s="41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175"/>
    </row>
    <row r="679" spans="1:16" s="34" customFormat="1" x14ac:dyDescent="0.25">
      <c r="A679" s="83"/>
      <c r="B679" s="92"/>
      <c r="C679" s="92"/>
      <c r="D679" s="41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175"/>
    </row>
    <row r="680" spans="1:16" s="34" customFormat="1" x14ac:dyDescent="0.25">
      <c r="A680" s="83"/>
      <c r="B680" s="92"/>
      <c r="C680" s="92"/>
      <c r="D680" s="41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175"/>
    </row>
    <row r="681" spans="1:16" s="34" customFormat="1" x14ac:dyDescent="0.25">
      <c r="A681" s="83"/>
      <c r="B681" s="92"/>
      <c r="C681" s="92"/>
      <c r="D681" s="41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175"/>
    </row>
    <row r="682" spans="1:16" s="34" customFormat="1" x14ac:dyDescent="0.25">
      <c r="A682" s="83"/>
      <c r="B682" s="92"/>
      <c r="C682" s="92"/>
      <c r="D682" s="41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175"/>
    </row>
    <row r="683" spans="1:16" s="34" customFormat="1" x14ac:dyDescent="0.25">
      <c r="A683" s="83"/>
      <c r="B683" s="92"/>
      <c r="C683" s="92"/>
      <c r="D683" s="41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175"/>
    </row>
    <row r="684" spans="1:16" s="34" customFormat="1" x14ac:dyDescent="0.25">
      <c r="A684" s="83"/>
      <c r="B684" s="92"/>
      <c r="C684" s="92"/>
      <c r="D684" s="41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175"/>
    </row>
    <row r="685" spans="1:16" s="34" customFormat="1" x14ac:dyDescent="0.25">
      <c r="A685" s="83"/>
      <c r="B685" s="92"/>
      <c r="C685" s="92"/>
      <c r="D685" s="41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175"/>
    </row>
    <row r="686" spans="1:16" s="34" customFormat="1" x14ac:dyDescent="0.25">
      <c r="A686" s="83"/>
      <c r="B686" s="92"/>
      <c r="C686" s="92"/>
      <c r="D686" s="41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175"/>
    </row>
    <row r="687" spans="1:16" s="34" customFormat="1" x14ac:dyDescent="0.25">
      <c r="A687" s="83"/>
      <c r="B687" s="92"/>
      <c r="C687" s="92"/>
      <c r="D687" s="41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175"/>
    </row>
    <row r="688" spans="1:16" s="34" customFormat="1" x14ac:dyDescent="0.25">
      <c r="A688" s="83"/>
      <c r="B688" s="92"/>
      <c r="C688" s="92"/>
      <c r="D688" s="41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175"/>
    </row>
    <row r="689" spans="1:16" s="34" customFormat="1" x14ac:dyDescent="0.25">
      <c r="A689" s="83"/>
      <c r="B689" s="92"/>
      <c r="C689" s="92"/>
      <c r="D689" s="41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175"/>
    </row>
    <row r="690" spans="1:16" s="34" customFormat="1" x14ac:dyDescent="0.25">
      <c r="A690" s="83"/>
      <c r="B690" s="92"/>
      <c r="C690" s="92"/>
      <c r="D690" s="41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175"/>
    </row>
    <row r="691" spans="1:16" s="34" customFormat="1" x14ac:dyDescent="0.25">
      <c r="A691" s="83"/>
      <c r="B691" s="92"/>
      <c r="C691" s="92"/>
      <c r="D691" s="41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175"/>
    </row>
    <row r="692" spans="1:16" s="34" customFormat="1" x14ac:dyDescent="0.25">
      <c r="A692" s="83"/>
      <c r="B692" s="92"/>
      <c r="C692" s="92"/>
      <c r="D692" s="41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175"/>
    </row>
    <row r="693" spans="1:16" s="34" customFormat="1" x14ac:dyDescent="0.25">
      <c r="A693" s="83"/>
      <c r="B693" s="92"/>
      <c r="C693" s="92"/>
      <c r="D693" s="41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175"/>
    </row>
    <row r="694" spans="1:16" s="34" customFormat="1" x14ac:dyDescent="0.25">
      <c r="A694" s="83"/>
      <c r="B694" s="92"/>
      <c r="C694" s="92"/>
      <c r="D694" s="41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175"/>
    </row>
    <row r="695" spans="1:16" s="34" customFormat="1" x14ac:dyDescent="0.25">
      <c r="A695" s="83"/>
      <c r="B695" s="92"/>
      <c r="C695" s="92"/>
      <c r="D695" s="41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175"/>
    </row>
    <row r="696" spans="1:16" s="34" customFormat="1" x14ac:dyDescent="0.25">
      <c r="A696" s="83"/>
      <c r="B696" s="92"/>
      <c r="C696" s="92"/>
      <c r="D696" s="41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175"/>
    </row>
    <row r="697" spans="1:16" s="34" customFormat="1" x14ac:dyDescent="0.25">
      <c r="A697" s="83"/>
      <c r="B697" s="92"/>
      <c r="C697" s="92"/>
      <c r="D697" s="41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175"/>
    </row>
    <row r="698" spans="1:16" s="34" customFormat="1" x14ac:dyDescent="0.25">
      <c r="A698" s="83"/>
      <c r="B698" s="92"/>
      <c r="C698" s="92"/>
      <c r="D698" s="41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175"/>
    </row>
    <row r="699" spans="1:16" s="34" customFormat="1" x14ac:dyDescent="0.25">
      <c r="A699" s="83"/>
      <c r="B699" s="92"/>
      <c r="C699" s="92"/>
      <c r="D699" s="41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175"/>
    </row>
    <row r="700" spans="1:16" s="34" customFormat="1" x14ac:dyDescent="0.25">
      <c r="A700" s="83"/>
      <c r="B700" s="92"/>
      <c r="C700" s="92"/>
      <c r="D700" s="41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175"/>
    </row>
    <row r="701" spans="1:16" s="34" customFormat="1" x14ac:dyDescent="0.25">
      <c r="A701" s="83"/>
      <c r="B701" s="92"/>
      <c r="C701" s="92"/>
      <c r="D701" s="41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175"/>
    </row>
    <row r="702" spans="1:16" s="34" customFormat="1" x14ac:dyDescent="0.25">
      <c r="A702" s="83"/>
      <c r="B702" s="92"/>
      <c r="C702" s="92"/>
      <c r="D702" s="41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175"/>
    </row>
    <row r="703" spans="1:16" s="34" customFormat="1" x14ac:dyDescent="0.25">
      <c r="A703" s="83"/>
      <c r="B703" s="92"/>
      <c r="C703" s="92"/>
      <c r="D703" s="41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175"/>
    </row>
    <row r="704" spans="1:16" s="34" customFormat="1" x14ac:dyDescent="0.25">
      <c r="A704" s="83"/>
      <c r="B704" s="92"/>
      <c r="C704" s="92"/>
      <c r="D704" s="41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175"/>
    </row>
    <row r="705" spans="1:16" s="34" customFormat="1" x14ac:dyDescent="0.25">
      <c r="A705" s="83"/>
      <c r="B705" s="92"/>
      <c r="C705" s="92"/>
      <c r="D705" s="41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175"/>
    </row>
    <row r="706" spans="1:16" s="34" customFormat="1" x14ac:dyDescent="0.25">
      <c r="A706" s="83"/>
      <c r="B706" s="92"/>
      <c r="C706" s="92"/>
      <c r="D706" s="41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175"/>
    </row>
    <row r="707" spans="1:16" s="34" customFormat="1" x14ac:dyDescent="0.25">
      <c r="A707" s="83"/>
      <c r="B707" s="92"/>
      <c r="C707" s="92"/>
      <c r="D707" s="41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175"/>
    </row>
    <row r="708" spans="1:16" s="34" customFormat="1" x14ac:dyDescent="0.25">
      <c r="A708" s="83"/>
      <c r="B708" s="92"/>
      <c r="C708" s="92"/>
      <c r="D708" s="41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175"/>
    </row>
    <row r="709" spans="1:16" s="34" customFormat="1" x14ac:dyDescent="0.25">
      <c r="A709" s="83"/>
      <c r="B709" s="92"/>
      <c r="C709" s="92"/>
      <c r="D709" s="41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175"/>
    </row>
    <row r="710" spans="1:16" s="34" customFormat="1" x14ac:dyDescent="0.25">
      <c r="A710" s="83"/>
      <c r="B710" s="92"/>
      <c r="C710" s="92"/>
      <c r="D710" s="41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175"/>
    </row>
    <row r="711" spans="1:16" s="34" customFormat="1" x14ac:dyDescent="0.25">
      <c r="A711" s="83"/>
      <c r="B711" s="92"/>
      <c r="C711" s="92"/>
      <c r="D711" s="41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175"/>
    </row>
    <row r="712" spans="1:16" s="34" customFormat="1" x14ac:dyDescent="0.25">
      <c r="A712" s="83"/>
      <c r="B712" s="92"/>
      <c r="C712" s="92"/>
      <c r="D712" s="41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175"/>
    </row>
    <row r="713" spans="1:16" s="34" customFormat="1" x14ac:dyDescent="0.25">
      <c r="A713" s="83"/>
      <c r="B713" s="92"/>
      <c r="C713" s="92"/>
      <c r="D713" s="41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175"/>
    </row>
    <row r="714" spans="1:16" s="34" customFormat="1" x14ac:dyDescent="0.25">
      <c r="A714" s="83"/>
      <c r="B714" s="92"/>
      <c r="C714" s="92"/>
      <c r="D714" s="41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175"/>
    </row>
    <row r="715" spans="1:16" s="34" customFormat="1" x14ac:dyDescent="0.25">
      <c r="A715" s="83"/>
      <c r="B715" s="92"/>
      <c r="C715" s="92"/>
      <c r="D715" s="41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175"/>
    </row>
    <row r="716" spans="1:16" s="34" customFormat="1" x14ac:dyDescent="0.25">
      <c r="A716" s="83"/>
      <c r="B716" s="92"/>
      <c r="C716" s="92"/>
      <c r="D716" s="41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175"/>
    </row>
    <row r="717" spans="1:16" s="34" customFormat="1" x14ac:dyDescent="0.25">
      <c r="A717" s="83"/>
      <c r="B717" s="92"/>
      <c r="C717" s="92"/>
      <c r="D717" s="41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175"/>
    </row>
    <row r="718" spans="1:16" s="34" customFormat="1" x14ac:dyDescent="0.25">
      <c r="A718" s="83"/>
      <c r="B718" s="92"/>
      <c r="C718" s="92"/>
      <c r="D718" s="41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175"/>
    </row>
    <row r="719" spans="1:16" s="34" customFormat="1" x14ac:dyDescent="0.25">
      <c r="A719" s="83"/>
      <c r="B719" s="92"/>
      <c r="C719" s="92"/>
      <c r="D719" s="41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175"/>
    </row>
    <row r="720" spans="1:16" s="34" customFormat="1" x14ac:dyDescent="0.25">
      <c r="A720" s="83"/>
      <c r="B720" s="92"/>
      <c r="C720" s="92"/>
      <c r="D720" s="41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175"/>
    </row>
    <row r="721" spans="1:16" s="34" customFormat="1" x14ac:dyDescent="0.25">
      <c r="A721" s="83"/>
      <c r="B721" s="92"/>
      <c r="C721" s="92"/>
      <c r="D721" s="41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175"/>
    </row>
    <row r="722" spans="1:16" s="34" customFormat="1" x14ac:dyDescent="0.25">
      <c r="A722" s="83"/>
      <c r="B722" s="92"/>
      <c r="C722" s="92"/>
      <c r="D722" s="41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175"/>
    </row>
    <row r="723" spans="1:16" s="34" customFormat="1" x14ac:dyDescent="0.25">
      <c r="A723" s="83"/>
      <c r="B723" s="92"/>
      <c r="C723" s="92"/>
      <c r="D723" s="41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175"/>
    </row>
    <row r="724" spans="1:16" s="34" customFormat="1" x14ac:dyDescent="0.25">
      <c r="A724" s="83"/>
      <c r="B724" s="92"/>
      <c r="C724" s="92"/>
      <c r="D724" s="41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175"/>
    </row>
    <row r="725" spans="1:16" s="34" customFormat="1" x14ac:dyDescent="0.25">
      <c r="A725" s="83"/>
      <c r="B725" s="92"/>
      <c r="C725" s="92"/>
      <c r="D725" s="41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175"/>
    </row>
    <row r="726" spans="1:16" s="34" customFormat="1" x14ac:dyDescent="0.25">
      <c r="A726" s="83"/>
      <c r="B726" s="92"/>
      <c r="C726" s="92"/>
      <c r="D726" s="41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175"/>
    </row>
    <row r="727" spans="1:16" s="34" customFormat="1" x14ac:dyDescent="0.25">
      <c r="A727" s="83"/>
      <c r="B727" s="92"/>
      <c r="C727" s="92"/>
      <c r="D727" s="41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175"/>
    </row>
    <row r="728" spans="1:16" s="34" customFormat="1" x14ac:dyDescent="0.25">
      <c r="A728" s="83"/>
      <c r="B728" s="92"/>
      <c r="C728" s="92"/>
      <c r="D728" s="41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175"/>
    </row>
    <row r="729" spans="1:16" s="34" customFormat="1" x14ac:dyDescent="0.25">
      <c r="A729" s="83"/>
      <c r="B729" s="92"/>
      <c r="C729" s="92"/>
      <c r="D729" s="41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175"/>
    </row>
    <row r="730" spans="1:16" s="34" customFormat="1" x14ac:dyDescent="0.25">
      <c r="A730" s="83"/>
      <c r="B730" s="92"/>
      <c r="C730" s="92"/>
      <c r="D730" s="41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175"/>
    </row>
    <row r="731" spans="1:16" s="34" customFormat="1" x14ac:dyDescent="0.25">
      <c r="A731" s="83"/>
      <c r="B731" s="92"/>
      <c r="C731" s="92"/>
      <c r="D731" s="41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175"/>
    </row>
    <row r="732" spans="1:16" s="34" customFormat="1" x14ac:dyDescent="0.25">
      <c r="A732" s="83"/>
      <c r="B732" s="92"/>
      <c r="C732" s="92"/>
      <c r="D732" s="41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175"/>
    </row>
    <row r="733" spans="1:16" s="34" customFormat="1" x14ac:dyDescent="0.25">
      <c r="A733" s="83"/>
      <c r="B733" s="92"/>
      <c r="C733" s="92"/>
      <c r="D733" s="41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175"/>
    </row>
    <row r="734" spans="1:16" s="34" customFormat="1" x14ac:dyDescent="0.25">
      <c r="A734" s="83"/>
      <c r="B734" s="92"/>
      <c r="C734" s="92"/>
      <c r="D734" s="41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175"/>
    </row>
    <row r="735" spans="1:16" s="34" customFormat="1" x14ac:dyDescent="0.25">
      <c r="A735" s="83"/>
      <c r="B735" s="92"/>
      <c r="C735" s="92"/>
      <c r="D735" s="41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175"/>
    </row>
    <row r="736" spans="1:16" s="34" customFormat="1" x14ac:dyDescent="0.25">
      <c r="A736" s="83"/>
      <c r="B736" s="92"/>
      <c r="C736" s="92"/>
      <c r="D736" s="41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175"/>
    </row>
  </sheetData>
  <mergeCells count="21">
    <mergeCell ref="L1:O1"/>
    <mergeCell ref="L4:P4"/>
    <mergeCell ref="L3:P3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J16:J17"/>
    <mergeCell ref="K16:K17"/>
    <mergeCell ref="E16:E17"/>
    <mergeCell ref="F16:F17"/>
    <mergeCell ref="E15:I15"/>
    <mergeCell ref="O285:P285"/>
  </mergeCells>
  <phoneticPr fontId="3" type="noConversion"/>
  <printOptions horizontalCentered="1"/>
  <pageMargins left="0.15748031496062992" right="7.874015748031496E-2" top="0.62992125984251968" bottom="0.31496062992125984" header="0.47244094488188981" footer="0.15748031496062992"/>
  <pageSetup paperSize="9" scale="46" fitToHeight="100" orientation="landscape" useFirstPageNumber="1" r:id="rId1"/>
  <headerFooter scaleWithDoc="0" alignWithMargins="0">
    <oddFooter>&amp;R&amp;9Сторінка &amp;P</oddFooter>
  </headerFooter>
  <rowBreaks count="2" manualBreakCount="2">
    <brk id="238" max="15" man="1"/>
    <brk id="2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9"/>
  <sheetViews>
    <sheetView showGridLines="0" showZeros="0" tabSelected="1" view="pageBreakPreview" topLeftCell="A198" zoomScale="86" zoomScaleNormal="87" zoomScaleSheetLayoutView="86" workbookViewId="0">
      <selection activeCell="J204" sqref="J204:J206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0.1640625" style="4" customWidth="1"/>
    <col min="15" max="15" width="20.83203125" style="4" customWidth="1"/>
    <col min="16" max="16384" width="9.1640625" style="4"/>
  </cols>
  <sheetData>
    <row r="1" spans="1:16" ht="31.5" x14ac:dyDescent="0.25">
      <c r="J1" s="110"/>
      <c r="K1" s="180" t="s">
        <v>508</v>
      </c>
      <c r="L1" s="180"/>
      <c r="M1" s="180"/>
      <c r="N1" s="180"/>
      <c r="O1" s="167"/>
    </row>
    <row r="2" spans="1:16" ht="31.5" x14ac:dyDescent="0.25">
      <c r="J2" s="110"/>
      <c r="K2" s="167" t="s">
        <v>422</v>
      </c>
      <c r="L2" s="167"/>
      <c r="M2" s="167"/>
      <c r="N2" s="167"/>
      <c r="O2" s="86"/>
      <c r="P2" s="34"/>
    </row>
    <row r="3" spans="1:16" ht="31.5" x14ac:dyDescent="0.25">
      <c r="J3" s="110"/>
      <c r="K3" s="182" t="s">
        <v>423</v>
      </c>
      <c r="L3" s="182"/>
      <c r="M3" s="182"/>
      <c r="N3" s="182"/>
      <c r="O3" s="182"/>
      <c r="P3" s="34"/>
    </row>
    <row r="4" spans="1:16" ht="31.5" x14ac:dyDescent="0.25">
      <c r="J4" s="110"/>
      <c r="K4" s="181" t="s">
        <v>424</v>
      </c>
      <c r="L4" s="181"/>
      <c r="M4" s="181"/>
      <c r="N4" s="181"/>
      <c r="O4" s="181"/>
      <c r="P4" s="34"/>
    </row>
    <row r="5" spans="1:16" ht="31.5" x14ac:dyDescent="0.25">
      <c r="J5" s="110"/>
      <c r="K5" s="167" t="s">
        <v>441</v>
      </c>
      <c r="L5" s="167"/>
      <c r="M5" s="167"/>
      <c r="N5" s="167"/>
      <c r="O5" s="167"/>
      <c r="P5" s="34"/>
    </row>
    <row r="6" spans="1:16" ht="31.5" x14ac:dyDescent="0.25">
      <c r="J6" s="110"/>
      <c r="K6" s="167" t="s">
        <v>428</v>
      </c>
      <c r="L6" s="167"/>
      <c r="M6" s="167"/>
      <c r="N6" s="167"/>
      <c r="O6" s="167"/>
      <c r="P6" s="34"/>
    </row>
    <row r="7" spans="1:16" ht="31.5" x14ac:dyDescent="0.25">
      <c r="J7" s="110"/>
      <c r="K7" s="167" t="s">
        <v>436</v>
      </c>
      <c r="L7" s="167"/>
      <c r="M7" s="167"/>
      <c r="N7" s="167"/>
      <c r="O7" s="167"/>
      <c r="P7" s="34"/>
    </row>
    <row r="8" spans="1:16" ht="31.5" x14ac:dyDescent="0.25">
      <c r="J8" s="110"/>
      <c r="K8" s="167" t="s">
        <v>427</v>
      </c>
      <c r="L8" s="167"/>
      <c r="M8" s="167"/>
      <c r="N8" s="167"/>
      <c r="O8" s="167"/>
      <c r="P8" s="34"/>
    </row>
    <row r="9" spans="1:16" ht="26.25" customHeight="1" x14ac:dyDescent="0.4">
      <c r="J9" s="111"/>
      <c r="K9" s="97" t="s">
        <v>536</v>
      </c>
      <c r="L9" s="97"/>
      <c r="M9" s="97"/>
      <c r="N9" s="97"/>
      <c r="O9" s="97"/>
      <c r="P9" s="168"/>
    </row>
    <row r="10" spans="1:16" ht="26.25" customHeight="1" x14ac:dyDescent="0.25">
      <c r="J10" s="168"/>
      <c r="K10" s="168"/>
      <c r="L10" s="168"/>
      <c r="M10" s="168"/>
      <c r="N10" s="168"/>
      <c r="O10" s="168"/>
      <c r="P10" s="168"/>
    </row>
    <row r="11" spans="1:16" ht="29.25" customHeight="1" x14ac:dyDescent="0.4">
      <c r="J11" s="167"/>
      <c r="K11" s="97"/>
      <c r="L11" s="97"/>
      <c r="M11" s="97"/>
      <c r="N11" s="97"/>
      <c r="O11" s="98"/>
      <c r="P11" s="34"/>
    </row>
    <row r="12" spans="1:16" ht="65.25" customHeight="1" x14ac:dyDescent="0.25">
      <c r="A12" s="185" t="s">
        <v>407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6" ht="31.5" customHeight="1" x14ac:dyDescent="0.25">
      <c r="A13" s="187" t="s">
        <v>398</v>
      </c>
      <c r="B13" s="1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6" ht="21" customHeight="1" x14ac:dyDescent="0.25">
      <c r="A14" s="188" t="s">
        <v>415</v>
      </c>
      <c r="B14" s="18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6" s="17" customFormat="1" ht="24" customHeight="1" x14ac:dyDescent="0.3">
      <c r="A15" s="14"/>
      <c r="B15" s="15"/>
      <c r="C15" s="16"/>
      <c r="O15" s="102" t="s">
        <v>394</v>
      </c>
    </row>
    <row r="16" spans="1:16" s="75" customFormat="1" ht="21.75" customHeight="1" x14ac:dyDescent="0.25">
      <c r="A16" s="186" t="s">
        <v>372</v>
      </c>
      <c r="B16" s="186" t="s">
        <v>359</v>
      </c>
      <c r="C16" s="186" t="s">
        <v>374</v>
      </c>
      <c r="D16" s="178" t="s">
        <v>245</v>
      </c>
      <c r="E16" s="178"/>
      <c r="F16" s="178"/>
      <c r="G16" s="178"/>
      <c r="H16" s="178"/>
      <c r="I16" s="178" t="s">
        <v>246</v>
      </c>
      <c r="J16" s="178"/>
      <c r="K16" s="178"/>
      <c r="L16" s="178"/>
      <c r="M16" s="178"/>
      <c r="N16" s="178"/>
      <c r="O16" s="178" t="s">
        <v>247</v>
      </c>
    </row>
    <row r="17" spans="1:15" s="75" customFormat="1" ht="29.25" customHeight="1" x14ac:dyDescent="0.25">
      <c r="A17" s="186"/>
      <c r="B17" s="186"/>
      <c r="C17" s="186"/>
      <c r="D17" s="178" t="s">
        <v>360</v>
      </c>
      <c r="E17" s="178" t="s">
        <v>248</v>
      </c>
      <c r="F17" s="178"/>
      <c r="G17" s="178"/>
      <c r="H17" s="178" t="s">
        <v>250</v>
      </c>
      <c r="I17" s="178" t="s">
        <v>360</v>
      </c>
      <c r="J17" s="178" t="s">
        <v>361</v>
      </c>
      <c r="K17" s="178" t="s">
        <v>248</v>
      </c>
      <c r="L17" s="178" t="s">
        <v>249</v>
      </c>
      <c r="M17" s="178"/>
      <c r="N17" s="178" t="s">
        <v>250</v>
      </c>
      <c r="O17" s="178"/>
    </row>
    <row r="18" spans="1:15" s="75" customFormat="1" ht="75.75" customHeight="1" x14ac:dyDescent="0.25">
      <c r="A18" s="186"/>
      <c r="B18" s="186"/>
      <c r="C18" s="186"/>
      <c r="D18" s="178"/>
      <c r="E18" s="178"/>
      <c r="F18" s="166" t="s">
        <v>251</v>
      </c>
      <c r="G18" s="166" t="s">
        <v>252</v>
      </c>
      <c r="H18" s="178"/>
      <c r="I18" s="178"/>
      <c r="J18" s="178"/>
      <c r="K18" s="178"/>
      <c r="L18" s="166" t="s">
        <v>251</v>
      </c>
      <c r="M18" s="166" t="s">
        <v>252</v>
      </c>
      <c r="N18" s="178"/>
      <c r="O18" s="178"/>
    </row>
    <row r="19" spans="1:15" s="75" customFormat="1" ht="27.75" customHeight="1" x14ac:dyDescent="0.25">
      <c r="A19" s="7" t="s">
        <v>47</v>
      </c>
      <c r="B19" s="8"/>
      <c r="C19" s="9" t="s">
        <v>48</v>
      </c>
      <c r="D19" s="58">
        <f>D20+D21+D22</f>
        <v>238826315</v>
      </c>
      <c r="E19" s="58">
        <f t="shared" ref="E19:O19" si="0">E20+E21+E22</f>
        <v>238826315</v>
      </c>
      <c r="F19" s="58">
        <f t="shared" si="0"/>
        <v>180625206</v>
      </c>
      <c r="G19" s="58">
        <f t="shared" si="0"/>
        <v>4317900</v>
      </c>
      <c r="H19" s="58">
        <f t="shared" si="0"/>
        <v>0</v>
      </c>
      <c r="I19" s="58">
        <f t="shared" si="0"/>
        <v>3434500</v>
      </c>
      <c r="J19" s="58">
        <f t="shared" si="0"/>
        <v>234500</v>
      </c>
      <c r="K19" s="58">
        <f t="shared" si="0"/>
        <v>3200000</v>
      </c>
      <c r="L19" s="58">
        <f t="shared" si="0"/>
        <v>2348000</v>
      </c>
      <c r="M19" s="58">
        <f t="shared" si="0"/>
        <v>90600</v>
      </c>
      <c r="N19" s="58">
        <f t="shared" si="0"/>
        <v>234500</v>
      </c>
      <c r="O19" s="58">
        <f t="shared" si="0"/>
        <v>242260815</v>
      </c>
    </row>
    <row r="20" spans="1:15" ht="57.75" customHeight="1" x14ac:dyDescent="0.25">
      <c r="A20" s="46" t="s">
        <v>127</v>
      </c>
      <c r="B20" s="46" t="s">
        <v>50</v>
      </c>
      <c r="C20" s="6" t="s">
        <v>128</v>
      </c>
      <c r="D20" s="59">
        <f>'дод 3'!E21+'дод 3'!E68+'дод 3'!E113+'дод 3'!E142+'дод 3'!E175+'дод 3'!E181+'дод 3'!E193+'дод 3'!E221+'дод 3'!E225+'дод 3'!E242+'дод 3'!E247+'дод 3'!E250+'дод 3'!E261+'дод 3'!E258</f>
        <v>238091519</v>
      </c>
      <c r="E20" s="59">
        <f>'дод 3'!F21+'дод 3'!F68+'дод 3'!F113+'дод 3'!F142+'дод 3'!F175+'дод 3'!F181+'дод 3'!F193+'дод 3'!F221+'дод 3'!F225+'дод 3'!F242+'дод 3'!F247+'дод 3'!F250+'дод 3'!F261+'дод 3'!F258</f>
        <v>238091519</v>
      </c>
      <c r="F20" s="59">
        <f>'дод 3'!G21+'дод 3'!G68+'дод 3'!G113+'дод 3'!G142+'дод 3'!G175+'дод 3'!G181+'дод 3'!G193+'дод 3'!G221+'дод 3'!G225+'дод 3'!G242+'дод 3'!G247+'дод 3'!G250+'дод 3'!G261+'дод 3'!G258</f>
        <v>180625206</v>
      </c>
      <c r="G20" s="59">
        <f>'дод 3'!H21+'дод 3'!H68+'дод 3'!H113+'дод 3'!H142+'дод 3'!H175+'дод 3'!H181+'дод 3'!H193+'дод 3'!H221+'дод 3'!H225+'дод 3'!H242+'дод 3'!H247+'дод 3'!H250+'дод 3'!H261+'дод 3'!H258</f>
        <v>4317900</v>
      </c>
      <c r="H20" s="59">
        <f>'дод 3'!I21+'дод 3'!I68+'дод 3'!I113+'дод 3'!I142+'дод 3'!I175+'дод 3'!I181+'дод 3'!I193+'дод 3'!I221+'дод 3'!I225+'дод 3'!I242+'дод 3'!I247+'дод 3'!I250+'дод 3'!I261+'дод 3'!I258</f>
        <v>0</v>
      </c>
      <c r="I20" s="59">
        <f>'дод 3'!J21+'дод 3'!J68+'дод 3'!J113+'дод 3'!J142+'дод 3'!J175+'дод 3'!J181+'дод 3'!J193+'дод 3'!J221+'дод 3'!J225+'дод 3'!J242+'дод 3'!J247+'дод 3'!J250+'дод 3'!J261+'дод 3'!J258</f>
        <v>3434500</v>
      </c>
      <c r="J20" s="59">
        <f>'дод 3'!K21+'дод 3'!K68+'дод 3'!K113+'дод 3'!K142+'дод 3'!K175+'дод 3'!K181+'дод 3'!K193+'дод 3'!K221+'дод 3'!K225+'дод 3'!K242+'дод 3'!K247+'дод 3'!K250+'дод 3'!K261+'дод 3'!K258</f>
        <v>234500</v>
      </c>
      <c r="K20" s="59">
        <f>'дод 3'!L21+'дод 3'!L68+'дод 3'!L113+'дод 3'!L142+'дод 3'!L175+'дод 3'!L181+'дод 3'!L193+'дод 3'!L221+'дод 3'!L225+'дод 3'!L242+'дод 3'!L247+'дод 3'!L250+'дод 3'!L261+'дод 3'!L258</f>
        <v>3200000</v>
      </c>
      <c r="L20" s="59">
        <f>'дод 3'!M21+'дод 3'!M68+'дод 3'!M113+'дод 3'!M142+'дод 3'!M175+'дод 3'!M181+'дод 3'!M193+'дод 3'!M221+'дод 3'!M225+'дод 3'!M242+'дод 3'!M247+'дод 3'!M250+'дод 3'!M261+'дод 3'!M258</f>
        <v>2348000</v>
      </c>
      <c r="M20" s="59">
        <f>'дод 3'!N21+'дод 3'!N68+'дод 3'!N113+'дод 3'!N142+'дод 3'!N175+'дод 3'!N181+'дод 3'!N193+'дод 3'!N221+'дод 3'!N225+'дод 3'!N242+'дод 3'!N247+'дод 3'!N250+'дод 3'!N261+'дод 3'!N258</f>
        <v>90600</v>
      </c>
      <c r="N20" s="59">
        <f>'дод 3'!O21+'дод 3'!O68+'дод 3'!O113+'дод 3'!O142+'дод 3'!O175+'дод 3'!O181+'дод 3'!O193+'дод 3'!O221+'дод 3'!O225+'дод 3'!O242+'дод 3'!O247+'дод 3'!O250+'дод 3'!O261+'дод 3'!O258</f>
        <v>234500</v>
      </c>
      <c r="O20" s="59">
        <f>'дод 3'!P21+'дод 3'!P68+'дод 3'!P113+'дод 3'!P142+'дод 3'!P175+'дод 3'!P181+'дод 3'!P193+'дод 3'!P221+'дод 3'!P225+'дод 3'!P242+'дод 3'!P247+'дод 3'!P250+'дод 3'!P261+'дод 3'!P258</f>
        <v>241526019</v>
      </c>
    </row>
    <row r="21" spans="1:15" ht="27" customHeight="1" x14ac:dyDescent="0.25">
      <c r="A21" s="46" t="s">
        <v>49</v>
      </c>
      <c r="B21" s="46" t="s">
        <v>100</v>
      </c>
      <c r="C21" s="6" t="s">
        <v>264</v>
      </c>
      <c r="D21" s="59">
        <f>'дод 3'!E22</f>
        <v>430300</v>
      </c>
      <c r="E21" s="59">
        <f>'дод 3'!F22</f>
        <v>430300</v>
      </c>
      <c r="F21" s="59">
        <f>'дод 3'!G22</f>
        <v>0</v>
      </c>
      <c r="G21" s="59">
        <f>'дод 3'!H22</f>
        <v>0</v>
      </c>
      <c r="H21" s="59">
        <f>'дод 3'!I22</f>
        <v>0</v>
      </c>
      <c r="I21" s="59">
        <f>'дод 3'!J22</f>
        <v>0</v>
      </c>
      <c r="J21" s="59">
        <f>'дод 3'!K22</f>
        <v>0</v>
      </c>
      <c r="K21" s="59">
        <f>'дод 3'!L22</f>
        <v>0</v>
      </c>
      <c r="L21" s="59">
        <f>'дод 3'!M22</f>
        <v>0</v>
      </c>
      <c r="M21" s="59">
        <f>'дод 3'!N22</f>
        <v>0</v>
      </c>
      <c r="N21" s="59">
        <f>'дод 3'!O22</f>
        <v>0</v>
      </c>
      <c r="O21" s="59">
        <f>'дод 3'!P22</f>
        <v>430300</v>
      </c>
    </row>
    <row r="22" spans="1:15" ht="27" customHeight="1" x14ac:dyDescent="0.25">
      <c r="A22" s="88" t="s">
        <v>529</v>
      </c>
      <c r="B22" s="88" t="s">
        <v>127</v>
      </c>
      <c r="C22" s="6" t="s">
        <v>530</v>
      </c>
      <c r="D22" s="59">
        <f>'дод 3'!E23</f>
        <v>304496</v>
      </c>
      <c r="E22" s="59">
        <f>'дод 3'!F23</f>
        <v>304496</v>
      </c>
      <c r="F22" s="59">
        <f>'дод 3'!G23</f>
        <v>0</v>
      </c>
      <c r="G22" s="59">
        <f>'дод 3'!H23</f>
        <v>0</v>
      </c>
      <c r="H22" s="59">
        <f>'дод 3'!I23</f>
        <v>0</v>
      </c>
      <c r="I22" s="59">
        <f>'дод 3'!J23</f>
        <v>0</v>
      </c>
      <c r="J22" s="59">
        <f>'дод 3'!K23</f>
        <v>0</v>
      </c>
      <c r="K22" s="59">
        <f>'дод 3'!L23</f>
        <v>0</v>
      </c>
      <c r="L22" s="59">
        <f>'дод 3'!M23</f>
        <v>0</v>
      </c>
      <c r="M22" s="59">
        <f>'дод 3'!N23</f>
        <v>0</v>
      </c>
      <c r="N22" s="59">
        <f>'дод 3'!O23</f>
        <v>0</v>
      </c>
      <c r="O22" s="59">
        <f>'дод 3'!P23</f>
        <v>304496</v>
      </c>
    </row>
    <row r="23" spans="1:15" s="75" customFormat="1" ht="24" customHeight="1" x14ac:dyDescent="0.25">
      <c r="A23" s="47" t="s">
        <v>51</v>
      </c>
      <c r="B23" s="48"/>
      <c r="C23" s="9" t="s">
        <v>467</v>
      </c>
      <c r="D23" s="58">
        <f>D31+D33+D40+D44+D45+D46+D49+D50+D51+D52+D54</f>
        <v>949074977.45000005</v>
      </c>
      <c r="E23" s="58">
        <f t="shared" ref="E23:O23" si="1">E31+E33+E40+E44+E45+E46+E49+E50+E51+E52+E54</f>
        <v>949074977.45000005</v>
      </c>
      <c r="F23" s="58">
        <f t="shared" si="1"/>
        <v>656452793.80999994</v>
      </c>
      <c r="G23" s="58">
        <f t="shared" si="1"/>
        <v>68534157.560000002</v>
      </c>
      <c r="H23" s="58">
        <f t="shared" si="1"/>
        <v>0</v>
      </c>
      <c r="I23" s="58">
        <f t="shared" si="1"/>
        <v>66983209.310000002</v>
      </c>
      <c r="J23" s="58">
        <f t="shared" si="1"/>
        <v>10887061.309999999</v>
      </c>
      <c r="K23" s="58">
        <f t="shared" si="1"/>
        <v>55986428</v>
      </c>
      <c r="L23" s="58">
        <f t="shared" si="1"/>
        <v>6476192</v>
      </c>
      <c r="M23" s="58">
        <f t="shared" si="1"/>
        <v>3124191</v>
      </c>
      <c r="N23" s="58">
        <f t="shared" si="1"/>
        <v>10996781.309999999</v>
      </c>
      <c r="O23" s="58">
        <f t="shared" si="1"/>
        <v>1016058186.76</v>
      </c>
    </row>
    <row r="24" spans="1:15" s="76" customFormat="1" ht="31.5" x14ac:dyDescent="0.25">
      <c r="A24" s="132"/>
      <c r="B24" s="147"/>
      <c r="C24" s="148" t="s">
        <v>451</v>
      </c>
      <c r="D24" s="149">
        <f>D38+D42+D47</f>
        <v>368310616</v>
      </c>
      <c r="E24" s="149">
        <f t="shared" ref="E24:O24" si="2">E38+E42+E47</f>
        <v>368310616</v>
      </c>
      <c r="F24" s="149">
        <f t="shared" si="2"/>
        <v>302081404</v>
      </c>
      <c r="G24" s="149">
        <f t="shared" si="2"/>
        <v>0</v>
      </c>
      <c r="H24" s="149">
        <f t="shared" si="2"/>
        <v>0</v>
      </c>
      <c r="I24" s="149">
        <f t="shared" si="2"/>
        <v>33571.67</v>
      </c>
      <c r="J24" s="149">
        <f t="shared" si="2"/>
        <v>33571.67</v>
      </c>
      <c r="K24" s="149">
        <f t="shared" si="2"/>
        <v>0</v>
      </c>
      <c r="L24" s="149">
        <f t="shared" si="2"/>
        <v>0</v>
      </c>
      <c r="M24" s="149">
        <f t="shared" si="2"/>
        <v>0</v>
      </c>
      <c r="N24" s="149">
        <f t="shared" si="2"/>
        <v>33571.67</v>
      </c>
      <c r="O24" s="149">
        <f t="shared" si="2"/>
        <v>368344187.67000002</v>
      </c>
    </row>
    <row r="25" spans="1:15" s="76" customFormat="1" ht="78.75" x14ac:dyDescent="0.25">
      <c r="A25" s="132"/>
      <c r="B25" s="147"/>
      <c r="C25" s="148" t="s">
        <v>449</v>
      </c>
      <c r="D25" s="149">
        <f>D34+D41</f>
        <v>2739700</v>
      </c>
      <c r="E25" s="149">
        <f t="shared" ref="E25:O25" si="3">E34+E41</f>
        <v>2739700</v>
      </c>
      <c r="F25" s="149">
        <f t="shared" si="3"/>
        <v>2249257</v>
      </c>
      <c r="G25" s="149">
        <f t="shared" si="3"/>
        <v>0</v>
      </c>
      <c r="H25" s="149">
        <f t="shared" si="3"/>
        <v>0</v>
      </c>
      <c r="I25" s="149">
        <f t="shared" si="3"/>
        <v>0</v>
      </c>
      <c r="J25" s="149">
        <f t="shared" si="3"/>
        <v>0</v>
      </c>
      <c r="K25" s="149">
        <f t="shared" si="3"/>
        <v>0</v>
      </c>
      <c r="L25" s="149">
        <f t="shared" si="3"/>
        <v>0</v>
      </c>
      <c r="M25" s="149">
        <f t="shared" si="3"/>
        <v>0</v>
      </c>
      <c r="N25" s="149">
        <f t="shared" si="3"/>
        <v>0</v>
      </c>
      <c r="O25" s="149">
        <f t="shared" si="3"/>
        <v>2739700</v>
      </c>
    </row>
    <row r="26" spans="1:15" s="76" customFormat="1" ht="47.25" x14ac:dyDescent="0.25">
      <c r="A26" s="132"/>
      <c r="B26" s="147"/>
      <c r="C26" s="148" t="s">
        <v>446</v>
      </c>
      <c r="D26" s="149">
        <f>D35+D53</f>
        <v>3303370</v>
      </c>
      <c r="E26" s="149">
        <f t="shared" ref="E26:O26" si="4">E35+E53</f>
        <v>3303370</v>
      </c>
      <c r="F26" s="149">
        <f t="shared" si="4"/>
        <v>1013420</v>
      </c>
      <c r="G26" s="149">
        <f t="shared" si="4"/>
        <v>0</v>
      </c>
      <c r="H26" s="149">
        <f t="shared" si="4"/>
        <v>0</v>
      </c>
      <c r="I26" s="149">
        <f t="shared" si="4"/>
        <v>0</v>
      </c>
      <c r="J26" s="149">
        <f t="shared" si="4"/>
        <v>0</v>
      </c>
      <c r="K26" s="149">
        <f t="shared" si="4"/>
        <v>0</v>
      </c>
      <c r="L26" s="149">
        <f t="shared" si="4"/>
        <v>0</v>
      </c>
      <c r="M26" s="149">
        <f t="shared" si="4"/>
        <v>0</v>
      </c>
      <c r="N26" s="149">
        <f t="shared" si="4"/>
        <v>0</v>
      </c>
      <c r="O26" s="149">
        <f t="shared" si="4"/>
        <v>3303370</v>
      </c>
    </row>
    <row r="27" spans="1:15" s="76" customFormat="1" ht="47.25" x14ac:dyDescent="0.25">
      <c r="A27" s="132"/>
      <c r="B27" s="147"/>
      <c r="C27" s="148" t="s">
        <v>448</v>
      </c>
      <c r="D27" s="149">
        <f>D36+D48</f>
        <v>452641.7</v>
      </c>
      <c r="E27" s="149">
        <f t="shared" ref="E27:O27" si="5">E36+E48</f>
        <v>452641.7</v>
      </c>
      <c r="F27" s="149">
        <f t="shared" si="5"/>
        <v>0</v>
      </c>
      <c r="G27" s="149">
        <f t="shared" si="5"/>
        <v>0</v>
      </c>
      <c r="H27" s="149">
        <f t="shared" si="5"/>
        <v>0</v>
      </c>
      <c r="I27" s="149">
        <f t="shared" si="5"/>
        <v>990558.3</v>
      </c>
      <c r="J27" s="149">
        <f t="shared" si="5"/>
        <v>990558.3</v>
      </c>
      <c r="K27" s="149">
        <f t="shared" si="5"/>
        <v>0</v>
      </c>
      <c r="L27" s="149">
        <f t="shared" si="5"/>
        <v>0</v>
      </c>
      <c r="M27" s="149">
        <f t="shared" si="5"/>
        <v>0</v>
      </c>
      <c r="N27" s="149">
        <f t="shared" si="5"/>
        <v>990558.3</v>
      </c>
      <c r="O27" s="149">
        <f t="shared" si="5"/>
        <v>1443200</v>
      </c>
    </row>
    <row r="28" spans="1:15" s="76" customFormat="1" ht="63" x14ac:dyDescent="0.25">
      <c r="A28" s="132"/>
      <c r="B28" s="147"/>
      <c r="C28" s="150" t="s">
        <v>445</v>
      </c>
      <c r="D28" s="149">
        <f>D32+D37</f>
        <v>1767879</v>
      </c>
      <c r="E28" s="149">
        <f t="shared" ref="E28:O28" si="6">E32+E37</f>
        <v>1767879</v>
      </c>
      <c r="F28" s="149">
        <f t="shared" si="6"/>
        <v>1449080</v>
      </c>
      <c r="G28" s="149">
        <f t="shared" si="6"/>
        <v>0</v>
      </c>
      <c r="H28" s="149">
        <f t="shared" si="6"/>
        <v>0</v>
      </c>
      <c r="I28" s="149">
        <f t="shared" si="6"/>
        <v>744000</v>
      </c>
      <c r="J28" s="149">
        <f t="shared" si="6"/>
        <v>744000</v>
      </c>
      <c r="K28" s="149">
        <f t="shared" si="6"/>
        <v>0</v>
      </c>
      <c r="L28" s="149">
        <f t="shared" si="6"/>
        <v>0</v>
      </c>
      <c r="M28" s="149">
        <f t="shared" si="6"/>
        <v>0</v>
      </c>
      <c r="N28" s="149">
        <f t="shared" si="6"/>
        <v>744000</v>
      </c>
      <c r="O28" s="149">
        <f t="shared" si="6"/>
        <v>2511879</v>
      </c>
    </row>
    <row r="29" spans="1:15" s="76" customFormat="1" ht="63" x14ac:dyDescent="0.25">
      <c r="A29" s="132"/>
      <c r="B29" s="147"/>
      <c r="C29" s="148" t="s">
        <v>447</v>
      </c>
      <c r="D29" s="149">
        <f>D39+D43</f>
        <v>4798897</v>
      </c>
      <c r="E29" s="149">
        <f t="shared" ref="E29:O29" si="7">E39+E43</f>
        <v>4798897</v>
      </c>
      <c r="F29" s="149">
        <f t="shared" si="7"/>
        <v>0</v>
      </c>
      <c r="G29" s="149">
        <f t="shared" si="7"/>
        <v>0</v>
      </c>
      <c r="H29" s="149">
        <f t="shared" si="7"/>
        <v>0</v>
      </c>
      <c r="I29" s="149">
        <f t="shared" si="7"/>
        <v>751639</v>
      </c>
      <c r="J29" s="149">
        <f t="shared" si="7"/>
        <v>751639</v>
      </c>
      <c r="K29" s="149">
        <f t="shared" si="7"/>
        <v>0</v>
      </c>
      <c r="L29" s="149">
        <f t="shared" si="7"/>
        <v>0</v>
      </c>
      <c r="M29" s="149">
        <f t="shared" si="7"/>
        <v>0</v>
      </c>
      <c r="N29" s="149">
        <f t="shared" si="7"/>
        <v>751639</v>
      </c>
      <c r="O29" s="149">
        <f t="shared" si="7"/>
        <v>5550536</v>
      </c>
    </row>
    <row r="30" spans="1:15" s="76" customFormat="1" ht="49.5" customHeight="1" x14ac:dyDescent="0.25">
      <c r="A30" s="132"/>
      <c r="B30" s="132"/>
      <c r="C30" s="148" t="s">
        <v>522</v>
      </c>
      <c r="D30" s="149">
        <f>D55</f>
        <v>0</v>
      </c>
      <c r="E30" s="149">
        <f t="shared" ref="E30:O30" si="8">E55</f>
        <v>0</v>
      </c>
      <c r="F30" s="149">
        <f t="shared" si="8"/>
        <v>0</v>
      </c>
      <c r="G30" s="149">
        <f t="shared" si="8"/>
        <v>0</v>
      </c>
      <c r="H30" s="149">
        <f t="shared" si="8"/>
        <v>0</v>
      </c>
      <c r="I30" s="149">
        <f t="shared" si="8"/>
        <v>1180956</v>
      </c>
      <c r="J30" s="149">
        <f t="shared" si="8"/>
        <v>1180956</v>
      </c>
      <c r="K30" s="149">
        <f t="shared" si="8"/>
        <v>0</v>
      </c>
      <c r="L30" s="149">
        <f t="shared" si="8"/>
        <v>0</v>
      </c>
      <c r="M30" s="149">
        <f t="shared" si="8"/>
        <v>0</v>
      </c>
      <c r="N30" s="149">
        <f t="shared" si="8"/>
        <v>1180956</v>
      </c>
      <c r="O30" s="149">
        <f t="shared" si="8"/>
        <v>1180956</v>
      </c>
    </row>
    <row r="31" spans="1:15" ht="27" customHeight="1" x14ac:dyDescent="0.25">
      <c r="A31" s="46" t="s">
        <v>52</v>
      </c>
      <c r="B31" s="46" t="s">
        <v>53</v>
      </c>
      <c r="C31" s="6" t="s">
        <v>468</v>
      </c>
      <c r="D31" s="59">
        <f>'дод 3'!E69</f>
        <v>238692642</v>
      </c>
      <c r="E31" s="59">
        <f>'дод 3'!F69</f>
        <v>238692642</v>
      </c>
      <c r="F31" s="59">
        <f>'дод 3'!G69</f>
        <v>159683410</v>
      </c>
      <c r="G31" s="59">
        <f>'дод 3'!H69</f>
        <v>23489756</v>
      </c>
      <c r="H31" s="59">
        <f>'дод 3'!I69</f>
        <v>0</v>
      </c>
      <c r="I31" s="59">
        <f>'дод 3'!J69</f>
        <v>18003539</v>
      </c>
      <c r="J31" s="59">
        <f>'дод 3'!K69</f>
        <v>1677883</v>
      </c>
      <c r="K31" s="59">
        <f>'дод 3'!L69</f>
        <v>16325656</v>
      </c>
      <c r="L31" s="59">
        <f>'дод 3'!M69</f>
        <v>0</v>
      </c>
      <c r="M31" s="59">
        <f>'дод 3'!N69</f>
        <v>0</v>
      </c>
      <c r="N31" s="59">
        <f>'дод 3'!O69</f>
        <v>1677883</v>
      </c>
      <c r="O31" s="59">
        <f>'дод 3'!P69</f>
        <v>256696181</v>
      </c>
    </row>
    <row r="32" spans="1:15" s="77" customFormat="1" ht="47.25" x14ac:dyDescent="0.25">
      <c r="A32" s="151"/>
      <c r="B32" s="151"/>
      <c r="C32" s="152" t="s">
        <v>445</v>
      </c>
      <c r="D32" s="153">
        <f>'дод 3'!E70</f>
        <v>162879</v>
      </c>
      <c r="E32" s="153">
        <f>'дод 3'!F70</f>
        <v>162879</v>
      </c>
      <c r="F32" s="153">
        <f>'дод 3'!G70</f>
        <v>133510</v>
      </c>
      <c r="G32" s="153">
        <f>'дод 3'!H70</f>
        <v>0</v>
      </c>
      <c r="H32" s="153">
        <f>'дод 3'!I70</f>
        <v>0</v>
      </c>
      <c r="I32" s="153">
        <f>'дод 3'!J70</f>
        <v>80600</v>
      </c>
      <c r="J32" s="153">
        <f>'дод 3'!K70</f>
        <v>80600</v>
      </c>
      <c r="K32" s="153">
        <f>'дод 3'!L70</f>
        <v>0</v>
      </c>
      <c r="L32" s="153">
        <f>'дод 3'!M70</f>
        <v>0</v>
      </c>
      <c r="M32" s="153">
        <f>'дод 3'!N70</f>
        <v>0</v>
      </c>
      <c r="N32" s="153">
        <f>'дод 3'!O70</f>
        <v>80600</v>
      </c>
      <c r="O32" s="153">
        <f>'дод 3'!P70</f>
        <v>243479</v>
      </c>
    </row>
    <row r="33" spans="1:15" ht="55.5" customHeight="1" x14ac:dyDescent="0.25">
      <c r="A33" s="46" t="s">
        <v>54</v>
      </c>
      <c r="B33" s="46" t="s">
        <v>55</v>
      </c>
      <c r="C33" s="6" t="s">
        <v>470</v>
      </c>
      <c r="D33" s="59">
        <f>'дод 3'!E71</f>
        <v>543724695.5</v>
      </c>
      <c r="E33" s="59">
        <f>'дод 3'!F71</f>
        <v>543724695.5</v>
      </c>
      <c r="F33" s="59">
        <f>'дод 3'!G71</f>
        <v>381610253</v>
      </c>
      <c r="G33" s="59">
        <f>'дод 3'!H71</f>
        <v>34623102</v>
      </c>
      <c r="H33" s="59">
        <f>'дод 3'!I71</f>
        <v>0</v>
      </c>
      <c r="I33" s="59">
        <f>'дод 3'!J71</f>
        <v>34780295.310000002</v>
      </c>
      <c r="J33" s="59">
        <f>'дод 3'!K71</f>
        <v>5868548.3099999996</v>
      </c>
      <c r="K33" s="59">
        <f>'дод 3'!L71</f>
        <v>28911747</v>
      </c>
      <c r="L33" s="59">
        <f>'дод 3'!M71</f>
        <v>1713303</v>
      </c>
      <c r="M33" s="59">
        <f>'дод 3'!N71</f>
        <v>147329</v>
      </c>
      <c r="N33" s="59">
        <f>'дод 3'!O71</f>
        <v>5868548.3099999996</v>
      </c>
      <c r="O33" s="59">
        <f>'дод 3'!P71</f>
        <v>578504990.80999994</v>
      </c>
    </row>
    <row r="34" spans="1:15" s="77" customFormat="1" ht="63" x14ac:dyDescent="0.25">
      <c r="A34" s="151"/>
      <c r="B34" s="151"/>
      <c r="C34" s="152" t="s">
        <v>449</v>
      </c>
      <c r="D34" s="153">
        <f>'дод 3'!E72</f>
        <v>2720137</v>
      </c>
      <c r="E34" s="153">
        <f>'дод 3'!F72</f>
        <v>2720137</v>
      </c>
      <c r="F34" s="153">
        <f>'дод 3'!G72</f>
        <v>2233189</v>
      </c>
      <c r="G34" s="153">
        <f>'дод 3'!H72</f>
        <v>0</v>
      </c>
      <c r="H34" s="153">
        <f>'дод 3'!I72</f>
        <v>0</v>
      </c>
      <c r="I34" s="153">
        <f>'дод 3'!J72</f>
        <v>0</v>
      </c>
      <c r="J34" s="153">
        <f>'дод 3'!K72</f>
        <v>0</v>
      </c>
      <c r="K34" s="153">
        <f>'дод 3'!L72</f>
        <v>0</v>
      </c>
      <c r="L34" s="153">
        <f>'дод 3'!M72</f>
        <v>0</v>
      </c>
      <c r="M34" s="153">
        <f>'дод 3'!N72</f>
        <v>0</v>
      </c>
      <c r="N34" s="153">
        <f>'дод 3'!O72</f>
        <v>0</v>
      </c>
      <c r="O34" s="153">
        <f>'дод 3'!P72</f>
        <v>2720137</v>
      </c>
    </row>
    <row r="35" spans="1:15" s="77" customFormat="1" ht="47.25" x14ac:dyDescent="0.25">
      <c r="A35" s="151"/>
      <c r="B35" s="151"/>
      <c r="C35" s="152" t="s">
        <v>446</v>
      </c>
      <c r="D35" s="153">
        <f>'дод 3'!E73</f>
        <v>2067000</v>
      </c>
      <c r="E35" s="153">
        <f>'дод 3'!F73</f>
        <v>2067000</v>
      </c>
      <c r="F35" s="153">
        <f>'дод 3'!G73</f>
        <v>0</v>
      </c>
      <c r="G35" s="153">
        <f>'дод 3'!H73</f>
        <v>0</v>
      </c>
      <c r="H35" s="153">
        <f>'дод 3'!I73</f>
        <v>0</v>
      </c>
      <c r="I35" s="153">
        <f>'дод 3'!J73</f>
        <v>0</v>
      </c>
      <c r="J35" s="153">
        <f>'дод 3'!K73</f>
        <v>0</v>
      </c>
      <c r="K35" s="153">
        <f>'дод 3'!L73</f>
        <v>0</v>
      </c>
      <c r="L35" s="153">
        <f>'дод 3'!M73</f>
        <v>0</v>
      </c>
      <c r="M35" s="153">
        <f>'дод 3'!N73</f>
        <v>0</v>
      </c>
      <c r="N35" s="153">
        <f>'дод 3'!O73</f>
        <v>0</v>
      </c>
      <c r="O35" s="153">
        <f>'дод 3'!P73</f>
        <v>2067000</v>
      </c>
    </row>
    <row r="36" spans="1:15" s="77" customFormat="1" ht="47.25" x14ac:dyDescent="0.25">
      <c r="A36" s="151"/>
      <c r="B36" s="151"/>
      <c r="C36" s="152" t="s">
        <v>448</v>
      </c>
      <c r="D36" s="153">
        <f>'дод 3'!E74</f>
        <v>117641.7</v>
      </c>
      <c r="E36" s="153">
        <f>'дод 3'!F74</f>
        <v>117641.7</v>
      </c>
      <c r="F36" s="153">
        <f>'дод 3'!G74</f>
        <v>0</v>
      </c>
      <c r="G36" s="153">
        <f>'дод 3'!H74</f>
        <v>0</v>
      </c>
      <c r="H36" s="153">
        <f>'дод 3'!I74</f>
        <v>0</v>
      </c>
      <c r="I36" s="153">
        <f>'дод 3'!J74</f>
        <v>686558.3</v>
      </c>
      <c r="J36" s="153">
        <f>'дод 3'!K74</f>
        <v>686558.3</v>
      </c>
      <c r="K36" s="153">
        <f>'дод 3'!L74</f>
        <v>0</v>
      </c>
      <c r="L36" s="153">
        <f>'дод 3'!M74</f>
        <v>0</v>
      </c>
      <c r="M36" s="153">
        <f>'дод 3'!N74</f>
        <v>0</v>
      </c>
      <c r="N36" s="153">
        <f>'дод 3'!O74</f>
        <v>686558.3</v>
      </c>
      <c r="O36" s="153">
        <f>'дод 3'!P74</f>
        <v>804200</v>
      </c>
    </row>
    <row r="37" spans="1:15" s="77" customFormat="1" ht="47.25" x14ac:dyDescent="0.25">
      <c r="A37" s="151"/>
      <c r="B37" s="151"/>
      <c r="C37" s="152" t="s">
        <v>445</v>
      </c>
      <c r="D37" s="153">
        <f>'дод 3'!E75</f>
        <v>1605000</v>
      </c>
      <c r="E37" s="153">
        <f>'дод 3'!F75</f>
        <v>1605000</v>
      </c>
      <c r="F37" s="153">
        <f>'дод 3'!G75</f>
        <v>1315570</v>
      </c>
      <c r="G37" s="153">
        <f>'дод 3'!H75</f>
        <v>0</v>
      </c>
      <c r="H37" s="153">
        <f>'дод 3'!I75</f>
        <v>0</v>
      </c>
      <c r="I37" s="153">
        <f>'дод 3'!J75</f>
        <v>663400</v>
      </c>
      <c r="J37" s="153">
        <f>'дод 3'!K75</f>
        <v>663400</v>
      </c>
      <c r="K37" s="153">
        <f>'дод 3'!L75</f>
        <v>0</v>
      </c>
      <c r="L37" s="153">
        <f>'дод 3'!M75</f>
        <v>0</v>
      </c>
      <c r="M37" s="153">
        <f>'дод 3'!N75</f>
        <v>0</v>
      </c>
      <c r="N37" s="153">
        <f>'дод 3'!O75</f>
        <v>663400</v>
      </c>
      <c r="O37" s="153">
        <f>'дод 3'!P75</f>
        <v>2268400</v>
      </c>
    </row>
    <row r="38" spans="1:15" s="77" customFormat="1" ht="31.5" x14ac:dyDescent="0.25">
      <c r="A38" s="151"/>
      <c r="B38" s="151"/>
      <c r="C38" s="152" t="s">
        <v>451</v>
      </c>
      <c r="D38" s="153">
        <f>'дод 3'!E76</f>
        <v>351514074</v>
      </c>
      <c r="E38" s="153">
        <f>'дод 3'!F76</f>
        <v>351514074</v>
      </c>
      <c r="F38" s="153">
        <f>'дод 3'!G76</f>
        <v>288302873</v>
      </c>
      <c r="G38" s="153">
        <f>'дод 3'!H76</f>
        <v>0</v>
      </c>
      <c r="H38" s="153">
        <f>'дод 3'!I76</f>
        <v>0</v>
      </c>
      <c r="I38" s="153">
        <f>'дод 3'!J76</f>
        <v>33571.67</v>
      </c>
      <c r="J38" s="153">
        <f>'дод 3'!K76</f>
        <v>33571.67</v>
      </c>
      <c r="K38" s="153">
        <f>'дод 3'!L76</f>
        <v>0</v>
      </c>
      <c r="L38" s="153">
        <f>'дод 3'!M76</f>
        <v>0</v>
      </c>
      <c r="M38" s="153">
        <f>'дод 3'!N76</f>
        <v>0</v>
      </c>
      <c r="N38" s="153">
        <f>'дод 3'!O76</f>
        <v>33571.67</v>
      </c>
      <c r="O38" s="153">
        <f>'дод 3'!P76</f>
        <v>351547645.67000002</v>
      </c>
    </row>
    <row r="39" spans="1:15" s="77" customFormat="1" ht="63" x14ac:dyDescent="0.25">
      <c r="A39" s="151"/>
      <c r="B39" s="151"/>
      <c r="C39" s="152" t="s">
        <v>447</v>
      </c>
      <c r="D39" s="153">
        <f>'дод 3'!E77</f>
        <v>4773058</v>
      </c>
      <c r="E39" s="153">
        <f>'дод 3'!F77</f>
        <v>4773058</v>
      </c>
      <c r="F39" s="153">
        <f>'дод 3'!G77</f>
        <v>0</v>
      </c>
      <c r="G39" s="153">
        <f>'дод 3'!H77</f>
        <v>0</v>
      </c>
      <c r="H39" s="153">
        <f>'дод 3'!I77</f>
        <v>0</v>
      </c>
      <c r="I39" s="153">
        <f>'дод 3'!J77</f>
        <v>730410</v>
      </c>
      <c r="J39" s="153">
        <f>'дод 3'!K77</f>
        <v>730410</v>
      </c>
      <c r="K39" s="153">
        <f>'дод 3'!L77</f>
        <v>0</v>
      </c>
      <c r="L39" s="153">
        <f>'дод 3'!M77</f>
        <v>0</v>
      </c>
      <c r="M39" s="153">
        <f>'дод 3'!N77</f>
        <v>0</v>
      </c>
      <c r="N39" s="153">
        <f>'дод 3'!O77</f>
        <v>730410</v>
      </c>
      <c r="O39" s="153">
        <f>'дод 3'!P77</f>
        <v>5503468</v>
      </c>
    </row>
    <row r="40" spans="1:15" ht="70.5" customHeight="1" x14ac:dyDescent="0.25">
      <c r="A40" s="46">
        <v>1030</v>
      </c>
      <c r="B40" s="46" t="s">
        <v>59</v>
      </c>
      <c r="C40" s="6" t="s">
        <v>469</v>
      </c>
      <c r="D40" s="59">
        <f>'дод 3'!E78</f>
        <v>15476293</v>
      </c>
      <c r="E40" s="59">
        <f>'дод 3'!F78</f>
        <v>15476293</v>
      </c>
      <c r="F40" s="59">
        <f>'дод 3'!G78</f>
        <v>10776084</v>
      </c>
      <c r="G40" s="59">
        <f>'дод 3'!H78</f>
        <v>1099947</v>
      </c>
      <c r="H40" s="59">
        <f>'дод 3'!I78</f>
        <v>0</v>
      </c>
      <c r="I40" s="59">
        <f>'дод 3'!J78</f>
        <v>252327</v>
      </c>
      <c r="J40" s="59">
        <f>'дод 3'!K78</f>
        <v>252327</v>
      </c>
      <c r="K40" s="59">
        <f>'дод 3'!L78</f>
        <v>0</v>
      </c>
      <c r="L40" s="59">
        <f>'дод 3'!M78</f>
        <v>0</v>
      </c>
      <c r="M40" s="59">
        <f>'дод 3'!N78</f>
        <v>0</v>
      </c>
      <c r="N40" s="59">
        <f>'дод 3'!O78</f>
        <v>252327</v>
      </c>
      <c r="O40" s="59">
        <f>'дод 3'!P78</f>
        <v>15728620</v>
      </c>
    </row>
    <row r="41" spans="1:15" ht="70.5" customHeight="1" x14ac:dyDescent="0.25">
      <c r="A41" s="46"/>
      <c r="B41" s="46"/>
      <c r="C41" s="152" t="s">
        <v>449</v>
      </c>
      <c r="D41" s="59">
        <f>'дод 3'!E79</f>
        <v>19563</v>
      </c>
      <c r="E41" s="59">
        <f>'дод 3'!F79</f>
        <v>19563</v>
      </c>
      <c r="F41" s="59">
        <f>'дод 3'!G79</f>
        <v>16068</v>
      </c>
      <c r="G41" s="59">
        <f>'дод 3'!H79</f>
        <v>0</v>
      </c>
      <c r="H41" s="59">
        <f>'дод 3'!I79</f>
        <v>0</v>
      </c>
      <c r="I41" s="59">
        <f>'дод 3'!J79</f>
        <v>0</v>
      </c>
      <c r="J41" s="59">
        <f>'дод 3'!K79</f>
        <v>0</v>
      </c>
      <c r="K41" s="59">
        <f>'дод 3'!L79</f>
        <v>0</v>
      </c>
      <c r="L41" s="59">
        <f>'дод 3'!M79</f>
        <v>0</v>
      </c>
      <c r="M41" s="59">
        <f>'дод 3'!N79</f>
        <v>0</v>
      </c>
      <c r="N41" s="59">
        <f>'дод 3'!O79</f>
        <v>0</v>
      </c>
      <c r="O41" s="59">
        <f>'дод 3'!P79</f>
        <v>19563</v>
      </c>
    </row>
    <row r="42" spans="1:15" s="77" customFormat="1" ht="31.5" x14ac:dyDescent="0.25">
      <c r="A42" s="151"/>
      <c r="B42" s="151"/>
      <c r="C42" s="152" t="s">
        <v>451</v>
      </c>
      <c r="D42" s="153">
        <f>'дод 3'!E80</f>
        <v>8763496</v>
      </c>
      <c r="E42" s="153">
        <f>'дод 3'!F80</f>
        <v>8763496</v>
      </c>
      <c r="F42" s="153">
        <f>'дод 3'!G80</f>
        <v>7194067</v>
      </c>
      <c r="G42" s="153">
        <f>'дод 3'!H80</f>
        <v>0</v>
      </c>
      <c r="H42" s="153">
        <f>'дод 3'!I80</f>
        <v>0</v>
      </c>
      <c r="I42" s="153">
        <f>'дод 3'!J80</f>
        <v>0</v>
      </c>
      <c r="J42" s="153">
        <f>'дод 3'!K80</f>
        <v>0</v>
      </c>
      <c r="K42" s="153">
        <f>'дод 3'!L80</f>
        <v>0</v>
      </c>
      <c r="L42" s="153">
        <f>'дод 3'!M80</f>
        <v>0</v>
      </c>
      <c r="M42" s="153">
        <f>'дод 3'!N80</f>
        <v>0</v>
      </c>
      <c r="N42" s="153">
        <f>'дод 3'!O80</f>
        <v>0</v>
      </c>
      <c r="O42" s="153">
        <f>'дод 3'!P80</f>
        <v>8763496</v>
      </c>
    </row>
    <row r="43" spans="1:15" s="77" customFormat="1" ht="63" x14ac:dyDescent="0.25">
      <c r="A43" s="151"/>
      <c r="B43" s="151"/>
      <c r="C43" s="152" t="s">
        <v>447</v>
      </c>
      <c r="D43" s="153">
        <f>'дод 3'!E81</f>
        <v>25839</v>
      </c>
      <c r="E43" s="153">
        <f>'дод 3'!F81</f>
        <v>25839</v>
      </c>
      <c r="F43" s="153">
        <f>'дод 3'!G81</f>
        <v>0</v>
      </c>
      <c r="G43" s="153">
        <f>'дод 3'!H81</f>
        <v>0</v>
      </c>
      <c r="H43" s="153">
        <f>'дод 3'!I81</f>
        <v>0</v>
      </c>
      <c r="I43" s="153">
        <f>'дод 3'!J81</f>
        <v>21229</v>
      </c>
      <c r="J43" s="153">
        <f>'дод 3'!K81</f>
        <v>21229</v>
      </c>
      <c r="K43" s="153">
        <f>'дод 3'!L81</f>
        <v>0</v>
      </c>
      <c r="L43" s="153">
        <f>'дод 3'!M81</f>
        <v>0</v>
      </c>
      <c r="M43" s="153">
        <f>'дод 3'!N81</f>
        <v>0</v>
      </c>
      <c r="N43" s="153">
        <f>'дод 3'!O81</f>
        <v>21229</v>
      </c>
      <c r="O43" s="153">
        <f>'дод 3'!P81</f>
        <v>47068</v>
      </c>
    </row>
    <row r="44" spans="1:15" ht="38.25" customHeight="1" x14ac:dyDescent="0.25">
      <c r="A44" s="46" t="s">
        <v>60</v>
      </c>
      <c r="B44" s="46" t="s">
        <v>61</v>
      </c>
      <c r="C44" s="6" t="s">
        <v>404</v>
      </c>
      <c r="D44" s="59">
        <f>'дод 3'!E82</f>
        <v>27941440</v>
      </c>
      <c r="E44" s="59">
        <f>'дод 3'!F82</f>
        <v>27941440</v>
      </c>
      <c r="F44" s="59">
        <f>'дод 3'!G82</f>
        <v>19715700</v>
      </c>
      <c r="G44" s="59">
        <f>'дод 3'!H82</f>
        <v>2978190</v>
      </c>
      <c r="H44" s="59">
        <f>'дод 3'!I82</f>
        <v>0</v>
      </c>
      <c r="I44" s="59">
        <f>'дод 3'!J82</f>
        <v>15000</v>
      </c>
      <c r="J44" s="59">
        <f>'дод 3'!K82</f>
        <v>15000</v>
      </c>
      <c r="K44" s="59">
        <f>'дод 3'!L82</f>
        <v>0</v>
      </c>
      <c r="L44" s="59">
        <f>'дод 3'!M82</f>
        <v>0</v>
      </c>
      <c r="M44" s="59">
        <f>'дод 3'!N82</f>
        <v>0</v>
      </c>
      <c r="N44" s="59">
        <f>'дод 3'!O82</f>
        <v>15000</v>
      </c>
      <c r="O44" s="59">
        <f>'дод 3'!P82</f>
        <v>27956440</v>
      </c>
    </row>
    <row r="45" spans="1:15" ht="26.25" customHeight="1" x14ac:dyDescent="0.25">
      <c r="A45" s="46" t="s">
        <v>62</v>
      </c>
      <c r="B45" s="46" t="s">
        <v>61</v>
      </c>
      <c r="C45" s="6" t="s">
        <v>405</v>
      </c>
      <c r="D45" s="59">
        <f>'дод 3'!E182</f>
        <v>39225200</v>
      </c>
      <c r="E45" s="59">
        <f>'дод 3'!F182</f>
        <v>39225200</v>
      </c>
      <c r="F45" s="59">
        <f>'дод 3'!G182</f>
        <v>30952000</v>
      </c>
      <c r="G45" s="59">
        <f>'дод 3'!H182</f>
        <v>699110</v>
      </c>
      <c r="H45" s="59">
        <f>'дод 3'!I182</f>
        <v>0</v>
      </c>
      <c r="I45" s="59">
        <f>'дод 3'!J182</f>
        <v>3336640</v>
      </c>
      <c r="J45" s="59">
        <f>'дод 3'!K182</f>
        <v>557000</v>
      </c>
      <c r="K45" s="59">
        <f>'дод 3'!L182</f>
        <v>2774920</v>
      </c>
      <c r="L45" s="59">
        <f>'дод 3'!M182</f>
        <v>2267316</v>
      </c>
      <c r="M45" s="59">
        <f>'дод 3'!N182</f>
        <v>0</v>
      </c>
      <c r="N45" s="59">
        <f>'дод 3'!O182</f>
        <v>561720</v>
      </c>
      <c r="O45" s="59">
        <f>'дод 3'!P182</f>
        <v>42561840</v>
      </c>
    </row>
    <row r="46" spans="1:15" ht="48.75" customHeight="1" x14ac:dyDescent="0.25">
      <c r="A46" s="46" t="s">
        <v>241</v>
      </c>
      <c r="B46" s="46" t="s">
        <v>63</v>
      </c>
      <c r="C46" s="6" t="s">
        <v>471</v>
      </c>
      <c r="D46" s="59">
        <f>'дод 3'!E83</f>
        <v>70077716.950000003</v>
      </c>
      <c r="E46" s="59">
        <f>'дод 3'!F83</f>
        <v>70077716.950000003</v>
      </c>
      <c r="F46" s="59">
        <f>'дод 3'!G83</f>
        <v>43493576.810000002</v>
      </c>
      <c r="G46" s="59">
        <f>'дод 3'!H83</f>
        <v>4934902.5600000005</v>
      </c>
      <c r="H46" s="59">
        <f>'дод 3'!I83</f>
        <v>0</v>
      </c>
      <c r="I46" s="59">
        <f>'дод 3'!J83</f>
        <v>8383105</v>
      </c>
      <c r="J46" s="59">
        <f>'дод 3'!K83</f>
        <v>304000</v>
      </c>
      <c r="K46" s="59">
        <f>'дод 3'!L83</f>
        <v>7974105</v>
      </c>
      <c r="L46" s="59">
        <f>'дод 3'!M83</f>
        <v>2495573</v>
      </c>
      <c r="M46" s="59">
        <f>'дод 3'!N83</f>
        <v>2976862</v>
      </c>
      <c r="N46" s="59">
        <f>'дод 3'!O83</f>
        <v>409000</v>
      </c>
      <c r="O46" s="59">
        <f>'дод 3'!P83</f>
        <v>78460821.950000003</v>
      </c>
    </row>
    <row r="47" spans="1:15" s="77" customFormat="1" ht="31.5" x14ac:dyDescent="0.25">
      <c r="A47" s="151"/>
      <c r="B47" s="151"/>
      <c r="C47" s="152" t="s">
        <v>451</v>
      </c>
      <c r="D47" s="153">
        <f>'дод 3'!E84</f>
        <v>8033046</v>
      </c>
      <c r="E47" s="153">
        <f>'дод 3'!F84</f>
        <v>8033046</v>
      </c>
      <c r="F47" s="153">
        <f>'дод 3'!G84</f>
        <v>6584464</v>
      </c>
      <c r="G47" s="153">
        <f>'дод 3'!H84</f>
        <v>0</v>
      </c>
      <c r="H47" s="153">
        <f>'дод 3'!I84</f>
        <v>0</v>
      </c>
      <c r="I47" s="153">
        <f>'дод 3'!J84</f>
        <v>0</v>
      </c>
      <c r="J47" s="153">
        <f>'дод 3'!K84</f>
        <v>0</v>
      </c>
      <c r="K47" s="153">
        <f>'дод 3'!L84</f>
        <v>0</v>
      </c>
      <c r="L47" s="153">
        <f>'дод 3'!M84</f>
        <v>0</v>
      </c>
      <c r="M47" s="153">
        <f>'дод 3'!N84</f>
        <v>0</v>
      </c>
      <c r="N47" s="153">
        <f>'дод 3'!O84</f>
        <v>0</v>
      </c>
      <c r="O47" s="153">
        <f>'дод 3'!P84</f>
        <v>8033046</v>
      </c>
    </row>
    <row r="48" spans="1:15" s="77" customFormat="1" ht="47.25" x14ac:dyDescent="0.25">
      <c r="A48" s="151"/>
      <c r="B48" s="151"/>
      <c r="C48" s="160" t="s">
        <v>521</v>
      </c>
      <c r="D48" s="153">
        <f>'дод 3'!E85</f>
        <v>335000</v>
      </c>
      <c r="E48" s="153">
        <f>'дод 3'!F85</f>
        <v>335000</v>
      </c>
      <c r="F48" s="153">
        <f>'дод 3'!G85</f>
        <v>0</v>
      </c>
      <c r="G48" s="153">
        <f>'дод 3'!H85</f>
        <v>0</v>
      </c>
      <c r="H48" s="153">
        <f>'дод 3'!I85</f>
        <v>0</v>
      </c>
      <c r="I48" s="153">
        <f>'дод 3'!J85</f>
        <v>304000</v>
      </c>
      <c r="J48" s="153">
        <f>'дод 3'!K85</f>
        <v>304000</v>
      </c>
      <c r="K48" s="153">
        <f>'дод 3'!L85</f>
        <v>0</v>
      </c>
      <c r="L48" s="153">
        <f>'дод 3'!M85</f>
        <v>0</v>
      </c>
      <c r="M48" s="153">
        <f>'дод 3'!N85</f>
        <v>0</v>
      </c>
      <c r="N48" s="153">
        <f>'дод 3'!O85</f>
        <v>304000</v>
      </c>
      <c r="O48" s="153">
        <f>'дод 3'!P85</f>
        <v>639000</v>
      </c>
    </row>
    <row r="49" spans="1:15" ht="23.25" customHeight="1" x14ac:dyDescent="0.25">
      <c r="A49" s="46" t="s">
        <v>129</v>
      </c>
      <c r="B49" s="46" t="s">
        <v>64</v>
      </c>
      <c r="C49" s="6" t="s">
        <v>406</v>
      </c>
      <c r="D49" s="59">
        <f>'дод 3'!E86</f>
        <v>2385999</v>
      </c>
      <c r="E49" s="59">
        <f>'дод 3'!F86</f>
        <v>2385999</v>
      </c>
      <c r="F49" s="59">
        <f>'дод 3'!G86</f>
        <v>1898000</v>
      </c>
      <c r="G49" s="59">
        <f>'дод 3'!H86</f>
        <v>46889</v>
      </c>
      <c r="H49" s="59">
        <f>'дод 3'!I86</f>
        <v>0</v>
      </c>
      <c r="I49" s="59">
        <f>'дод 3'!J86</f>
        <v>0</v>
      </c>
      <c r="J49" s="59">
        <f>'дод 3'!K86</f>
        <v>0</v>
      </c>
      <c r="K49" s="59">
        <f>'дод 3'!L86</f>
        <v>0</v>
      </c>
      <c r="L49" s="59">
        <f>'дод 3'!M86</f>
        <v>0</v>
      </c>
      <c r="M49" s="59">
        <f>'дод 3'!N86</f>
        <v>0</v>
      </c>
      <c r="N49" s="59">
        <f>'дод 3'!O86</f>
        <v>0</v>
      </c>
      <c r="O49" s="59">
        <f>'дод 3'!P86</f>
        <v>2385999</v>
      </c>
    </row>
    <row r="50" spans="1:15" ht="28.5" customHeight="1" x14ac:dyDescent="0.25">
      <c r="A50" s="46" t="s">
        <v>306</v>
      </c>
      <c r="B50" s="46" t="s">
        <v>64</v>
      </c>
      <c r="C50" s="6" t="s">
        <v>308</v>
      </c>
      <c r="D50" s="59">
        <f>'дод 3'!E87</f>
        <v>10059651</v>
      </c>
      <c r="E50" s="59">
        <f>'дод 3'!F87</f>
        <v>10059651</v>
      </c>
      <c r="F50" s="59">
        <f>'дод 3'!G87</f>
        <v>7299450</v>
      </c>
      <c r="G50" s="59">
        <f>'дод 3'!H87</f>
        <v>580791</v>
      </c>
      <c r="H50" s="59">
        <f>'дод 3'!I87</f>
        <v>0</v>
      </c>
      <c r="I50" s="59">
        <f>'дод 3'!J87</f>
        <v>132000</v>
      </c>
      <c r="J50" s="59">
        <f>'дод 3'!K87</f>
        <v>132000</v>
      </c>
      <c r="K50" s="59">
        <f>'дод 3'!L87</f>
        <v>0</v>
      </c>
      <c r="L50" s="59">
        <f>'дод 3'!M87</f>
        <v>0</v>
      </c>
      <c r="M50" s="59">
        <f>'дод 3'!N87</f>
        <v>0</v>
      </c>
      <c r="N50" s="59">
        <f>'дод 3'!O87</f>
        <v>132000</v>
      </c>
      <c r="O50" s="59">
        <f>'дод 3'!P87</f>
        <v>10191651</v>
      </c>
    </row>
    <row r="51" spans="1:15" ht="25.5" customHeight="1" x14ac:dyDescent="0.25">
      <c r="A51" s="46" t="s">
        <v>307</v>
      </c>
      <c r="B51" s="46" t="s">
        <v>64</v>
      </c>
      <c r="C51" s="6" t="s">
        <v>309</v>
      </c>
      <c r="D51" s="59">
        <f>'дод 3'!E88</f>
        <v>107400</v>
      </c>
      <c r="E51" s="59">
        <f>'дод 3'!F88</f>
        <v>107400</v>
      </c>
      <c r="F51" s="59">
        <f>'дод 3'!G88</f>
        <v>0</v>
      </c>
      <c r="G51" s="59">
        <f>'дод 3'!H88</f>
        <v>0</v>
      </c>
      <c r="H51" s="59">
        <f>'дод 3'!I88</f>
        <v>0</v>
      </c>
      <c r="I51" s="59">
        <f>'дод 3'!J88</f>
        <v>0</v>
      </c>
      <c r="J51" s="59">
        <f>'дод 3'!K88</f>
        <v>0</v>
      </c>
      <c r="K51" s="59">
        <f>'дод 3'!L88</f>
        <v>0</v>
      </c>
      <c r="L51" s="59">
        <f>'дод 3'!M88</f>
        <v>0</v>
      </c>
      <c r="M51" s="59">
        <f>'дод 3'!N88</f>
        <v>0</v>
      </c>
      <c r="N51" s="59">
        <f>'дод 3'!O88</f>
        <v>0</v>
      </c>
      <c r="O51" s="59">
        <f>'дод 3'!P88</f>
        <v>107400</v>
      </c>
    </row>
    <row r="52" spans="1:15" ht="36" customHeight="1" x14ac:dyDescent="0.25">
      <c r="A52" s="46" t="s">
        <v>365</v>
      </c>
      <c r="B52" s="46" t="s">
        <v>64</v>
      </c>
      <c r="C52" s="42" t="s">
        <v>472</v>
      </c>
      <c r="D52" s="59">
        <f>SUM('дод 3'!E89)</f>
        <v>1383940</v>
      </c>
      <c r="E52" s="59">
        <f>SUM('дод 3'!F89)</f>
        <v>1383940</v>
      </c>
      <c r="F52" s="59">
        <f>SUM('дод 3'!G89)</f>
        <v>1024320</v>
      </c>
      <c r="G52" s="59">
        <f>SUM('дод 3'!H89)</f>
        <v>81470</v>
      </c>
      <c r="H52" s="59">
        <f>SUM('дод 3'!I89)</f>
        <v>0</v>
      </c>
      <c r="I52" s="59">
        <f>SUM('дод 3'!J89)</f>
        <v>0</v>
      </c>
      <c r="J52" s="59">
        <f>SUM('дод 3'!K89)</f>
        <v>0</v>
      </c>
      <c r="K52" s="59">
        <f>SUM('дод 3'!L89)</f>
        <v>0</v>
      </c>
      <c r="L52" s="59">
        <f>SUM('дод 3'!M89)</f>
        <v>0</v>
      </c>
      <c r="M52" s="59">
        <f>SUM('дод 3'!N89)</f>
        <v>0</v>
      </c>
      <c r="N52" s="59">
        <f>SUM('дод 3'!O89)</f>
        <v>0</v>
      </c>
      <c r="O52" s="59">
        <f>SUM('дод 3'!P89)</f>
        <v>1383940</v>
      </c>
    </row>
    <row r="53" spans="1:15" s="77" customFormat="1" ht="50.25" customHeight="1" x14ac:dyDescent="0.25">
      <c r="A53" s="151"/>
      <c r="B53" s="151"/>
      <c r="C53" s="152" t="s">
        <v>446</v>
      </c>
      <c r="D53" s="153">
        <f>'дод 3'!E90</f>
        <v>1236370</v>
      </c>
      <c r="E53" s="153">
        <f>'дод 3'!F90</f>
        <v>1236370</v>
      </c>
      <c r="F53" s="153">
        <f>'дод 3'!G90</f>
        <v>1013420</v>
      </c>
      <c r="G53" s="153">
        <f>'дод 3'!H90</f>
        <v>0</v>
      </c>
      <c r="H53" s="153">
        <f>'дод 3'!I90</f>
        <v>0</v>
      </c>
      <c r="I53" s="153">
        <f>'дод 3'!J90</f>
        <v>0</v>
      </c>
      <c r="J53" s="153">
        <f>'дод 3'!K90</f>
        <v>0</v>
      </c>
      <c r="K53" s="153">
        <f>'дод 3'!L90</f>
        <v>0</v>
      </c>
      <c r="L53" s="153">
        <f>'дод 3'!M90</f>
        <v>0</v>
      </c>
      <c r="M53" s="153">
        <f>'дод 3'!N90</f>
        <v>0</v>
      </c>
      <c r="N53" s="153">
        <f>'дод 3'!O90</f>
        <v>0</v>
      </c>
      <c r="O53" s="153">
        <f>'дод 3'!P90</f>
        <v>1236370</v>
      </c>
    </row>
    <row r="54" spans="1:15" s="77" customFormat="1" ht="49.5" customHeight="1" x14ac:dyDescent="0.25">
      <c r="A54" s="46">
        <v>1180</v>
      </c>
      <c r="B54" s="88" t="s">
        <v>64</v>
      </c>
      <c r="C54" s="3" t="s">
        <v>513</v>
      </c>
      <c r="D54" s="59">
        <f>'дод 3'!E91</f>
        <v>0</v>
      </c>
      <c r="E54" s="59">
        <f>'дод 3'!F91</f>
        <v>0</v>
      </c>
      <c r="F54" s="59">
        <f>'дод 3'!G91</f>
        <v>0</v>
      </c>
      <c r="G54" s="59">
        <f>'дод 3'!H91</f>
        <v>0</v>
      </c>
      <c r="H54" s="59">
        <f>'дод 3'!I91</f>
        <v>0</v>
      </c>
      <c r="I54" s="59">
        <f>'дод 3'!J91</f>
        <v>2080303</v>
      </c>
      <c r="J54" s="59">
        <f>'дод 3'!K91</f>
        <v>2080303</v>
      </c>
      <c r="K54" s="59">
        <f>'дод 3'!L91</f>
        <v>0</v>
      </c>
      <c r="L54" s="59">
        <f>'дод 3'!M91</f>
        <v>0</v>
      </c>
      <c r="M54" s="59">
        <f>'дод 3'!N91</f>
        <v>0</v>
      </c>
      <c r="N54" s="59">
        <f>'дод 3'!O91</f>
        <v>2080303</v>
      </c>
      <c r="O54" s="59">
        <f>'дод 3'!P91</f>
        <v>2080303</v>
      </c>
    </row>
    <row r="55" spans="1:15" s="77" customFormat="1" ht="33.75" customHeight="1" x14ac:dyDescent="0.25">
      <c r="A55" s="151"/>
      <c r="B55" s="151"/>
      <c r="C55" s="152" t="s">
        <v>522</v>
      </c>
      <c r="D55" s="153">
        <f>'дод 3'!E92</f>
        <v>0</v>
      </c>
      <c r="E55" s="153">
        <f>'дод 3'!F92</f>
        <v>0</v>
      </c>
      <c r="F55" s="153">
        <f>'дод 3'!G92</f>
        <v>0</v>
      </c>
      <c r="G55" s="153">
        <f>'дод 3'!H92</f>
        <v>0</v>
      </c>
      <c r="H55" s="153">
        <f>'дод 3'!I92</f>
        <v>0</v>
      </c>
      <c r="I55" s="153">
        <f>'дод 3'!J92</f>
        <v>1180956</v>
      </c>
      <c r="J55" s="153">
        <f>'дод 3'!K92</f>
        <v>1180956</v>
      </c>
      <c r="K55" s="153">
        <f>'дод 3'!L92</f>
        <v>0</v>
      </c>
      <c r="L55" s="153">
        <f>'дод 3'!M92</f>
        <v>0</v>
      </c>
      <c r="M55" s="153">
        <f>'дод 3'!N92</f>
        <v>0</v>
      </c>
      <c r="N55" s="153">
        <f>'дод 3'!O92</f>
        <v>1180956</v>
      </c>
      <c r="O55" s="153">
        <f>'дод 3'!P92</f>
        <v>1180956</v>
      </c>
    </row>
    <row r="56" spans="1:15" s="75" customFormat="1" ht="19.5" customHeight="1" x14ac:dyDescent="0.25">
      <c r="A56" s="47" t="s">
        <v>65</v>
      </c>
      <c r="B56" s="48"/>
      <c r="C56" s="9" t="s">
        <v>473</v>
      </c>
      <c r="D56" s="58">
        <f t="shared" ref="D56:O56" si="9">D61+D65+D67+D69+D71+D74+D75</f>
        <v>182276495.61000001</v>
      </c>
      <c r="E56" s="58">
        <f t="shared" si="9"/>
        <v>182276495.61000001</v>
      </c>
      <c r="F56" s="58">
        <f t="shared" si="9"/>
        <v>0</v>
      </c>
      <c r="G56" s="58">
        <f t="shared" si="9"/>
        <v>0</v>
      </c>
      <c r="H56" s="58">
        <f t="shared" si="9"/>
        <v>0</v>
      </c>
      <c r="I56" s="58">
        <f t="shared" si="9"/>
        <v>62875520</v>
      </c>
      <c r="J56" s="58">
        <f t="shared" si="9"/>
        <v>62875520</v>
      </c>
      <c r="K56" s="58">
        <f t="shared" si="9"/>
        <v>0</v>
      </c>
      <c r="L56" s="58">
        <f t="shared" si="9"/>
        <v>0</v>
      </c>
      <c r="M56" s="58">
        <f t="shared" si="9"/>
        <v>0</v>
      </c>
      <c r="N56" s="58">
        <f t="shared" si="9"/>
        <v>62875520</v>
      </c>
      <c r="O56" s="58">
        <f t="shared" si="9"/>
        <v>245152015.61000001</v>
      </c>
    </row>
    <row r="57" spans="1:15" s="76" customFormat="1" ht="31.5" x14ac:dyDescent="0.25">
      <c r="A57" s="132"/>
      <c r="B57" s="147"/>
      <c r="C57" s="148" t="s">
        <v>452</v>
      </c>
      <c r="D57" s="149">
        <f>D62+D66+D68</f>
        <v>52689700</v>
      </c>
      <c r="E57" s="149">
        <f t="shared" ref="E57:O57" si="10">E62+E66+E68</f>
        <v>52689700</v>
      </c>
      <c r="F57" s="149">
        <f t="shared" si="10"/>
        <v>0</v>
      </c>
      <c r="G57" s="149">
        <f t="shared" si="10"/>
        <v>0</v>
      </c>
      <c r="H57" s="149">
        <f t="shared" si="10"/>
        <v>0</v>
      </c>
      <c r="I57" s="149">
        <f t="shared" si="10"/>
        <v>0</v>
      </c>
      <c r="J57" s="149">
        <f t="shared" si="10"/>
        <v>0</v>
      </c>
      <c r="K57" s="149">
        <f t="shared" si="10"/>
        <v>0</v>
      </c>
      <c r="L57" s="149">
        <f t="shared" si="10"/>
        <v>0</v>
      </c>
      <c r="M57" s="149">
        <f t="shared" si="10"/>
        <v>0</v>
      </c>
      <c r="N57" s="149">
        <f t="shared" si="10"/>
        <v>0</v>
      </c>
      <c r="O57" s="149">
        <f t="shared" si="10"/>
        <v>52689700</v>
      </c>
    </row>
    <row r="58" spans="1:15" s="76" customFormat="1" ht="47.25" x14ac:dyDescent="0.25">
      <c r="A58" s="132"/>
      <c r="B58" s="147"/>
      <c r="C58" s="148" t="s">
        <v>453</v>
      </c>
      <c r="D58" s="149">
        <f>D63+D72</f>
        <v>4468078.6099999994</v>
      </c>
      <c r="E58" s="149">
        <f t="shared" ref="E58:O58" si="11">E63+E72</f>
        <v>4468078.6099999994</v>
      </c>
      <c r="F58" s="149">
        <f t="shared" si="11"/>
        <v>0</v>
      </c>
      <c r="G58" s="149">
        <f t="shared" si="11"/>
        <v>0</v>
      </c>
      <c r="H58" s="149">
        <f t="shared" si="11"/>
        <v>0</v>
      </c>
      <c r="I58" s="149">
        <f t="shared" si="11"/>
        <v>0</v>
      </c>
      <c r="J58" s="149">
        <f t="shared" si="11"/>
        <v>0</v>
      </c>
      <c r="K58" s="149">
        <f t="shared" si="11"/>
        <v>0</v>
      </c>
      <c r="L58" s="149">
        <f t="shared" si="11"/>
        <v>0</v>
      </c>
      <c r="M58" s="149">
        <f t="shared" si="11"/>
        <v>0</v>
      </c>
      <c r="N58" s="149">
        <f t="shared" si="11"/>
        <v>0</v>
      </c>
      <c r="O58" s="149">
        <f t="shared" si="11"/>
        <v>4468078.6099999994</v>
      </c>
    </row>
    <row r="59" spans="1:15" s="76" customFormat="1" ht="63" x14ac:dyDescent="0.25">
      <c r="A59" s="132"/>
      <c r="B59" s="147"/>
      <c r="C59" s="148" t="s">
        <v>454</v>
      </c>
      <c r="D59" s="149">
        <f>D70+D73</f>
        <v>4345037</v>
      </c>
      <c r="E59" s="149">
        <f t="shared" ref="E59:O59" si="12">E70+E73</f>
        <v>4345037</v>
      </c>
      <c r="F59" s="149">
        <f t="shared" si="12"/>
        <v>0</v>
      </c>
      <c r="G59" s="149">
        <f t="shared" si="12"/>
        <v>0</v>
      </c>
      <c r="H59" s="149">
        <f t="shared" si="12"/>
        <v>0</v>
      </c>
      <c r="I59" s="149">
        <f t="shared" si="12"/>
        <v>0</v>
      </c>
      <c r="J59" s="149">
        <f t="shared" si="12"/>
        <v>0</v>
      </c>
      <c r="K59" s="149">
        <f t="shared" si="12"/>
        <v>0</v>
      </c>
      <c r="L59" s="149">
        <f t="shared" si="12"/>
        <v>0</v>
      </c>
      <c r="M59" s="149">
        <f t="shared" si="12"/>
        <v>0</v>
      </c>
      <c r="N59" s="149">
        <f t="shared" si="12"/>
        <v>0</v>
      </c>
      <c r="O59" s="149">
        <f t="shared" si="12"/>
        <v>4345037</v>
      </c>
    </row>
    <row r="60" spans="1:15" s="76" customFormat="1" x14ac:dyDescent="0.25">
      <c r="A60" s="132"/>
      <c r="B60" s="147"/>
      <c r="C60" s="148" t="s">
        <v>455</v>
      </c>
      <c r="D60" s="149">
        <f>D64</f>
        <v>60000</v>
      </c>
      <c r="E60" s="149">
        <f t="shared" ref="E60:O60" si="13">E64</f>
        <v>60000</v>
      </c>
      <c r="F60" s="149">
        <f t="shared" si="13"/>
        <v>0</v>
      </c>
      <c r="G60" s="149">
        <f t="shared" si="13"/>
        <v>0</v>
      </c>
      <c r="H60" s="149">
        <f t="shared" si="13"/>
        <v>0</v>
      </c>
      <c r="I60" s="149">
        <f t="shared" si="13"/>
        <v>0</v>
      </c>
      <c r="J60" s="149">
        <f t="shared" si="13"/>
        <v>0</v>
      </c>
      <c r="K60" s="149">
        <f t="shared" si="13"/>
        <v>0</v>
      </c>
      <c r="L60" s="149">
        <f t="shared" si="13"/>
        <v>0</v>
      </c>
      <c r="M60" s="149">
        <f t="shared" si="13"/>
        <v>0</v>
      </c>
      <c r="N60" s="149">
        <f t="shared" si="13"/>
        <v>0</v>
      </c>
      <c r="O60" s="149">
        <f t="shared" si="13"/>
        <v>60000</v>
      </c>
    </row>
    <row r="61" spans="1:15" ht="31.5" x14ac:dyDescent="0.25">
      <c r="A61" s="46" t="s">
        <v>66</v>
      </c>
      <c r="B61" s="46" t="s">
        <v>67</v>
      </c>
      <c r="C61" s="6" t="s">
        <v>474</v>
      </c>
      <c r="D61" s="59">
        <f>'дод 3'!E114</f>
        <v>118006905.61</v>
      </c>
      <c r="E61" s="59">
        <f>'дод 3'!F114</f>
        <v>118006905.61</v>
      </c>
      <c r="F61" s="59">
        <f>'дод 3'!G114</f>
        <v>0</v>
      </c>
      <c r="G61" s="59">
        <f>'дод 3'!H114</f>
        <v>0</v>
      </c>
      <c r="H61" s="59">
        <f>'дод 3'!I114</f>
        <v>0</v>
      </c>
      <c r="I61" s="59">
        <f>'дод 3'!J114</f>
        <v>38632220</v>
      </c>
      <c r="J61" s="59">
        <f>'дод 3'!K114</f>
        <v>38632220</v>
      </c>
      <c r="K61" s="59">
        <f>'дод 3'!L114</f>
        <v>0</v>
      </c>
      <c r="L61" s="59">
        <f>'дод 3'!M114</f>
        <v>0</v>
      </c>
      <c r="M61" s="59">
        <f>'дод 3'!N114</f>
        <v>0</v>
      </c>
      <c r="N61" s="59">
        <f>'дод 3'!O114</f>
        <v>38632220</v>
      </c>
      <c r="O61" s="59">
        <f>'дод 3'!P114</f>
        <v>156639125.61000001</v>
      </c>
    </row>
    <row r="62" spans="1:15" s="77" customFormat="1" ht="31.5" x14ac:dyDescent="0.25">
      <c r="A62" s="151"/>
      <c r="B62" s="151"/>
      <c r="C62" s="152" t="s">
        <v>452</v>
      </c>
      <c r="D62" s="153">
        <f>'дод 3'!E115</f>
        <v>45209900</v>
      </c>
      <c r="E62" s="153">
        <f>'дод 3'!F115</f>
        <v>45209900</v>
      </c>
      <c r="F62" s="153">
        <f>'дод 3'!G115</f>
        <v>0</v>
      </c>
      <c r="G62" s="153">
        <f>'дод 3'!H115</f>
        <v>0</v>
      </c>
      <c r="H62" s="153">
        <f>'дод 3'!I115</f>
        <v>0</v>
      </c>
      <c r="I62" s="153">
        <f>'дод 3'!J115</f>
        <v>0</v>
      </c>
      <c r="J62" s="153">
        <f>'дод 3'!K115</f>
        <v>0</v>
      </c>
      <c r="K62" s="153">
        <f>'дод 3'!L115</f>
        <v>0</v>
      </c>
      <c r="L62" s="153">
        <f>'дод 3'!M115</f>
        <v>0</v>
      </c>
      <c r="M62" s="153">
        <f>'дод 3'!N115</f>
        <v>0</v>
      </c>
      <c r="N62" s="153">
        <f>'дод 3'!O115</f>
        <v>0</v>
      </c>
      <c r="O62" s="153">
        <f>'дод 3'!P115</f>
        <v>45209900</v>
      </c>
    </row>
    <row r="63" spans="1:15" s="77" customFormat="1" ht="47.25" x14ac:dyDescent="0.25">
      <c r="A63" s="151"/>
      <c r="B63" s="151"/>
      <c r="C63" s="152" t="s">
        <v>453</v>
      </c>
      <c r="D63" s="153">
        <f>'дод 3'!E116</f>
        <v>2977938.61</v>
      </c>
      <c r="E63" s="153">
        <f>'дод 3'!F116</f>
        <v>2977938.61</v>
      </c>
      <c r="F63" s="153">
        <f>'дод 3'!G116</f>
        <v>0</v>
      </c>
      <c r="G63" s="153">
        <f>'дод 3'!H116</f>
        <v>0</v>
      </c>
      <c r="H63" s="153">
        <f>'дод 3'!I116</f>
        <v>0</v>
      </c>
      <c r="I63" s="153">
        <f>'дод 3'!J116</f>
        <v>0</v>
      </c>
      <c r="J63" s="153">
        <f>'дод 3'!K116</f>
        <v>0</v>
      </c>
      <c r="K63" s="153">
        <f>'дод 3'!L116</f>
        <v>0</v>
      </c>
      <c r="L63" s="153">
        <f>'дод 3'!M116</f>
        <v>0</v>
      </c>
      <c r="M63" s="153">
        <f>'дод 3'!N116</f>
        <v>0</v>
      </c>
      <c r="N63" s="153">
        <f>'дод 3'!O116</f>
        <v>0</v>
      </c>
      <c r="O63" s="153">
        <f>'дод 3'!P116</f>
        <v>2977938.61</v>
      </c>
    </row>
    <row r="64" spans="1:15" s="77" customFormat="1" x14ac:dyDescent="0.25">
      <c r="A64" s="151"/>
      <c r="B64" s="151"/>
      <c r="C64" s="152" t="s">
        <v>455</v>
      </c>
      <c r="D64" s="153">
        <f>'дод 3'!E117</f>
        <v>60000</v>
      </c>
      <c r="E64" s="153">
        <f>'дод 3'!F117</f>
        <v>60000</v>
      </c>
      <c r="F64" s="153">
        <f>'дод 3'!G117</f>
        <v>0</v>
      </c>
      <c r="G64" s="153">
        <f>'дод 3'!H117</f>
        <v>0</v>
      </c>
      <c r="H64" s="153">
        <f>'дод 3'!I117</f>
        <v>0</v>
      </c>
      <c r="I64" s="153">
        <f>'дод 3'!J117</f>
        <v>0</v>
      </c>
      <c r="J64" s="153">
        <f>'дод 3'!K117</f>
        <v>0</v>
      </c>
      <c r="K64" s="153">
        <f>'дод 3'!L117</f>
        <v>0</v>
      </c>
      <c r="L64" s="153">
        <f>'дод 3'!M117</f>
        <v>0</v>
      </c>
      <c r="M64" s="153">
        <f>'дод 3'!N117</f>
        <v>0</v>
      </c>
      <c r="N64" s="153">
        <f>'дод 3'!O117</f>
        <v>0</v>
      </c>
      <c r="O64" s="153">
        <f>'дод 3'!P117</f>
        <v>60000</v>
      </c>
    </row>
    <row r="65" spans="1:15" ht="42.75" customHeight="1" x14ac:dyDescent="0.25">
      <c r="A65" s="46" t="s">
        <v>130</v>
      </c>
      <c r="B65" s="46" t="s">
        <v>68</v>
      </c>
      <c r="C65" s="6" t="s">
        <v>475</v>
      </c>
      <c r="D65" s="59">
        <f>'дод 3'!E118</f>
        <v>14740473</v>
      </c>
      <c r="E65" s="59">
        <f>'дод 3'!F118</f>
        <v>14740473</v>
      </c>
      <c r="F65" s="59">
        <f>'дод 3'!G118</f>
        <v>0</v>
      </c>
      <c r="G65" s="59">
        <f>'дод 3'!H118</f>
        <v>0</v>
      </c>
      <c r="H65" s="59">
        <f>'дод 3'!I118</f>
        <v>0</v>
      </c>
      <c r="I65" s="59">
        <f>'дод 3'!J118</f>
        <v>6830000</v>
      </c>
      <c r="J65" s="59">
        <f>'дод 3'!K118</f>
        <v>6830000</v>
      </c>
      <c r="K65" s="59">
        <f>'дод 3'!L118</f>
        <v>0</v>
      </c>
      <c r="L65" s="59">
        <f>'дод 3'!M118</f>
        <v>0</v>
      </c>
      <c r="M65" s="59">
        <f>'дод 3'!N118</f>
        <v>0</v>
      </c>
      <c r="N65" s="59">
        <f>'дод 3'!O118</f>
        <v>6830000</v>
      </c>
      <c r="O65" s="59">
        <f>'дод 3'!P118</f>
        <v>21570473</v>
      </c>
    </row>
    <row r="66" spans="1:15" s="77" customFormat="1" ht="31.5" x14ac:dyDescent="0.25">
      <c r="A66" s="151"/>
      <c r="B66" s="151"/>
      <c r="C66" s="152" t="s">
        <v>452</v>
      </c>
      <c r="D66" s="153">
        <f>'дод 3'!E119</f>
        <v>6347600</v>
      </c>
      <c r="E66" s="153">
        <f>'дод 3'!F119</f>
        <v>6347600</v>
      </c>
      <c r="F66" s="153">
        <f>'дод 3'!G119</f>
        <v>0</v>
      </c>
      <c r="G66" s="153">
        <f>'дод 3'!H119</f>
        <v>0</v>
      </c>
      <c r="H66" s="153">
        <f>'дод 3'!I119</f>
        <v>0</v>
      </c>
      <c r="I66" s="153">
        <f>'дод 3'!J119</f>
        <v>0</v>
      </c>
      <c r="J66" s="153">
        <f>'дод 3'!K119</f>
        <v>0</v>
      </c>
      <c r="K66" s="153">
        <f>'дод 3'!L119</f>
        <v>0</v>
      </c>
      <c r="L66" s="153">
        <f>'дод 3'!M119</f>
        <v>0</v>
      </c>
      <c r="M66" s="153">
        <f>'дод 3'!N119</f>
        <v>0</v>
      </c>
      <c r="N66" s="153">
        <f>'дод 3'!O119</f>
        <v>0</v>
      </c>
      <c r="O66" s="153">
        <f>'дод 3'!P119</f>
        <v>6347600</v>
      </c>
    </row>
    <row r="67" spans="1:15" ht="25.5" customHeight="1" x14ac:dyDescent="0.25">
      <c r="A67" s="46" t="s">
        <v>131</v>
      </c>
      <c r="B67" s="46" t="s">
        <v>69</v>
      </c>
      <c r="C67" s="6" t="s">
        <v>476</v>
      </c>
      <c r="D67" s="59">
        <f>'дод 3'!E120</f>
        <v>6772226</v>
      </c>
      <c r="E67" s="59">
        <f>'дод 3'!F120</f>
        <v>6772226</v>
      </c>
      <c r="F67" s="59">
        <f>'дод 3'!G120</f>
        <v>0</v>
      </c>
      <c r="G67" s="59">
        <f>'дод 3'!H120</f>
        <v>0</v>
      </c>
      <c r="H67" s="59">
        <f>'дод 3'!I120</f>
        <v>0</v>
      </c>
      <c r="I67" s="59">
        <f>'дод 3'!J120</f>
        <v>690000</v>
      </c>
      <c r="J67" s="59">
        <f>'дод 3'!K120</f>
        <v>690000</v>
      </c>
      <c r="K67" s="59">
        <f>'дод 3'!L120</f>
        <v>0</v>
      </c>
      <c r="L67" s="59">
        <f>'дод 3'!M120</f>
        <v>0</v>
      </c>
      <c r="M67" s="59">
        <f>'дод 3'!N120</f>
        <v>0</v>
      </c>
      <c r="N67" s="59">
        <f>'дод 3'!O120</f>
        <v>690000</v>
      </c>
      <c r="O67" s="59">
        <f>'дод 3'!P120</f>
        <v>7462226</v>
      </c>
    </row>
    <row r="68" spans="1:15" s="77" customFormat="1" ht="31.5" x14ac:dyDescent="0.25">
      <c r="A68" s="151"/>
      <c r="B68" s="151"/>
      <c r="C68" s="152" t="s">
        <v>452</v>
      </c>
      <c r="D68" s="153">
        <f>'дод 3'!E121</f>
        <v>1132200</v>
      </c>
      <c r="E68" s="153">
        <f>'дод 3'!F121</f>
        <v>1132200</v>
      </c>
      <c r="F68" s="153">
        <f>'дод 3'!G121</f>
        <v>0</v>
      </c>
      <c r="G68" s="153">
        <f>'дод 3'!H121</f>
        <v>0</v>
      </c>
      <c r="H68" s="153">
        <f>'дод 3'!I121</f>
        <v>0</v>
      </c>
      <c r="I68" s="153">
        <f>'дод 3'!J121</f>
        <v>0</v>
      </c>
      <c r="J68" s="153">
        <f>'дод 3'!K121</f>
        <v>0</v>
      </c>
      <c r="K68" s="153">
        <f>'дод 3'!L121</f>
        <v>0</v>
      </c>
      <c r="L68" s="153">
        <f>'дод 3'!M121</f>
        <v>0</v>
      </c>
      <c r="M68" s="153">
        <f>'дод 3'!N121</f>
        <v>0</v>
      </c>
      <c r="N68" s="153">
        <f>'дод 3'!O121</f>
        <v>0</v>
      </c>
      <c r="O68" s="153">
        <f>'дод 3'!P121</f>
        <v>1132200</v>
      </c>
    </row>
    <row r="69" spans="1:15" ht="54" customHeight="1" x14ac:dyDescent="0.25">
      <c r="A69" s="46" t="s">
        <v>132</v>
      </c>
      <c r="B69" s="46" t="s">
        <v>343</v>
      </c>
      <c r="C69" s="6" t="s">
        <v>477</v>
      </c>
      <c r="D69" s="59">
        <f>'дод 3'!E122</f>
        <v>1984936</v>
      </c>
      <c r="E69" s="59">
        <f>'дод 3'!F122</f>
        <v>1984936</v>
      </c>
      <c r="F69" s="59">
        <f>'дод 3'!G122</f>
        <v>0</v>
      </c>
      <c r="G69" s="59">
        <f>'дод 3'!H122</f>
        <v>0</v>
      </c>
      <c r="H69" s="59">
        <f>'дод 3'!I122</f>
        <v>0</v>
      </c>
      <c r="I69" s="59">
        <f>'дод 3'!J122</f>
        <v>0</v>
      </c>
      <c r="J69" s="59">
        <f>'дод 3'!K122</f>
        <v>0</v>
      </c>
      <c r="K69" s="59">
        <f>'дод 3'!L122</f>
        <v>0</v>
      </c>
      <c r="L69" s="59">
        <f>'дод 3'!M122</f>
        <v>0</v>
      </c>
      <c r="M69" s="59">
        <f>'дод 3'!N122</f>
        <v>0</v>
      </c>
      <c r="N69" s="59">
        <f>'дод 3'!O122</f>
        <v>0</v>
      </c>
      <c r="O69" s="59">
        <f>'дод 3'!P122</f>
        <v>1984936</v>
      </c>
    </row>
    <row r="70" spans="1:15" s="77" customFormat="1" ht="47.25" x14ac:dyDescent="0.25">
      <c r="A70" s="151"/>
      <c r="B70" s="151"/>
      <c r="C70" s="154" t="s">
        <v>454</v>
      </c>
      <c r="D70" s="153">
        <f>'дод 3'!E123</f>
        <v>2468</v>
      </c>
      <c r="E70" s="153">
        <f>'дод 3'!F123</f>
        <v>2468</v>
      </c>
      <c r="F70" s="153">
        <f>'дод 3'!G123</f>
        <v>0</v>
      </c>
      <c r="G70" s="153">
        <f>'дод 3'!H123</f>
        <v>0</v>
      </c>
      <c r="H70" s="153">
        <f>'дод 3'!I123</f>
        <v>0</v>
      </c>
      <c r="I70" s="153">
        <f>'дод 3'!J123</f>
        <v>0</v>
      </c>
      <c r="J70" s="153">
        <f>'дод 3'!K123</f>
        <v>0</v>
      </c>
      <c r="K70" s="153">
        <f>'дод 3'!L123</f>
        <v>0</v>
      </c>
      <c r="L70" s="153">
        <f>'дод 3'!M123</f>
        <v>0</v>
      </c>
      <c r="M70" s="153">
        <f>'дод 3'!N123</f>
        <v>0</v>
      </c>
      <c r="N70" s="153">
        <f>'дод 3'!O123</f>
        <v>0</v>
      </c>
      <c r="O70" s="153">
        <f>'дод 3'!P123</f>
        <v>2468</v>
      </c>
    </row>
    <row r="71" spans="1:15" ht="36.75" customHeight="1" x14ac:dyDescent="0.25">
      <c r="A71" s="49">
        <v>2144</v>
      </c>
      <c r="B71" s="46" t="s">
        <v>70</v>
      </c>
      <c r="C71" s="6" t="s">
        <v>478</v>
      </c>
      <c r="D71" s="59">
        <f>'дод 3'!E124</f>
        <v>8232709</v>
      </c>
      <c r="E71" s="59">
        <f>'дод 3'!F124</f>
        <v>8232709</v>
      </c>
      <c r="F71" s="59">
        <f>'дод 3'!G124</f>
        <v>0</v>
      </c>
      <c r="G71" s="59">
        <f>'дод 3'!H124</f>
        <v>0</v>
      </c>
      <c r="H71" s="59">
        <f>'дод 3'!I124</f>
        <v>0</v>
      </c>
      <c r="I71" s="59">
        <f>'дод 3'!J124</f>
        <v>0</v>
      </c>
      <c r="J71" s="59">
        <f>'дод 3'!K124</f>
        <v>0</v>
      </c>
      <c r="K71" s="59">
        <f>'дод 3'!L124</f>
        <v>0</v>
      </c>
      <c r="L71" s="59">
        <f>'дод 3'!M124</f>
        <v>0</v>
      </c>
      <c r="M71" s="59">
        <f>'дод 3'!N124</f>
        <v>0</v>
      </c>
      <c r="N71" s="59">
        <f>'дод 3'!O124</f>
        <v>0</v>
      </c>
      <c r="O71" s="59">
        <f>'дод 3'!P124</f>
        <v>8232709</v>
      </c>
    </row>
    <row r="72" spans="1:15" s="77" customFormat="1" ht="47.25" x14ac:dyDescent="0.25">
      <c r="A72" s="155"/>
      <c r="B72" s="151"/>
      <c r="C72" s="152" t="s">
        <v>453</v>
      </c>
      <c r="D72" s="153">
        <f>'дод 3'!E125</f>
        <v>1490140</v>
      </c>
      <c r="E72" s="153">
        <f>'дод 3'!F125</f>
        <v>1490140</v>
      </c>
      <c r="F72" s="153">
        <f>'дод 3'!G125</f>
        <v>0</v>
      </c>
      <c r="G72" s="153">
        <f>'дод 3'!H125</f>
        <v>0</v>
      </c>
      <c r="H72" s="153">
        <f>'дод 3'!I125</f>
        <v>0</v>
      </c>
      <c r="I72" s="153">
        <f>'дод 3'!J125</f>
        <v>0</v>
      </c>
      <c r="J72" s="153">
        <f>'дод 3'!K125</f>
        <v>0</v>
      </c>
      <c r="K72" s="153">
        <f>'дод 3'!L125</f>
        <v>0</v>
      </c>
      <c r="L72" s="153">
        <f>'дод 3'!M125</f>
        <v>0</v>
      </c>
      <c r="M72" s="153">
        <f>'дод 3'!N125</f>
        <v>0</v>
      </c>
      <c r="N72" s="153">
        <f>'дод 3'!O125</f>
        <v>0</v>
      </c>
      <c r="O72" s="153">
        <f>'дод 3'!P125</f>
        <v>1490140</v>
      </c>
    </row>
    <row r="73" spans="1:15" s="77" customFormat="1" ht="47.25" x14ac:dyDescent="0.25">
      <c r="A73" s="155"/>
      <c r="B73" s="151"/>
      <c r="C73" s="152" t="s">
        <v>454</v>
      </c>
      <c r="D73" s="153">
        <f>'дод 3'!E126</f>
        <v>4342569</v>
      </c>
      <c r="E73" s="153">
        <f>'дод 3'!F126</f>
        <v>4342569</v>
      </c>
      <c r="F73" s="153">
        <f>'дод 3'!G126</f>
        <v>0</v>
      </c>
      <c r="G73" s="153">
        <f>'дод 3'!H126</f>
        <v>0</v>
      </c>
      <c r="H73" s="153">
        <f>'дод 3'!I126</f>
        <v>0</v>
      </c>
      <c r="I73" s="153">
        <f>'дод 3'!J126</f>
        <v>0</v>
      </c>
      <c r="J73" s="153">
        <f>'дод 3'!K126</f>
        <v>0</v>
      </c>
      <c r="K73" s="153">
        <f>'дод 3'!L126</f>
        <v>0</v>
      </c>
      <c r="L73" s="153">
        <f>'дод 3'!M126</f>
        <v>0</v>
      </c>
      <c r="M73" s="153">
        <f>'дод 3'!N126</f>
        <v>0</v>
      </c>
      <c r="N73" s="153">
        <f>'дод 3'!O126</f>
        <v>0</v>
      </c>
      <c r="O73" s="153">
        <f>'дод 3'!P126</f>
        <v>4342569</v>
      </c>
    </row>
    <row r="74" spans="1:15" ht="37.5" customHeight="1" x14ac:dyDescent="0.25">
      <c r="A74" s="46" t="s">
        <v>310</v>
      </c>
      <c r="B74" s="46" t="s">
        <v>70</v>
      </c>
      <c r="C74" s="3" t="s">
        <v>312</v>
      </c>
      <c r="D74" s="59">
        <f>'дод 3'!E127</f>
        <v>2785413</v>
      </c>
      <c r="E74" s="59">
        <f>'дод 3'!F127</f>
        <v>2785413</v>
      </c>
      <c r="F74" s="59">
        <f>'дод 3'!G127</f>
        <v>0</v>
      </c>
      <c r="G74" s="59">
        <f>'дод 3'!H127</f>
        <v>0</v>
      </c>
      <c r="H74" s="59">
        <f>'дод 3'!I127</f>
        <v>0</v>
      </c>
      <c r="I74" s="59">
        <f>'дод 3'!J127</f>
        <v>0</v>
      </c>
      <c r="J74" s="59">
        <f>'дод 3'!K127</f>
        <v>0</v>
      </c>
      <c r="K74" s="59">
        <f>'дод 3'!L127</f>
        <v>0</v>
      </c>
      <c r="L74" s="59">
        <f>'дод 3'!M127</f>
        <v>0</v>
      </c>
      <c r="M74" s="59">
        <f>'дод 3'!N127</f>
        <v>0</v>
      </c>
      <c r="N74" s="59">
        <f>'дод 3'!O127</f>
        <v>0</v>
      </c>
      <c r="O74" s="59">
        <f>'дод 3'!P127</f>
        <v>2785413</v>
      </c>
    </row>
    <row r="75" spans="1:15" ht="21.75" customHeight="1" x14ac:dyDescent="0.25">
      <c r="A75" s="46" t="s">
        <v>311</v>
      </c>
      <c r="B75" s="46" t="s">
        <v>70</v>
      </c>
      <c r="C75" s="3" t="s">
        <v>313</v>
      </c>
      <c r="D75" s="59">
        <f>'дод 3'!E128</f>
        <v>29753833</v>
      </c>
      <c r="E75" s="59">
        <f>'дод 3'!F128</f>
        <v>29753833</v>
      </c>
      <c r="F75" s="59">
        <f>'дод 3'!G128</f>
        <v>0</v>
      </c>
      <c r="G75" s="59">
        <f>'дод 3'!H128</f>
        <v>0</v>
      </c>
      <c r="H75" s="59">
        <f>'дод 3'!I128</f>
        <v>0</v>
      </c>
      <c r="I75" s="59">
        <f>'дод 3'!J128</f>
        <v>16723300</v>
      </c>
      <c r="J75" s="59">
        <f>'дод 3'!K128</f>
        <v>16723300</v>
      </c>
      <c r="K75" s="59">
        <f>'дод 3'!L128</f>
        <v>0</v>
      </c>
      <c r="L75" s="59">
        <f>'дод 3'!M128</f>
        <v>0</v>
      </c>
      <c r="M75" s="59">
        <f>'дод 3'!N128</f>
        <v>0</v>
      </c>
      <c r="N75" s="59">
        <f>'дод 3'!O128</f>
        <v>16723300</v>
      </c>
      <c r="O75" s="59">
        <f>'дод 3'!P128</f>
        <v>46477133</v>
      </c>
    </row>
    <row r="76" spans="1:15" s="75" customFormat="1" ht="34.5" customHeight="1" x14ac:dyDescent="0.25">
      <c r="A76" s="47" t="s">
        <v>71</v>
      </c>
      <c r="B76" s="50"/>
      <c r="C76" s="2" t="s">
        <v>479</v>
      </c>
      <c r="D76" s="58">
        <f>SUM(D80+D81+D82+D84+D85+D86+D88+D90+D91+D92+D93+D94+D95+D96+D97+D99+D101+D102+D103+D104+D105+D106+D108+D110+D111)</f>
        <v>112089089.40000001</v>
      </c>
      <c r="E76" s="58">
        <f t="shared" ref="E76:O76" si="14">SUM(E80+E81+E82+E84+E85+E86+E88+E90+E91+E92+E93+E94+E95+E96+E97+E99+E101+E102+E103+E104+E105+E106+E108+E110+E111)</f>
        <v>112089089.40000001</v>
      </c>
      <c r="F76" s="58">
        <f t="shared" si="14"/>
        <v>16550585</v>
      </c>
      <c r="G76" s="58">
        <f t="shared" si="14"/>
        <v>887160</v>
      </c>
      <c r="H76" s="58">
        <f t="shared" si="14"/>
        <v>0</v>
      </c>
      <c r="I76" s="58">
        <f t="shared" si="14"/>
        <v>1149877</v>
      </c>
      <c r="J76" s="58">
        <f t="shared" si="14"/>
        <v>1041777</v>
      </c>
      <c r="K76" s="58">
        <f t="shared" si="14"/>
        <v>108100</v>
      </c>
      <c r="L76" s="58">
        <f t="shared" si="14"/>
        <v>85100</v>
      </c>
      <c r="M76" s="58">
        <f t="shared" si="14"/>
        <v>0</v>
      </c>
      <c r="N76" s="58">
        <f t="shared" si="14"/>
        <v>1041777</v>
      </c>
      <c r="O76" s="58">
        <f t="shared" si="14"/>
        <v>113238966.40000001</v>
      </c>
    </row>
    <row r="77" spans="1:15" s="76" customFormat="1" x14ac:dyDescent="0.25">
      <c r="A77" s="132"/>
      <c r="B77" s="133"/>
      <c r="C77" s="148" t="s">
        <v>457</v>
      </c>
      <c r="D77" s="149">
        <f>D83+D87+D89+D98+D100+D112</f>
        <v>4018766.9</v>
      </c>
      <c r="E77" s="149">
        <f t="shared" ref="E77:O77" si="15">E83+E87+E89+E98+E100+E112</f>
        <v>4018766.9</v>
      </c>
      <c r="F77" s="149">
        <f t="shared" si="15"/>
        <v>0</v>
      </c>
      <c r="G77" s="149">
        <f t="shared" si="15"/>
        <v>0</v>
      </c>
      <c r="H77" s="149">
        <f t="shared" si="15"/>
        <v>0</v>
      </c>
      <c r="I77" s="149">
        <f t="shared" si="15"/>
        <v>0</v>
      </c>
      <c r="J77" s="149">
        <f t="shared" si="15"/>
        <v>0</v>
      </c>
      <c r="K77" s="149">
        <f t="shared" si="15"/>
        <v>0</v>
      </c>
      <c r="L77" s="149">
        <f t="shared" si="15"/>
        <v>0</v>
      </c>
      <c r="M77" s="149">
        <f t="shared" si="15"/>
        <v>0</v>
      </c>
      <c r="N77" s="149">
        <f t="shared" si="15"/>
        <v>0</v>
      </c>
      <c r="O77" s="149">
        <f t="shared" si="15"/>
        <v>4018766.9</v>
      </c>
    </row>
    <row r="78" spans="1:15" s="76" customFormat="1" hidden="1" x14ac:dyDescent="0.25">
      <c r="A78" s="132"/>
      <c r="B78" s="133"/>
      <c r="C78" s="150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1:15" s="76" customFormat="1" hidden="1" x14ac:dyDescent="0.25">
      <c r="A79" s="132"/>
      <c r="B79" s="133"/>
      <c r="C79" s="150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1:15" ht="45" customHeight="1" x14ac:dyDescent="0.25">
      <c r="A80" s="46" t="s">
        <v>105</v>
      </c>
      <c r="B80" s="46" t="s">
        <v>56</v>
      </c>
      <c r="C80" s="3" t="s">
        <v>133</v>
      </c>
      <c r="D80" s="59">
        <f>'дод 3'!E143</f>
        <v>582400</v>
      </c>
      <c r="E80" s="59">
        <f>'дод 3'!F143</f>
        <v>582400</v>
      </c>
      <c r="F80" s="59">
        <f>'дод 3'!G143</f>
        <v>0</v>
      </c>
      <c r="G80" s="59">
        <f>'дод 3'!H143</f>
        <v>0</v>
      </c>
      <c r="H80" s="59">
        <f>'дод 3'!I143</f>
        <v>0</v>
      </c>
      <c r="I80" s="59">
        <f>'дод 3'!J143</f>
        <v>0</v>
      </c>
      <c r="J80" s="59">
        <f>'дод 3'!K143</f>
        <v>0</v>
      </c>
      <c r="K80" s="59">
        <f>'дод 3'!L143</f>
        <v>0</v>
      </c>
      <c r="L80" s="59">
        <f>'дод 3'!M143</f>
        <v>0</v>
      </c>
      <c r="M80" s="59">
        <f>'дод 3'!N143</f>
        <v>0</v>
      </c>
      <c r="N80" s="59">
        <f>'дод 3'!O143</f>
        <v>0</v>
      </c>
      <c r="O80" s="59">
        <f>'дод 3'!P143</f>
        <v>582400</v>
      </c>
    </row>
    <row r="81" spans="1:15" ht="41.25" customHeight="1" x14ac:dyDescent="0.25">
      <c r="A81" s="46" t="s">
        <v>134</v>
      </c>
      <c r="B81" s="46" t="s">
        <v>58</v>
      </c>
      <c r="C81" s="3" t="s">
        <v>397</v>
      </c>
      <c r="D81" s="59">
        <f>'дод 3'!E144</f>
        <v>1225635</v>
      </c>
      <c r="E81" s="59">
        <f>'дод 3'!F144</f>
        <v>1225635</v>
      </c>
      <c r="F81" s="59">
        <f>'дод 3'!G144</f>
        <v>0</v>
      </c>
      <c r="G81" s="59">
        <f>'дод 3'!H144</f>
        <v>0</v>
      </c>
      <c r="H81" s="59">
        <f>'дод 3'!I144</f>
        <v>0</v>
      </c>
      <c r="I81" s="59">
        <f>'дод 3'!J144</f>
        <v>0</v>
      </c>
      <c r="J81" s="59">
        <f>'дод 3'!K144</f>
        <v>0</v>
      </c>
      <c r="K81" s="59">
        <f>'дод 3'!L144</f>
        <v>0</v>
      </c>
      <c r="L81" s="59">
        <f>'дод 3'!M144</f>
        <v>0</v>
      </c>
      <c r="M81" s="59">
        <f>'дод 3'!N144</f>
        <v>0</v>
      </c>
      <c r="N81" s="59">
        <f>'дод 3'!O144</f>
        <v>0</v>
      </c>
      <c r="O81" s="59">
        <f>'дод 3'!P144</f>
        <v>1225635</v>
      </c>
    </row>
    <row r="82" spans="1:15" ht="54.75" customHeight="1" x14ac:dyDescent="0.25">
      <c r="A82" s="46" t="s">
        <v>106</v>
      </c>
      <c r="B82" s="46" t="s">
        <v>58</v>
      </c>
      <c r="C82" s="3" t="s">
        <v>488</v>
      </c>
      <c r="D82" s="59">
        <f>'дод 3'!E145+'дод 3'!E24</f>
        <v>16166281.899999999</v>
      </c>
      <c r="E82" s="59">
        <f>'дод 3'!F145+'дод 3'!F24</f>
        <v>16166281.899999999</v>
      </c>
      <c r="F82" s="59">
        <f>'дод 3'!G145+'дод 3'!G24</f>
        <v>0</v>
      </c>
      <c r="G82" s="59">
        <f>'дод 3'!H145+'дод 3'!H24</f>
        <v>0</v>
      </c>
      <c r="H82" s="59">
        <f>'дод 3'!I145+'дод 3'!I24</f>
        <v>0</v>
      </c>
      <c r="I82" s="59">
        <f>'дод 3'!J145+'дод 3'!J24</f>
        <v>0</v>
      </c>
      <c r="J82" s="59">
        <f>'дод 3'!K145+'дод 3'!K24</f>
        <v>0</v>
      </c>
      <c r="K82" s="59">
        <f>'дод 3'!L145+'дод 3'!L24</f>
        <v>0</v>
      </c>
      <c r="L82" s="59">
        <f>'дод 3'!M145+'дод 3'!M24</f>
        <v>0</v>
      </c>
      <c r="M82" s="59">
        <f>'дод 3'!N145+'дод 3'!N24</f>
        <v>0</v>
      </c>
      <c r="N82" s="59">
        <f>'дод 3'!O145+'дод 3'!O24</f>
        <v>0</v>
      </c>
      <c r="O82" s="59">
        <f>'дод 3'!P145+'дод 3'!P24</f>
        <v>16166281.899999999</v>
      </c>
    </row>
    <row r="83" spans="1:15" s="77" customFormat="1" x14ac:dyDescent="0.25">
      <c r="A83" s="151"/>
      <c r="B83" s="151"/>
      <c r="C83" s="152" t="s">
        <v>455</v>
      </c>
      <c r="D83" s="153">
        <f>'дод 3'!E146</f>
        <v>2360381.9</v>
      </c>
      <c r="E83" s="153">
        <f>'дод 3'!F146</f>
        <v>2360381.9</v>
      </c>
      <c r="F83" s="153">
        <f>'дод 3'!G146</f>
        <v>0</v>
      </c>
      <c r="G83" s="153">
        <f>'дод 3'!H146</f>
        <v>0</v>
      </c>
      <c r="H83" s="153">
        <f>'дод 3'!I146</f>
        <v>0</v>
      </c>
      <c r="I83" s="153">
        <f>'дод 3'!J146</f>
        <v>0</v>
      </c>
      <c r="J83" s="153">
        <f>'дод 3'!K146</f>
        <v>0</v>
      </c>
      <c r="K83" s="153">
        <f>'дод 3'!L146</f>
        <v>0</v>
      </c>
      <c r="L83" s="153">
        <f>'дод 3'!M146</f>
        <v>0</v>
      </c>
      <c r="M83" s="153">
        <f>'дод 3'!N146</f>
        <v>0</v>
      </c>
      <c r="N83" s="153">
        <f>'дод 3'!O146</f>
        <v>0</v>
      </c>
      <c r="O83" s="153">
        <f>'дод 3'!P146</f>
        <v>2360381.9</v>
      </c>
    </row>
    <row r="84" spans="1:15" ht="46.5" customHeight="1" x14ac:dyDescent="0.25">
      <c r="A84" s="46" t="s">
        <v>355</v>
      </c>
      <c r="B84" s="46" t="s">
        <v>58</v>
      </c>
      <c r="C84" s="3" t="s">
        <v>354</v>
      </c>
      <c r="D84" s="59">
        <f>'дод 3'!E147</f>
        <v>1000000</v>
      </c>
      <c r="E84" s="59">
        <f>'дод 3'!F147</f>
        <v>1000000</v>
      </c>
      <c r="F84" s="59">
        <f>'дод 3'!G147</f>
        <v>0</v>
      </c>
      <c r="G84" s="59">
        <f>'дод 3'!H147</f>
        <v>0</v>
      </c>
      <c r="H84" s="59">
        <f>'дод 3'!I147</f>
        <v>0</v>
      </c>
      <c r="I84" s="59">
        <f>'дод 3'!J147</f>
        <v>0</v>
      </c>
      <c r="J84" s="59">
        <f>'дод 3'!K147</f>
        <v>0</v>
      </c>
      <c r="K84" s="59">
        <f>'дод 3'!L147</f>
        <v>0</v>
      </c>
      <c r="L84" s="59">
        <f>'дод 3'!M147</f>
        <v>0</v>
      </c>
      <c r="M84" s="59">
        <f>'дод 3'!N147</f>
        <v>0</v>
      </c>
      <c r="N84" s="59">
        <f>'дод 3'!O147</f>
        <v>0</v>
      </c>
      <c r="O84" s="59">
        <f>'дод 3'!P147</f>
        <v>1000000</v>
      </c>
    </row>
    <row r="85" spans="1:15" ht="45" customHeight="1" x14ac:dyDescent="0.25">
      <c r="A85" s="46" t="s">
        <v>135</v>
      </c>
      <c r="B85" s="46" t="s">
        <v>58</v>
      </c>
      <c r="C85" s="3" t="s">
        <v>20</v>
      </c>
      <c r="D85" s="59">
        <f>'дод 3'!E148+'дод 3'!E25</f>
        <v>23995980.5</v>
      </c>
      <c r="E85" s="59">
        <f>'дод 3'!F148+'дод 3'!F25</f>
        <v>23995980.5</v>
      </c>
      <c r="F85" s="59">
        <f>'дод 3'!G148+'дод 3'!G25</f>
        <v>0</v>
      </c>
      <c r="G85" s="59">
        <f>'дод 3'!H148+'дод 3'!H25</f>
        <v>0</v>
      </c>
      <c r="H85" s="59">
        <f>'дод 3'!I148+'дод 3'!I25</f>
        <v>0</v>
      </c>
      <c r="I85" s="59">
        <f>'дод 3'!J148+'дод 3'!J25</f>
        <v>0</v>
      </c>
      <c r="J85" s="59">
        <f>'дод 3'!K148+'дод 3'!K25</f>
        <v>0</v>
      </c>
      <c r="K85" s="59">
        <f>'дод 3'!L148+'дод 3'!L25</f>
        <v>0</v>
      </c>
      <c r="L85" s="59">
        <f>'дод 3'!M148+'дод 3'!M25</f>
        <v>0</v>
      </c>
      <c r="M85" s="59">
        <f>'дод 3'!N148+'дод 3'!N25</f>
        <v>0</v>
      </c>
      <c r="N85" s="59">
        <f>'дод 3'!O148+'дод 3'!O25</f>
        <v>0</v>
      </c>
      <c r="O85" s="59">
        <f>'дод 3'!P148+'дод 3'!P25</f>
        <v>23995980.5</v>
      </c>
    </row>
    <row r="86" spans="1:15" ht="40.5" customHeight="1" x14ac:dyDescent="0.25">
      <c r="A86" s="46" t="s">
        <v>108</v>
      </c>
      <c r="B86" s="46" t="s">
        <v>58</v>
      </c>
      <c r="C86" s="3" t="s">
        <v>489</v>
      </c>
      <c r="D86" s="59">
        <f>'дод 3'!E149</f>
        <v>853000</v>
      </c>
      <c r="E86" s="59">
        <f>'дод 3'!F149</f>
        <v>853000</v>
      </c>
      <c r="F86" s="59">
        <f>'дод 3'!G149</f>
        <v>0</v>
      </c>
      <c r="G86" s="59">
        <f>'дод 3'!H149</f>
        <v>0</v>
      </c>
      <c r="H86" s="59">
        <f>'дод 3'!I149</f>
        <v>0</v>
      </c>
      <c r="I86" s="59">
        <f>'дод 3'!J149</f>
        <v>0</v>
      </c>
      <c r="J86" s="59">
        <f>'дод 3'!K149</f>
        <v>0</v>
      </c>
      <c r="K86" s="59">
        <f>'дод 3'!L149</f>
        <v>0</v>
      </c>
      <c r="L86" s="59">
        <f>'дод 3'!M149</f>
        <v>0</v>
      </c>
      <c r="M86" s="59">
        <f>'дод 3'!N149</f>
        <v>0</v>
      </c>
      <c r="N86" s="59">
        <f>'дод 3'!O149</f>
        <v>0</v>
      </c>
      <c r="O86" s="59">
        <f>'дод 3'!P149</f>
        <v>853000</v>
      </c>
    </row>
    <row r="87" spans="1:15" s="77" customFormat="1" x14ac:dyDescent="0.25">
      <c r="A87" s="151"/>
      <c r="B87" s="151"/>
      <c r="C87" s="152" t="s">
        <v>455</v>
      </c>
      <c r="D87" s="153">
        <f>'дод 3'!E150</f>
        <v>853000</v>
      </c>
      <c r="E87" s="153">
        <f>'дод 3'!F150</f>
        <v>853000</v>
      </c>
      <c r="F87" s="153">
        <f>'дод 3'!G150</f>
        <v>0</v>
      </c>
      <c r="G87" s="153">
        <f>'дод 3'!H150</f>
        <v>0</v>
      </c>
      <c r="H87" s="153">
        <f>'дод 3'!I150</f>
        <v>0</v>
      </c>
      <c r="I87" s="153">
        <f>'дод 3'!J150</f>
        <v>0</v>
      </c>
      <c r="J87" s="153">
        <f>'дод 3'!K150</f>
        <v>0</v>
      </c>
      <c r="K87" s="153">
        <f>'дод 3'!L150</f>
        <v>0</v>
      </c>
      <c r="L87" s="153">
        <f>'дод 3'!M150</f>
        <v>0</v>
      </c>
      <c r="M87" s="153">
        <f>'дод 3'!N150</f>
        <v>0</v>
      </c>
      <c r="N87" s="153">
        <f>'дод 3'!O150</f>
        <v>0</v>
      </c>
      <c r="O87" s="153">
        <f>'дод 3'!P150</f>
        <v>853000</v>
      </c>
    </row>
    <row r="88" spans="1:15" ht="40.5" customHeight="1" x14ac:dyDescent="0.25">
      <c r="A88" s="46" t="s">
        <v>346</v>
      </c>
      <c r="B88" s="46" t="s">
        <v>56</v>
      </c>
      <c r="C88" s="3" t="s">
        <v>490</v>
      </c>
      <c r="D88" s="59">
        <f>'дод 3'!E151</f>
        <v>228400</v>
      </c>
      <c r="E88" s="59">
        <f>'дод 3'!F151</f>
        <v>228400</v>
      </c>
      <c r="F88" s="59">
        <f>'дод 3'!G151</f>
        <v>0</v>
      </c>
      <c r="G88" s="59">
        <f>'дод 3'!H151</f>
        <v>0</v>
      </c>
      <c r="H88" s="59">
        <f>'дод 3'!I151</f>
        <v>0</v>
      </c>
      <c r="I88" s="59">
        <f>'дод 3'!J151</f>
        <v>0</v>
      </c>
      <c r="J88" s="59">
        <f>'дод 3'!K151</f>
        <v>0</v>
      </c>
      <c r="K88" s="59">
        <f>'дод 3'!L151</f>
        <v>0</v>
      </c>
      <c r="L88" s="59">
        <f>'дод 3'!M151</f>
        <v>0</v>
      </c>
      <c r="M88" s="59">
        <f>'дод 3'!N151</f>
        <v>0</v>
      </c>
      <c r="N88" s="59">
        <f>'дод 3'!O151</f>
        <v>0</v>
      </c>
      <c r="O88" s="59">
        <f>'дод 3'!P151</f>
        <v>228400</v>
      </c>
    </row>
    <row r="89" spans="1:15" s="77" customFormat="1" x14ac:dyDescent="0.25">
      <c r="A89" s="151"/>
      <c r="B89" s="151"/>
      <c r="C89" s="152" t="s">
        <v>455</v>
      </c>
      <c r="D89" s="153">
        <f>'дод 3'!E152</f>
        <v>228400</v>
      </c>
      <c r="E89" s="153">
        <f>'дод 3'!F152</f>
        <v>228400</v>
      </c>
      <c r="F89" s="153">
        <f>'дод 3'!G152</f>
        <v>0</v>
      </c>
      <c r="G89" s="153">
        <f>'дод 3'!H152</f>
        <v>0</v>
      </c>
      <c r="H89" s="153">
        <f>'дод 3'!I152</f>
        <v>0</v>
      </c>
      <c r="I89" s="153">
        <f>'дод 3'!J152</f>
        <v>0</v>
      </c>
      <c r="J89" s="153">
        <f>'дод 3'!K152</f>
        <v>0</v>
      </c>
      <c r="K89" s="153">
        <f>'дод 3'!L152</f>
        <v>0</v>
      </c>
      <c r="L89" s="153">
        <f>'дод 3'!M152</f>
        <v>0</v>
      </c>
      <c r="M89" s="153">
        <f>'дод 3'!N152</f>
        <v>0</v>
      </c>
      <c r="N89" s="153">
        <f>'дод 3'!O152</f>
        <v>0</v>
      </c>
      <c r="O89" s="153">
        <f>'дод 3'!P152</f>
        <v>228400</v>
      </c>
    </row>
    <row r="90" spans="1:15" ht="74.25" customHeight="1" x14ac:dyDescent="0.25">
      <c r="A90" s="46" t="s">
        <v>109</v>
      </c>
      <c r="B90" s="46" t="s">
        <v>54</v>
      </c>
      <c r="C90" s="3" t="s">
        <v>34</v>
      </c>
      <c r="D90" s="59">
        <f>'дод 3'!E153</f>
        <v>13629030</v>
      </c>
      <c r="E90" s="59">
        <f>'дод 3'!F153</f>
        <v>13629030</v>
      </c>
      <c r="F90" s="59">
        <f>'дод 3'!G153</f>
        <v>10442850</v>
      </c>
      <c r="G90" s="59">
        <f>'дод 3'!H153</f>
        <v>230060</v>
      </c>
      <c r="H90" s="59">
        <f>'дод 3'!I153</f>
        <v>0</v>
      </c>
      <c r="I90" s="59">
        <f>'дод 3'!J153</f>
        <v>478300</v>
      </c>
      <c r="J90" s="59">
        <f>'дод 3'!K153</f>
        <v>370200</v>
      </c>
      <c r="K90" s="59">
        <f>'дод 3'!L153</f>
        <v>108100</v>
      </c>
      <c r="L90" s="59">
        <f>'дод 3'!M153</f>
        <v>85100</v>
      </c>
      <c r="M90" s="59">
        <f>'дод 3'!N153</f>
        <v>0</v>
      </c>
      <c r="N90" s="59">
        <f>'дод 3'!O153</f>
        <v>370200</v>
      </c>
      <c r="O90" s="59">
        <f>'дод 3'!P153</f>
        <v>14107330</v>
      </c>
    </row>
    <row r="91" spans="1:15" ht="69.75" customHeight="1" x14ac:dyDescent="0.25">
      <c r="A91" s="46" t="s">
        <v>366</v>
      </c>
      <c r="B91" s="46" t="s">
        <v>107</v>
      </c>
      <c r="C91" s="42" t="s">
        <v>367</v>
      </c>
      <c r="D91" s="59">
        <f>SUM('дод 3'!E176)</f>
        <v>0</v>
      </c>
      <c r="E91" s="59">
        <f>SUM('дод 3'!F176)</f>
        <v>0</v>
      </c>
      <c r="F91" s="59">
        <f>SUM('дод 3'!G176)</f>
        <v>0</v>
      </c>
      <c r="G91" s="59">
        <f>SUM('дод 3'!H176)</f>
        <v>0</v>
      </c>
      <c r="H91" s="59">
        <f>SUM('дод 3'!I176)</f>
        <v>0</v>
      </c>
      <c r="I91" s="59">
        <f>SUM('дод 3'!J176)</f>
        <v>20000</v>
      </c>
      <c r="J91" s="59">
        <f>SUM('дод 3'!K176)</f>
        <v>20000</v>
      </c>
      <c r="K91" s="59">
        <f>SUM('дод 3'!L176)</f>
        <v>0</v>
      </c>
      <c r="L91" s="59">
        <f>SUM('дод 3'!M176)</f>
        <v>0</v>
      </c>
      <c r="M91" s="59">
        <f>SUM('дод 3'!N176)</f>
        <v>0</v>
      </c>
      <c r="N91" s="59">
        <f>SUM('дод 3'!O176)</f>
        <v>20000</v>
      </c>
      <c r="O91" s="59">
        <f>SUM('дод 3'!P176)</f>
        <v>20000</v>
      </c>
    </row>
    <row r="92" spans="1:15" s="77" customFormat="1" ht="43.5" customHeight="1" x14ac:dyDescent="0.25">
      <c r="A92" s="46" t="s">
        <v>110</v>
      </c>
      <c r="B92" s="46" t="s">
        <v>107</v>
      </c>
      <c r="C92" s="3" t="s">
        <v>35</v>
      </c>
      <c r="D92" s="59">
        <f>'дод 3'!E177</f>
        <v>90500</v>
      </c>
      <c r="E92" s="59">
        <f>'дод 3'!F177</f>
        <v>90500</v>
      </c>
      <c r="F92" s="59">
        <f>'дод 3'!G177</f>
        <v>0</v>
      </c>
      <c r="G92" s="59">
        <f>'дод 3'!H177</f>
        <v>0</v>
      </c>
      <c r="H92" s="59">
        <f>'дод 3'!I177</f>
        <v>0</v>
      </c>
      <c r="I92" s="59">
        <f>'дод 3'!J177</f>
        <v>0</v>
      </c>
      <c r="J92" s="59">
        <f>'дод 3'!K177</f>
        <v>0</v>
      </c>
      <c r="K92" s="59">
        <f>'дод 3'!L177</f>
        <v>0</v>
      </c>
      <c r="L92" s="59">
        <f>'дод 3'!M177</f>
        <v>0</v>
      </c>
      <c r="M92" s="59">
        <f>'дод 3'!N177</f>
        <v>0</v>
      </c>
      <c r="N92" s="59">
        <f>'дод 3'!O177</f>
        <v>0</v>
      </c>
      <c r="O92" s="59">
        <f>'дод 3'!P177</f>
        <v>90500</v>
      </c>
    </row>
    <row r="93" spans="1:15" s="77" customFormat="1" ht="38.25" customHeight="1" x14ac:dyDescent="0.25">
      <c r="A93" s="46" t="s">
        <v>136</v>
      </c>
      <c r="B93" s="46" t="s">
        <v>107</v>
      </c>
      <c r="C93" s="3" t="s">
        <v>137</v>
      </c>
      <c r="D93" s="59">
        <f>'дод 3'!E26</f>
        <v>2529735</v>
      </c>
      <c r="E93" s="59">
        <f>'дод 3'!F26</f>
        <v>2529735</v>
      </c>
      <c r="F93" s="59">
        <f>'дод 3'!G26</f>
        <v>1883250</v>
      </c>
      <c r="G93" s="59">
        <f>'дод 3'!H26</f>
        <v>50170</v>
      </c>
      <c r="H93" s="59">
        <f>'дод 3'!I26</f>
        <v>0</v>
      </c>
      <c r="I93" s="59">
        <f>'дод 3'!J26</f>
        <v>0</v>
      </c>
      <c r="J93" s="59">
        <f>'дод 3'!K26</f>
        <v>0</v>
      </c>
      <c r="K93" s="59">
        <f>'дод 3'!L26</f>
        <v>0</v>
      </c>
      <c r="L93" s="59">
        <f>'дод 3'!M26</f>
        <v>0</v>
      </c>
      <c r="M93" s="59">
        <f>'дод 3'!N26</f>
        <v>0</v>
      </c>
      <c r="N93" s="59">
        <f>'дод 3'!O26</f>
        <v>0</v>
      </c>
      <c r="O93" s="59">
        <f>'дод 3'!P26</f>
        <v>2529735</v>
      </c>
    </row>
    <row r="94" spans="1:15" s="77" customFormat="1" ht="46.5" customHeight="1" x14ac:dyDescent="0.25">
      <c r="A94" s="49" t="s">
        <v>114</v>
      </c>
      <c r="B94" s="49" t="s">
        <v>107</v>
      </c>
      <c r="C94" s="3" t="s">
        <v>375</v>
      </c>
      <c r="D94" s="59">
        <f>'дод 3'!E27</f>
        <v>684504</v>
      </c>
      <c r="E94" s="59">
        <f>'дод 3'!F27</f>
        <v>684504</v>
      </c>
      <c r="F94" s="59">
        <f>'дод 3'!G27</f>
        <v>0</v>
      </c>
      <c r="G94" s="59">
        <f>'дод 3'!H27</f>
        <v>0</v>
      </c>
      <c r="H94" s="59">
        <f>'дод 3'!I27</f>
        <v>0</v>
      </c>
      <c r="I94" s="59">
        <f>'дод 3'!J27</f>
        <v>0</v>
      </c>
      <c r="J94" s="59">
        <f>'дод 3'!K27</f>
        <v>0</v>
      </c>
      <c r="K94" s="59">
        <f>'дод 3'!L27</f>
        <v>0</v>
      </c>
      <c r="L94" s="59">
        <f>'дод 3'!M27</f>
        <v>0</v>
      </c>
      <c r="M94" s="59">
        <f>'дод 3'!N27</f>
        <v>0</v>
      </c>
      <c r="N94" s="59">
        <f>'дод 3'!O27</f>
        <v>0</v>
      </c>
      <c r="O94" s="59">
        <f>'дод 3'!P27</f>
        <v>684504</v>
      </c>
    </row>
    <row r="95" spans="1:15" ht="69" customHeight="1" x14ac:dyDescent="0.25">
      <c r="A95" s="46" t="s">
        <v>115</v>
      </c>
      <c r="B95" s="46" t="s">
        <v>107</v>
      </c>
      <c r="C95" s="6" t="s">
        <v>22</v>
      </c>
      <c r="D95" s="59">
        <f>'дод 3'!E93+'дод 3'!E28</f>
        <v>349500</v>
      </c>
      <c r="E95" s="59">
        <f>'дод 3'!F93+'дод 3'!F28</f>
        <v>349500</v>
      </c>
      <c r="F95" s="59">
        <f>'дод 3'!G93+'дод 3'!G28</f>
        <v>0</v>
      </c>
      <c r="G95" s="59">
        <f>'дод 3'!H93+'дод 3'!H28</f>
        <v>0</v>
      </c>
      <c r="H95" s="59">
        <f>'дод 3'!I93+'дод 3'!I28</f>
        <v>0</v>
      </c>
      <c r="I95" s="59">
        <f>'дод 3'!J93+'дод 3'!J28</f>
        <v>0</v>
      </c>
      <c r="J95" s="59">
        <f>'дод 3'!K93+'дод 3'!K28</f>
        <v>0</v>
      </c>
      <c r="K95" s="59">
        <f>'дод 3'!L93+'дод 3'!L28</f>
        <v>0</v>
      </c>
      <c r="L95" s="59">
        <f>'дод 3'!M93+'дод 3'!M28</f>
        <v>0</v>
      </c>
      <c r="M95" s="59">
        <f>'дод 3'!N93+'дод 3'!N28</f>
        <v>0</v>
      </c>
      <c r="N95" s="59">
        <f>'дод 3'!O93+'дод 3'!O28</f>
        <v>0</v>
      </c>
      <c r="O95" s="59">
        <f>'дод 3'!P93+'дод 3'!P28</f>
        <v>349500</v>
      </c>
    </row>
    <row r="96" spans="1:15" ht="76.5" customHeight="1" x14ac:dyDescent="0.25">
      <c r="A96" s="46" t="s">
        <v>116</v>
      </c>
      <c r="B96" s="46">
        <v>1010</v>
      </c>
      <c r="C96" s="3" t="s">
        <v>314</v>
      </c>
      <c r="D96" s="59">
        <f>'дод 3'!E154</f>
        <v>1884220</v>
      </c>
      <c r="E96" s="59">
        <f>'дод 3'!F154</f>
        <v>1884220</v>
      </c>
      <c r="F96" s="59">
        <f>'дод 3'!G154</f>
        <v>0</v>
      </c>
      <c r="G96" s="59">
        <f>'дод 3'!H154</f>
        <v>0</v>
      </c>
      <c r="H96" s="59">
        <f>'дод 3'!I154</f>
        <v>0</v>
      </c>
      <c r="I96" s="59">
        <f>'дод 3'!J154</f>
        <v>0</v>
      </c>
      <c r="J96" s="59">
        <f>'дод 3'!K154</f>
        <v>0</v>
      </c>
      <c r="K96" s="59">
        <f>'дод 3'!L154</f>
        <v>0</v>
      </c>
      <c r="L96" s="59">
        <f>'дод 3'!M154</f>
        <v>0</v>
      </c>
      <c r="M96" s="59">
        <f>'дод 3'!N154</f>
        <v>0</v>
      </c>
      <c r="N96" s="59">
        <f>'дод 3'!O154</f>
        <v>0</v>
      </c>
      <c r="O96" s="59">
        <f>'дод 3'!P154</f>
        <v>1884220</v>
      </c>
    </row>
    <row r="97" spans="1:15" s="77" customFormat="1" ht="70.5" customHeight="1" x14ac:dyDescent="0.25">
      <c r="A97" s="46" t="s">
        <v>347</v>
      </c>
      <c r="B97" s="46">
        <v>1010</v>
      </c>
      <c r="C97" s="3" t="s">
        <v>480</v>
      </c>
      <c r="D97" s="59">
        <f>'дод 3'!E155</f>
        <v>228095</v>
      </c>
      <c r="E97" s="59">
        <f>'дод 3'!F155</f>
        <v>228095</v>
      </c>
      <c r="F97" s="59">
        <f>'дод 3'!G155</f>
        <v>0</v>
      </c>
      <c r="G97" s="59">
        <f>'дод 3'!H155</f>
        <v>0</v>
      </c>
      <c r="H97" s="59">
        <f>'дод 3'!I155</f>
        <v>0</v>
      </c>
      <c r="I97" s="59">
        <f>'дод 3'!J155</f>
        <v>0</v>
      </c>
      <c r="J97" s="59">
        <f>'дод 3'!K155</f>
        <v>0</v>
      </c>
      <c r="K97" s="59">
        <f>'дод 3'!L155</f>
        <v>0</v>
      </c>
      <c r="L97" s="59">
        <f>'дод 3'!M155</f>
        <v>0</v>
      </c>
      <c r="M97" s="59">
        <f>'дод 3'!N155</f>
        <v>0</v>
      </c>
      <c r="N97" s="59">
        <f>'дод 3'!O155</f>
        <v>0</v>
      </c>
      <c r="O97" s="59">
        <f>'дод 3'!P155</f>
        <v>228095</v>
      </c>
    </row>
    <row r="98" spans="1:15" s="77" customFormat="1" x14ac:dyDescent="0.25">
      <c r="A98" s="151"/>
      <c r="B98" s="151"/>
      <c r="C98" s="152" t="s">
        <v>455</v>
      </c>
      <c r="D98" s="153">
        <f>'дод 3'!E156</f>
        <v>228095</v>
      </c>
      <c r="E98" s="153">
        <f>'дод 3'!F156</f>
        <v>228095</v>
      </c>
      <c r="F98" s="153">
        <f>'дод 3'!G156</f>
        <v>0</v>
      </c>
      <c r="G98" s="153">
        <f>'дод 3'!H156</f>
        <v>0</v>
      </c>
      <c r="H98" s="153">
        <f>'дод 3'!I156</f>
        <v>0</v>
      </c>
      <c r="I98" s="153">
        <f>'дод 3'!J156</f>
        <v>0</v>
      </c>
      <c r="J98" s="153">
        <f>'дод 3'!K156</f>
        <v>0</v>
      </c>
      <c r="K98" s="153">
        <f>'дод 3'!L156</f>
        <v>0</v>
      </c>
      <c r="L98" s="153">
        <f>'дод 3'!M156</f>
        <v>0</v>
      </c>
      <c r="M98" s="153">
        <f>'дод 3'!N156</f>
        <v>0</v>
      </c>
      <c r="N98" s="153">
        <f>'дод 3'!O156</f>
        <v>0</v>
      </c>
      <c r="O98" s="153">
        <f>'дод 3'!P156</f>
        <v>228095</v>
      </c>
    </row>
    <row r="99" spans="1:15" s="77" customFormat="1" ht="36" customHeight="1" x14ac:dyDescent="0.25">
      <c r="A99" s="46" t="s">
        <v>348</v>
      </c>
      <c r="B99" s="46">
        <v>1010</v>
      </c>
      <c r="C99" s="3" t="s">
        <v>481</v>
      </c>
      <c r="D99" s="59">
        <f>'дод 3'!E157</f>
        <v>90</v>
      </c>
      <c r="E99" s="59">
        <f>'дод 3'!F157</f>
        <v>90</v>
      </c>
      <c r="F99" s="59">
        <f>'дод 3'!G157</f>
        <v>0</v>
      </c>
      <c r="G99" s="59">
        <f>'дод 3'!H157</f>
        <v>0</v>
      </c>
      <c r="H99" s="59">
        <f>'дод 3'!I157</f>
        <v>0</v>
      </c>
      <c r="I99" s="59">
        <f>'дод 3'!J157</f>
        <v>0</v>
      </c>
      <c r="J99" s="59">
        <f>'дод 3'!K157</f>
        <v>0</v>
      </c>
      <c r="K99" s="59">
        <f>'дод 3'!L157</f>
        <v>0</v>
      </c>
      <c r="L99" s="59">
        <f>'дод 3'!M157</f>
        <v>0</v>
      </c>
      <c r="M99" s="59">
        <f>'дод 3'!N157</f>
        <v>0</v>
      </c>
      <c r="N99" s="59">
        <f>'дод 3'!O157</f>
        <v>0</v>
      </c>
      <c r="O99" s="59">
        <f>'дод 3'!P157</f>
        <v>90</v>
      </c>
    </row>
    <row r="100" spans="1:15" s="77" customFormat="1" x14ac:dyDescent="0.25">
      <c r="A100" s="151"/>
      <c r="B100" s="151"/>
      <c r="C100" s="152" t="s">
        <v>455</v>
      </c>
      <c r="D100" s="153">
        <f>'дод 3'!E158</f>
        <v>90</v>
      </c>
      <c r="E100" s="153">
        <f>'дод 3'!F158</f>
        <v>90</v>
      </c>
      <c r="F100" s="153">
        <f>'дод 3'!G158</f>
        <v>0</v>
      </c>
      <c r="G100" s="153">
        <f>'дод 3'!H158</f>
        <v>0</v>
      </c>
      <c r="H100" s="153">
        <f>'дод 3'!I158</f>
        <v>0</v>
      </c>
      <c r="I100" s="153">
        <f>'дод 3'!J158</f>
        <v>0</v>
      </c>
      <c r="J100" s="153">
        <f>'дод 3'!K158</f>
        <v>0</v>
      </c>
      <c r="K100" s="153">
        <f>'дод 3'!L158</f>
        <v>0</v>
      </c>
      <c r="L100" s="153">
        <f>'дод 3'!M158</f>
        <v>0</v>
      </c>
      <c r="M100" s="153">
        <f>'дод 3'!N158</f>
        <v>0</v>
      </c>
      <c r="N100" s="153">
        <f>'дод 3'!O158</f>
        <v>0</v>
      </c>
      <c r="O100" s="153">
        <f>'дод 3'!P158</f>
        <v>90</v>
      </c>
    </row>
    <row r="101" spans="1:15" ht="71.25" customHeight="1" x14ac:dyDescent="0.25">
      <c r="A101" s="46" t="s">
        <v>111</v>
      </c>
      <c r="B101" s="46" t="s">
        <v>57</v>
      </c>
      <c r="C101" s="3" t="s">
        <v>376</v>
      </c>
      <c r="D101" s="59">
        <f>'дод 3'!E159</f>
        <v>2028000</v>
      </c>
      <c r="E101" s="59">
        <f>'дод 3'!F159</f>
        <v>2028000</v>
      </c>
      <c r="F101" s="59">
        <f>'дод 3'!G159</f>
        <v>0</v>
      </c>
      <c r="G101" s="59">
        <f>'дод 3'!H159</f>
        <v>0</v>
      </c>
      <c r="H101" s="59">
        <f>'дод 3'!I159</f>
        <v>0</v>
      </c>
      <c r="I101" s="59">
        <f>'дод 3'!J159</f>
        <v>0</v>
      </c>
      <c r="J101" s="59">
        <f>'дод 3'!K159</f>
        <v>0</v>
      </c>
      <c r="K101" s="59">
        <f>'дод 3'!L159</f>
        <v>0</v>
      </c>
      <c r="L101" s="59">
        <f>'дод 3'!M159</f>
        <v>0</v>
      </c>
      <c r="M101" s="59">
        <f>'дод 3'!N159</f>
        <v>0</v>
      </c>
      <c r="N101" s="59">
        <f>'дод 3'!O159</f>
        <v>0</v>
      </c>
      <c r="O101" s="59">
        <f>'дод 3'!P159</f>
        <v>2028000</v>
      </c>
    </row>
    <row r="102" spans="1:15" s="77" customFormat="1" ht="29.25" customHeight="1" x14ac:dyDescent="0.25">
      <c r="A102" s="46" t="s">
        <v>315</v>
      </c>
      <c r="B102" s="46" t="s">
        <v>56</v>
      </c>
      <c r="C102" s="3" t="s">
        <v>19</v>
      </c>
      <c r="D102" s="59">
        <f>'дод 3'!E160</f>
        <v>2199344</v>
      </c>
      <c r="E102" s="59">
        <f>'дод 3'!F160</f>
        <v>2199344</v>
      </c>
      <c r="F102" s="59">
        <f>'дод 3'!G160</f>
        <v>0</v>
      </c>
      <c r="G102" s="59">
        <f>'дод 3'!H160</f>
        <v>0</v>
      </c>
      <c r="H102" s="59">
        <f>'дод 3'!I160</f>
        <v>0</v>
      </c>
      <c r="I102" s="59">
        <f>'дод 3'!J160</f>
        <v>0</v>
      </c>
      <c r="J102" s="59">
        <f>'дод 3'!K160</f>
        <v>0</v>
      </c>
      <c r="K102" s="59">
        <f>'дод 3'!L160</f>
        <v>0</v>
      </c>
      <c r="L102" s="59">
        <f>'дод 3'!M160</f>
        <v>0</v>
      </c>
      <c r="M102" s="59">
        <f>'дод 3'!N160</f>
        <v>0</v>
      </c>
      <c r="N102" s="59">
        <f>'дод 3'!O160</f>
        <v>0</v>
      </c>
      <c r="O102" s="59">
        <f>'дод 3'!P160</f>
        <v>2199344</v>
      </c>
    </row>
    <row r="103" spans="1:15" s="77" customFormat="1" ht="55.5" customHeight="1" x14ac:dyDescent="0.25">
      <c r="A103" s="46" t="s">
        <v>316</v>
      </c>
      <c r="B103" s="46" t="s">
        <v>56</v>
      </c>
      <c r="C103" s="3" t="s">
        <v>344</v>
      </c>
      <c r="D103" s="59">
        <f>'дод 3'!E161</f>
        <v>1892237</v>
      </c>
      <c r="E103" s="59">
        <f>'дод 3'!F161</f>
        <v>1892237</v>
      </c>
      <c r="F103" s="59">
        <f>'дод 3'!G161</f>
        <v>0</v>
      </c>
      <c r="G103" s="59">
        <f>'дод 3'!H161</f>
        <v>0</v>
      </c>
      <c r="H103" s="59">
        <f>'дод 3'!I161</f>
        <v>0</v>
      </c>
      <c r="I103" s="59">
        <f>'дод 3'!J161</f>
        <v>0</v>
      </c>
      <c r="J103" s="59">
        <f>'дод 3'!K161</f>
        <v>0</v>
      </c>
      <c r="K103" s="59">
        <f>'дод 3'!L161</f>
        <v>0</v>
      </c>
      <c r="L103" s="59">
        <f>'дод 3'!M161</f>
        <v>0</v>
      </c>
      <c r="M103" s="59">
        <f>'дод 3'!N161</f>
        <v>0</v>
      </c>
      <c r="N103" s="59">
        <f>'дод 3'!O161</f>
        <v>0</v>
      </c>
      <c r="O103" s="59">
        <f>'дод 3'!P161</f>
        <v>1892237</v>
      </c>
    </row>
    <row r="104" spans="1:15" ht="36.75" customHeight="1" x14ac:dyDescent="0.25">
      <c r="A104" s="46" t="s">
        <v>112</v>
      </c>
      <c r="B104" s="46" t="s">
        <v>60</v>
      </c>
      <c r="C104" s="3" t="s">
        <v>377</v>
      </c>
      <c r="D104" s="59">
        <f>'дод 3'!E162</f>
        <v>86500</v>
      </c>
      <c r="E104" s="59">
        <f>'дод 3'!F162</f>
        <v>86500</v>
      </c>
      <c r="F104" s="59">
        <f>'дод 3'!G162</f>
        <v>0</v>
      </c>
      <c r="G104" s="59">
        <f>'дод 3'!H162</f>
        <v>0</v>
      </c>
      <c r="H104" s="59">
        <f>'дод 3'!I162</f>
        <v>0</v>
      </c>
      <c r="I104" s="59">
        <f>'дод 3'!J162</f>
        <v>0</v>
      </c>
      <c r="J104" s="59">
        <f>'дод 3'!K162</f>
        <v>0</v>
      </c>
      <c r="K104" s="59">
        <f>'дод 3'!L162</f>
        <v>0</v>
      </c>
      <c r="L104" s="59">
        <f>'дод 3'!M162</f>
        <v>0</v>
      </c>
      <c r="M104" s="59">
        <f>'дод 3'!N162</f>
        <v>0</v>
      </c>
      <c r="N104" s="59">
        <f>'дод 3'!O162</f>
        <v>0</v>
      </c>
      <c r="O104" s="59">
        <f>'дод 3'!P162</f>
        <v>86500</v>
      </c>
    </row>
    <row r="105" spans="1:15" ht="27.75" customHeight="1" x14ac:dyDescent="0.25">
      <c r="A105" s="46" t="s">
        <v>317</v>
      </c>
      <c r="B105" s="46" t="s">
        <v>113</v>
      </c>
      <c r="C105" s="3" t="s">
        <v>41</v>
      </c>
      <c r="D105" s="59">
        <f>'дод 3'!E163+'дод 3'!E194</f>
        <v>309000</v>
      </c>
      <c r="E105" s="59">
        <f>'дод 3'!F163+'дод 3'!F194</f>
        <v>309000</v>
      </c>
      <c r="F105" s="59">
        <f>'дод 3'!G163+'дод 3'!G194</f>
        <v>163935</v>
      </c>
      <c r="G105" s="59">
        <f>'дод 3'!H163+'дод 3'!H194</f>
        <v>0</v>
      </c>
      <c r="H105" s="59">
        <f>'дод 3'!I163+'дод 3'!I194</f>
        <v>0</v>
      </c>
      <c r="I105" s="59">
        <f>'дод 3'!J163+'дод 3'!J194</f>
        <v>0</v>
      </c>
      <c r="J105" s="59">
        <f>'дод 3'!K163+'дод 3'!K194</f>
        <v>0</v>
      </c>
      <c r="K105" s="59">
        <f>'дод 3'!L163+'дод 3'!L194</f>
        <v>0</v>
      </c>
      <c r="L105" s="59">
        <f>'дод 3'!M163+'дод 3'!M194</f>
        <v>0</v>
      </c>
      <c r="M105" s="59">
        <f>'дод 3'!N163+'дод 3'!N194</f>
        <v>0</v>
      </c>
      <c r="N105" s="59">
        <f>'дод 3'!O163+'дод 3'!O194</f>
        <v>0</v>
      </c>
      <c r="O105" s="59">
        <f>'дод 3'!P163+'дод 3'!P194</f>
        <v>309000</v>
      </c>
    </row>
    <row r="106" spans="1:15" hidden="1" x14ac:dyDescent="0.25">
      <c r="A106" s="46"/>
      <c r="B106" s="88"/>
      <c r="C106" s="4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idden="1" x14ac:dyDescent="0.25">
      <c r="A107" s="46"/>
      <c r="B107" s="88"/>
      <c r="C107" s="160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idden="1" x14ac:dyDescent="0.25">
      <c r="A108" s="46"/>
      <c r="B108" s="88"/>
      <c r="C108" s="4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idden="1" x14ac:dyDescent="0.25">
      <c r="A109" s="46"/>
      <c r="B109" s="88"/>
      <c r="C109" s="160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s="77" customFormat="1" ht="32.25" customHeight="1" x14ac:dyDescent="0.25">
      <c r="A110" s="46" t="s">
        <v>318</v>
      </c>
      <c r="B110" s="46" t="s">
        <v>60</v>
      </c>
      <c r="C110" s="3" t="s">
        <v>320</v>
      </c>
      <c r="D110" s="59">
        <f>'дод 3'!E168+'дод 3'!E29</f>
        <v>6558501</v>
      </c>
      <c r="E110" s="59">
        <f>'дод 3'!F168+'дод 3'!F29</f>
        <v>6558501</v>
      </c>
      <c r="F110" s="59">
        <f>'дод 3'!G168+'дод 3'!G29</f>
        <v>4060550</v>
      </c>
      <c r="G110" s="59">
        <f>'дод 3'!H168+'дод 3'!H29</f>
        <v>606930</v>
      </c>
      <c r="H110" s="59">
        <f>'дод 3'!I168+'дод 3'!I29</f>
        <v>0</v>
      </c>
      <c r="I110" s="59">
        <f>'дод 3'!J168+'дод 3'!J29</f>
        <v>610997</v>
      </c>
      <c r="J110" s="59">
        <f>'дод 3'!K168+'дод 3'!K29</f>
        <v>610997</v>
      </c>
      <c r="K110" s="59">
        <f>'дод 3'!L168+'дод 3'!L29</f>
        <v>0</v>
      </c>
      <c r="L110" s="59">
        <f>'дод 3'!M168+'дод 3'!M29</f>
        <v>0</v>
      </c>
      <c r="M110" s="59">
        <f>'дод 3'!N168+'дод 3'!N29</f>
        <v>0</v>
      </c>
      <c r="N110" s="59">
        <f>'дод 3'!O168+'дод 3'!O29</f>
        <v>610997</v>
      </c>
      <c r="O110" s="59">
        <f>'дод 3'!P168+'дод 3'!P29</f>
        <v>7169498</v>
      </c>
    </row>
    <row r="111" spans="1:15" s="77" customFormat="1" ht="31.5" customHeight="1" x14ac:dyDescent="0.25">
      <c r="A111" s="46" t="s">
        <v>319</v>
      </c>
      <c r="B111" s="46" t="s">
        <v>60</v>
      </c>
      <c r="C111" s="3" t="s">
        <v>482</v>
      </c>
      <c r="D111" s="59">
        <f>'дод 3'!E94+'дод 3'!E169+'дод 3'!E30</f>
        <v>35568136</v>
      </c>
      <c r="E111" s="59">
        <f>'дод 3'!F94+'дод 3'!F169+'дод 3'!F30</f>
        <v>35568136</v>
      </c>
      <c r="F111" s="59">
        <f>'дод 3'!G94+'дод 3'!G169+'дод 3'!G30</f>
        <v>0</v>
      </c>
      <c r="G111" s="59">
        <f>'дод 3'!H94+'дод 3'!H169+'дод 3'!H30</f>
        <v>0</v>
      </c>
      <c r="H111" s="59">
        <f>'дод 3'!I94+'дод 3'!I169+'дод 3'!I30</f>
        <v>0</v>
      </c>
      <c r="I111" s="59">
        <f>'дод 3'!J94+'дод 3'!J169+'дод 3'!J30</f>
        <v>40580</v>
      </c>
      <c r="J111" s="59">
        <f>'дод 3'!K94+'дод 3'!K169+'дод 3'!K30</f>
        <v>40580</v>
      </c>
      <c r="K111" s="59">
        <f>'дод 3'!L94+'дод 3'!L169+'дод 3'!L30</f>
        <v>0</v>
      </c>
      <c r="L111" s="59">
        <f>'дод 3'!M94+'дод 3'!M169+'дод 3'!M30</f>
        <v>0</v>
      </c>
      <c r="M111" s="59">
        <f>'дод 3'!N94+'дод 3'!N169+'дод 3'!N30</f>
        <v>0</v>
      </c>
      <c r="N111" s="59">
        <f>'дод 3'!O94+'дод 3'!O169+'дод 3'!O30</f>
        <v>40580</v>
      </c>
      <c r="O111" s="59">
        <f>'дод 3'!P94+'дод 3'!P169+'дод 3'!P30</f>
        <v>35608716</v>
      </c>
    </row>
    <row r="112" spans="1:15" s="77" customFormat="1" x14ac:dyDescent="0.25">
      <c r="A112" s="151"/>
      <c r="B112" s="151"/>
      <c r="C112" s="152" t="s">
        <v>455</v>
      </c>
      <c r="D112" s="153">
        <f>'дод 3'!E170</f>
        <v>348800</v>
      </c>
      <c r="E112" s="153">
        <f>'дод 3'!F170</f>
        <v>348800</v>
      </c>
      <c r="F112" s="153">
        <f>'дод 3'!G170</f>
        <v>0</v>
      </c>
      <c r="G112" s="153">
        <f>'дод 3'!H170</f>
        <v>0</v>
      </c>
      <c r="H112" s="153">
        <f>'дод 3'!I170</f>
        <v>0</v>
      </c>
      <c r="I112" s="153">
        <f>'дод 3'!J170</f>
        <v>0</v>
      </c>
      <c r="J112" s="153">
        <f>'дод 3'!K170</f>
        <v>0</v>
      </c>
      <c r="K112" s="153">
        <f>'дод 3'!L170</f>
        <v>0</v>
      </c>
      <c r="L112" s="153">
        <f>'дод 3'!M170</f>
        <v>0</v>
      </c>
      <c r="M112" s="153">
        <f>'дод 3'!N170</f>
        <v>0</v>
      </c>
      <c r="N112" s="153">
        <f>'дод 3'!O170</f>
        <v>0</v>
      </c>
      <c r="O112" s="153">
        <f>'дод 3'!P170</f>
        <v>348800</v>
      </c>
    </row>
    <row r="113" spans="1:15" s="75" customFormat="1" ht="19.5" customHeight="1" x14ac:dyDescent="0.25">
      <c r="A113" s="47" t="s">
        <v>77</v>
      </c>
      <c r="B113" s="50"/>
      <c r="C113" s="2" t="s">
        <v>78</v>
      </c>
      <c r="D113" s="58">
        <f t="shared" ref="D113:O113" si="16">D114+D115+D116+D117</f>
        <v>33391941</v>
      </c>
      <c r="E113" s="58">
        <f t="shared" si="16"/>
        <v>33391941</v>
      </c>
      <c r="F113" s="58">
        <f t="shared" si="16"/>
        <v>18624115</v>
      </c>
      <c r="G113" s="58">
        <f t="shared" si="16"/>
        <v>1801060</v>
      </c>
      <c r="H113" s="58">
        <f t="shared" si="16"/>
        <v>0</v>
      </c>
      <c r="I113" s="58">
        <f t="shared" si="16"/>
        <v>1359793</v>
      </c>
      <c r="J113" s="58">
        <f t="shared" si="16"/>
        <v>1323793</v>
      </c>
      <c r="K113" s="58">
        <f t="shared" si="16"/>
        <v>36000</v>
      </c>
      <c r="L113" s="58">
        <f t="shared" si="16"/>
        <v>12100</v>
      </c>
      <c r="M113" s="58">
        <f t="shared" si="16"/>
        <v>3300</v>
      </c>
      <c r="N113" s="58">
        <f t="shared" si="16"/>
        <v>1323793</v>
      </c>
      <c r="O113" s="58">
        <f t="shared" si="16"/>
        <v>34751734</v>
      </c>
    </row>
    <row r="114" spans="1:15" ht="22.5" customHeight="1" x14ac:dyDescent="0.25">
      <c r="A114" s="46" t="s">
        <v>79</v>
      </c>
      <c r="B114" s="46" t="s">
        <v>80</v>
      </c>
      <c r="C114" s="3" t="s">
        <v>16</v>
      </c>
      <c r="D114" s="59">
        <f>'дод 3'!E183</f>
        <v>19073564</v>
      </c>
      <c r="E114" s="59">
        <f>'дод 3'!F183</f>
        <v>19073564</v>
      </c>
      <c r="F114" s="59">
        <f>'дод 3'!G183</f>
        <v>13633896</v>
      </c>
      <c r="G114" s="59">
        <f>'дод 3'!H183</f>
        <v>1227200</v>
      </c>
      <c r="H114" s="59">
        <f>'дод 3'!I183</f>
        <v>0</v>
      </c>
      <c r="I114" s="59">
        <f>'дод 3'!J183</f>
        <v>346795</v>
      </c>
      <c r="J114" s="59">
        <f>'дод 3'!K183</f>
        <v>316795</v>
      </c>
      <c r="K114" s="59">
        <f>'дод 3'!L183</f>
        <v>30000</v>
      </c>
      <c r="L114" s="59">
        <f>'дод 3'!M183</f>
        <v>12100</v>
      </c>
      <c r="M114" s="59">
        <f>'дод 3'!N183</f>
        <v>0</v>
      </c>
      <c r="N114" s="59">
        <f>'дод 3'!O183</f>
        <v>316795</v>
      </c>
      <c r="O114" s="59">
        <f>'дод 3'!P183</f>
        <v>19420359</v>
      </c>
    </row>
    <row r="115" spans="1:15" ht="33.75" customHeight="1" x14ac:dyDescent="0.25">
      <c r="A115" s="46" t="s">
        <v>351</v>
      </c>
      <c r="B115" s="46" t="s">
        <v>352</v>
      </c>
      <c r="C115" s="3" t="s">
        <v>353</v>
      </c>
      <c r="D115" s="59">
        <f>'дод 3'!E31+'дод 3'!E184</f>
        <v>5736882</v>
      </c>
      <c r="E115" s="59">
        <f>'дод 3'!F31+'дод 3'!F184</f>
        <v>5736882</v>
      </c>
      <c r="F115" s="59">
        <f>'дод 3'!G31+'дод 3'!G184</f>
        <v>2204815</v>
      </c>
      <c r="G115" s="59">
        <f>'дод 3'!H31+'дод 3'!H184</f>
        <v>449760</v>
      </c>
      <c r="H115" s="59">
        <f>'дод 3'!I31+'дод 3'!I184</f>
        <v>0</v>
      </c>
      <c r="I115" s="59">
        <f>'дод 3'!J31+'дод 3'!J184</f>
        <v>788998</v>
      </c>
      <c r="J115" s="59">
        <f>'дод 3'!K31+'дод 3'!K184</f>
        <v>782998</v>
      </c>
      <c r="K115" s="59">
        <f>'дод 3'!L31+'дод 3'!L184</f>
        <v>6000</v>
      </c>
      <c r="L115" s="59">
        <f>'дод 3'!M31+'дод 3'!M184</f>
        <v>0</v>
      </c>
      <c r="M115" s="59">
        <f>'дод 3'!N31+'дод 3'!N184</f>
        <v>3300</v>
      </c>
      <c r="N115" s="59">
        <f>'дод 3'!O31+'дод 3'!O184</f>
        <v>782998</v>
      </c>
      <c r="O115" s="59">
        <f>'дод 3'!P31+'дод 3'!P184</f>
        <v>6525880</v>
      </c>
    </row>
    <row r="116" spans="1:15" s="77" customFormat="1" ht="39.75" customHeight="1" x14ac:dyDescent="0.25">
      <c r="A116" s="46" t="s">
        <v>321</v>
      </c>
      <c r="B116" s="46" t="s">
        <v>81</v>
      </c>
      <c r="C116" s="3" t="s">
        <v>378</v>
      </c>
      <c r="D116" s="59">
        <f>'дод 3'!E32+'дод 3'!E185</f>
        <v>5724471</v>
      </c>
      <c r="E116" s="59">
        <f>'дод 3'!F32+'дод 3'!F185</f>
        <v>5724471</v>
      </c>
      <c r="F116" s="59">
        <f>'дод 3'!G32+'дод 3'!G185</f>
        <v>2785404</v>
      </c>
      <c r="G116" s="59">
        <f>'дод 3'!H32+'дод 3'!H185</f>
        <v>124100</v>
      </c>
      <c r="H116" s="59">
        <f>'дод 3'!I32+'дод 3'!I185</f>
        <v>0</v>
      </c>
      <c r="I116" s="59">
        <f>'дод 3'!J32+'дод 3'!J185</f>
        <v>224000</v>
      </c>
      <c r="J116" s="59">
        <f>'дод 3'!K32+'дод 3'!K185</f>
        <v>224000</v>
      </c>
      <c r="K116" s="59">
        <f>'дод 3'!L32+'дод 3'!L185</f>
        <v>0</v>
      </c>
      <c r="L116" s="59">
        <f>'дод 3'!M32+'дод 3'!M185</f>
        <v>0</v>
      </c>
      <c r="M116" s="59">
        <f>'дод 3'!N32+'дод 3'!N185</f>
        <v>0</v>
      </c>
      <c r="N116" s="59">
        <f>'дод 3'!O32+'дод 3'!O185</f>
        <v>224000</v>
      </c>
      <c r="O116" s="59">
        <f>'дод 3'!P32+'дод 3'!P185</f>
        <v>5948471</v>
      </c>
    </row>
    <row r="117" spans="1:15" s="77" customFormat="1" ht="30" customHeight="1" x14ac:dyDescent="0.25">
      <c r="A117" s="46" t="s">
        <v>322</v>
      </c>
      <c r="B117" s="46" t="s">
        <v>81</v>
      </c>
      <c r="C117" s="3" t="s">
        <v>323</v>
      </c>
      <c r="D117" s="59">
        <f>'дод 3'!E33+'дод 3'!E186</f>
        <v>2857024</v>
      </c>
      <c r="E117" s="59">
        <f>'дод 3'!F33+'дод 3'!F186</f>
        <v>2857024</v>
      </c>
      <c r="F117" s="59">
        <f>'дод 3'!G33+'дод 3'!G186</f>
        <v>0</v>
      </c>
      <c r="G117" s="59">
        <f>'дод 3'!H33+'дод 3'!H186</f>
        <v>0</v>
      </c>
      <c r="H117" s="59">
        <f>'дод 3'!I33+'дод 3'!I186</f>
        <v>0</v>
      </c>
      <c r="I117" s="59">
        <f>'дод 3'!J33+'дод 3'!J186</f>
        <v>0</v>
      </c>
      <c r="J117" s="59">
        <f>'дод 3'!K33+'дод 3'!K186</f>
        <v>0</v>
      </c>
      <c r="K117" s="59">
        <f>'дод 3'!L33+'дод 3'!L186</f>
        <v>0</v>
      </c>
      <c r="L117" s="59">
        <f>'дод 3'!M33+'дод 3'!M186</f>
        <v>0</v>
      </c>
      <c r="M117" s="59">
        <f>'дод 3'!N33+'дод 3'!N186</f>
        <v>0</v>
      </c>
      <c r="N117" s="59">
        <f>'дод 3'!O33+'дод 3'!O186</f>
        <v>0</v>
      </c>
      <c r="O117" s="59">
        <f>'дод 3'!P33+'дод 3'!P186</f>
        <v>2857024</v>
      </c>
    </row>
    <row r="118" spans="1:15" s="75" customFormat="1" ht="21.75" customHeight="1" x14ac:dyDescent="0.25">
      <c r="A118" s="47" t="s">
        <v>84</v>
      </c>
      <c r="B118" s="50"/>
      <c r="C118" s="2" t="s">
        <v>85</v>
      </c>
      <c r="D118" s="58">
        <f t="shared" ref="D118:O118" si="17">D119+D120+D121+D122+D123+D124</f>
        <v>47767550</v>
      </c>
      <c r="E118" s="58">
        <f t="shared" si="17"/>
        <v>47767550</v>
      </c>
      <c r="F118" s="58">
        <f t="shared" si="17"/>
        <v>17382800</v>
      </c>
      <c r="G118" s="58">
        <f t="shared" si="17"/>
        <v>1210790</v>
      </c>
      <c r="H118" s="58">
        <f t="shared" si="17"/>
        <v>0</v>
      </c>
      <c r="I118" s="58">
        <f t="shared" si="17"/>
        <v>3182990</v>
      </c>
      <c r="J118" s="58">
        <f t="shared" si="17"/>
        <v>3003870</v>
      </c>
      <c r="K118" s="58">
        <f t="shared" si="17"/>
        <v>179120</v>
      </c>
      <c r="L118" s="58">
        <f t="shared" si="17"/>
        <v>91105</v>
      </c>
      <c r="M118" s="58">
        <f t="shared" si="17"/>
        <v>51050</v>
      </c>
      <c r="N118" s="58">
        <f t="shared" si="17"/>
        <v>3003870</v>
      </c>
      <c r="O118" s="58">
        <f t="shared" si="17"/>
        <v>50950540</v>
      </c>
    </row>
    <row r="119" spans="1:15" s="77" customFormat="1" ht="43.5" customHeight="1" x14ac:dyDescent="0.25">
      <c r="A119" s="46" t="s">
        <v>86</v>
      </c>
      <c r="B119" s="46" t="s">
        <v>87</v>
      </c>
      <c r="C119" s="3" t="s">
        <v>23</v>
      </c>
      <c r="D119" s="59">
        <f>'дод 3'!E34</f>
        <v>551000</v>
      </c>
      <c r="E119" s="59">
        <f>'дод 3'!F34</f>
        <v>551000</v>
      </c>
      <c r="F119" s="59">
        <f>'дод 3'!G34</f>
        <v>0</v>
      </c>
      <c r="G119" s="59">
        <f>'дод 3'!H34</f>
        <v>0</v>
      </c>
      <c r="H119" s="59">
        <f>'дод 3'!I34</f>
        <v>0</v>
      </c>
      <c r="I119" s="59">
        <f>'дод 3'!J34</f>
        <v>0</v>
      </c>
      <c r="J119" s="59">
        <f>'дод 3'!K34</f>
        <v>0</v>
      </c>
      <c r="K119" s="59">
        <f>'дод 3'!L34</f>
        <v>0</v>
      </c>
      <c r="L119" s="59">
        <f>'дод 3'!M34</f>
        <v>0</v>
      </c>
      <c r="M119" s="59">
        <f>'дод 3'!N34</f>
        <v>0</v>
      </c>
      <c r="N119" s="59">
        <f>'дод 3'!O34</f>
        <v>0</v>
      </c>
      <c r="O119" s="59">
        <f>'дод 3'!P34</f>
        <v>551000</v>
      </c>
    </row>
    <row r="120" spans="1:15" s="77" customFormat="1" ht="39.75" customHeight="1" x14ac:dyDescent="0.25">
      <c r="A120" s="46" t="s">
        <v>88</v>
      </c>
      <c r="B120" s="46" t="s">
        <v>87</v>
      </c>
      <c r="C120" s="3" t="s">
        <v>17</v>
      </c>
      <c r="D120" s="59">
        <f>'дод 3'!E35</f>
        <v>989400</v>
      </c>
      <c r="E120" s="59">
        <f>'дод 3'!F35</f>
        <v>989400</v>
      </c>
      <c r="F120" s="59">
        <f>'дод 3'!G35</f>
        <v>0</v>
      </c>
      <c r="G120" s="59">
        <f>'дод 3'!H35</f>
        <v>0</v>
      </c>
      <c r="H120" s="59">
        <f>'дод 3'!I35</f>
        <v>0</v>
      </c>
      <c r="I120" s="59">
        <f>'дод 3'!J35</f>
        <v>0</v>
      </c>
      <c r="J120" s="59">
        <f>'дод 3'!K35</f>
        <v>0</v>
      </c>
      <c r="K120" s="59">
        <f>'дод 3'!L35</f>
        <v>0</v>
      </c>
      <c r="L120" s="59">
        <f>'дод 3'!M35</f>
        <v>0</v>
      </c>
      <c r="M120" s="59">
        <f>'дод 3'!N35</f>
        <v>0</v>
      </c>
      <c r="N120" s="59">
        <f>'дод 3'!O35</f>
        <v>0</v>
      </c>
      <c r="O120" s="59">
        <f>'дод 3'!P35</f>
        <v>989400</v>
      </c>
    </row>
    <row r="121" spans="1:15" s="77" customFormat="1" ht="36.75" customHeight="1" x14ac:dyDescent="0.25">
      <c r="A121" s="46" t="s">
        <v>124</v>
      </c>
      <c r="B121" s="46" t="s">
        <v>87</v>
      </c>
      <c r="C121" s="3" t="s">
        <v>24</v>
      </c>
      <c r="D121" s="59">
        <f>'дод 3'!E95+'дод 3'!E36</f>
        <v>20432810</v>
      </c>
      <c r="E121" s="59">
        <f>'дод 3'!F95+'дод 3'!F36</f>
        <v>20432810</v>
      </c>
      <c r="F121" s="59">
        <f>'дод 3'!G95+'дод 3'!G36</f>
        <v>14935900</v>
      </c>
      <c r="G121" s="59">
        <f>'дод 3'!H95+'дод 3'!H36</f>
        <v>890690</v>
      </c>
      <c r="H121" s="59">
        <f>'дод 3'!I95+'дод 3'!I36</f>
        <v>0</v>
      </c>
      <c r="I121" s="59">
        <f>'дод 3'!J95+'дод 3'!J36</f>
        <v>1045420</v>
      </c>
      <c r="J121" s="59">
        <f>'дод 3'!K95+'дод 3'!K36</f>
        <v>1045420</v>
      </c>
      <c r="K121" s="59">
        <f>'дод 3'!L95+'дод 3'!L36</f>
        <v>0</v>
      </c>
      <c r="L121" s="59">
        <f>'дод 3'!M95+'дод 3'!M36</f>
        <v>0</v>
      </c>
      <c r="M121" s="59">
        <f>'дод 3'!N95+'дод 3'!N36</f>
        <v>0</v>
      </c>
      <c r="N121" s="59">
        <f>'дод 3'!O95+'дод 3'!O36</f>
        <v>1045420</v>
      </c>
      <c r="O121" s="59">
        <f>'дод 3'!P95+'дод 3'!P36</f>
        <v>21478230</v>
      </c>
    </row>
    <row r="122" spans="1:15" s="77" customFormat="1" ht="31.5" customHeight="1" x14ac:dyDescent="0.25">
      <c r="A122" s="46" t="s">
        <v>125</v>
      </c>
      <c r="B122" s="46" t="s">
        <v>87</v>
      </c>
      <c r="C122" s="3" t="s">
        <v>25</v>
      </c>
      <c r="D122" s="59">
        <f>'дод 3'!E37</f>
        <v>11492630</v>
      </c>
      <c r="E122" s="59">
        <f>'дод 3'!F37</f>
        <v>11492630</v>
      </c>
      <c r="F122" s="59">
        <f>'дод 3'!G37</f>
        <v>0</v>
      </c>
      <c r="G122" s="59">
        <f>'дод 3'!H37</f>
        <v>0</v>
      </c>
      <c r="H122" s="59">
        <f>'дод 3'!I37</f>
        <v>0</v>
      </c>
      <c r="I122" s="59">
        <f>'дод 3'!J37</f>
        <v>198000</v>
      </c>
      <c r="J122" s="59">
        <f>'дод 3'!K37</f>
        <v>198000</v>
      </c>
      <c r="K122" s="59">
        <f>'дод 3'!L37</f>
        <v>0</v>
      </c>
      <c r="L122" s="59">
        <f>'дод 3'!M37</f>
        <v>0</v>
      </c>
      <c r="M122" s="59">
        <f>'дод 3'!N37</f>
        <v>0</v>
      </c>
      <c r="N122" s="59">
        <f>'дод 3'!O37</f>
        <v>198000</v>
      </c>
      <c r="O122" s="59">
        <f>'дод 3'!P37</f>
        <v>11690630</v>
      </c>
    </row>
    <row r="123" spans="1:15" s="77" customFormat="1" ht="60" customHeight="1" x14ac:dyDescent="0.25">
      <c r="A123" s="46" t="s">
        <v>120</v>
      </c>
      <c r="B123" s="46" t="s">
        <v>87</v>
      </c>
      <c r="C123" s="3" t="s">
        <v>121</v>
      </c>
      <c r="D123" s="59">
        <f>'дод 3'!E38</f>
        <v>4551120</v>
      </c>
      <c r="E123" s="59">
        <f>'дод 3'!F38</f>
        <v>4551120</v>
      </c>
      <c r="F123" s="59">
        <f>'дод 3'!G38</f>
        <v>2446900</v>
      </c>
      <c r="G123" s="59">
        <f>'дод 3'!H38</f>
        <v>320100</v>
      </c>
      <c r="H123" s="59">
        <f>'дод 3'!I38</f>
        <v>0</v>
      </c>
      <c r="I123" s="59">
        <f>'дод 3'!J38</f>
        <v>1861120</v>
      </c>
      <c r="J123" s="59">
        <f>'дод 3'!K38</f>
        <v>1682000</v>
      </c>
      <c r="K123" s="59">
        <f>'дод 3'!L38</f>
        <v>179120</v>
      </c>
      <c r="L123" s="59">
        <f>'дод 3'!M38</f>
        <v>91105</v>
      </c>
      <c r="M123" s="59">
        <f>'дод 3'!N38</f>
        <v>51050</v>
      </c>
      <c r="N123" s="59">
        <f>'дод 3'!O38</f>
        <v>1682000</v>
      </c>
      <c r="O123" s="59">
        <f>'дод 3'!P38</f>
        <v>6412240</v>
      </c>
    </row>
    <row r="124" spans="1:15" s="77" customFormat="1" ht="42" customHeight="1" x14ac:dyDescent="0.25">
      <c r="A124" s="46" t="s">
        <v>123</v>
      </c>
      <c r="B124" s="46" t="s">
        <v>87</v>
      </c>
      <c r="C124" s="3" t="s">
        <v>122</v>
      </c>
      <c r="D124" s="59">
        <f>'дод 3'!E39</f>
        <v>9750590</v>
      </c>
      <c r="E124" s="59">
        <f>'дод 3'!F39</f>
        <v>9750590</v>
      </c>
      <c r="F124" s="59">
        <f>'дод 3'!G39</f>
        <v>0</v>
      </c>
      <c r="G124" s="59">
        <f>'дод 3'!H39</f>
        <v>0</v>
      </c>
      <c r="H124" s="59">
        <f>'дод 3'!I39</f>
        <v>0</v>
      </c>
      <c r="I124" s="59">
        <f>'дод 3'!J39</f>
        <v>78450</v>
      </c>
      <c r="J124" s="59">
        <f>'дод 3'!K39</f>
        <v>78450</v>
      </c>
      <c r="K124" s="59">
        <f>'дод 3'!L39</f>
        <v>0</v>
      </c>
      <c r="L124" s="59">
        <f>'дод 3'!M39</f>
        <v>0</v>
      </c>
      <c r="M124" s="59">
        <f>'дод 3'!N39</f>
        <v>0</v>
      </c>
      <c r="N124" s="59">
        <f>'дод 3'!O39</f>
        <v>78450</v>
      </c>
      <c r="O124" s="59">
        <f>'дод 3'!P39</f>
        <v>9829040</v>
      </c>
    </row>
    <row r="125" spans="1:15" s="75" customFormat="1" ht="27" customHeight="1" x14ac:dyDescent="0.25">
      <c r="A125" s="47" t="s">
        <v>72</v>
      </c>
      <c r="B125" s="50"/>
      <c r="C125" s="2" t="s">
        <v>73</v>
      </c>
      <c r="D125" s="58">
        <f>D126+D127+D128+D129+D130+D131+D132+D133+D134</f>
        <v>251530585.20999998</v>
      </c>
      <c r="E125" s="58">
        <f t="shared" ref="E125:O125" si="18">E126+E127+E128+E129+E130+E131+E132+E133+E134</f>
        <v>208536147.20999998</v>
      </c>
      <c r="F125" s="58">
        <f t="shared" si="18"/>
        <v>0</v>
      </c>
      <c r="G125" s="58">
        <f t="shared" si="18"/>
        <v>28370606</v>
      </c>
      <c r="H125" s="58">
        <f t="shared" si="18"/>
        <v>42994438</v>
      </c>
      <c r="I125" s="58">
        <f t="shared" si="18"/>
        <v>157928939.50999999</v>
      </c>
      <c r="J125" s="58">
        <f t="shared" si="18"/>
        <v>157771236.44999999</v>
      </c>
      <c r="K125" s="58">
        <f t="shared" si="18"/>
        <v>0</v>
      </c>
      <c r="L125" s="58">
        <f t="shared" si="18"/>
        <v>0</v>
      </c>
      <c r="M125" s="58">
        <f t="shared" si="18"/>
        <v>0</v>
      </c>
      <c r="N125" s="58">
        <f t="shared" si="18"/>
        <v>157928939.50999999</v>
      </c>
      <c r="O125" s="58">
        <f t="shared" si="18"/>
        <v>409459524.71999997</v>
      </c>
    </row>
    <row r="126" spans="1:15" s="77" customFormat="1" ht="33.75" customHeight="1" x14ac:dyDescent="0.25">
      <c r="A126" s="46" t="s">
        <v>138</v>
      </c>
      <c r="B126" s="46" t="s">
        <v>74</v>
      </c>
      <c r="C126" s="3" t="s">
        <v>139</v>
      </c>
      <c r="D126" s="59">
        <f>'дод 3'!E195</f>
        <v>0</v>
      </c>
      <c r="E126" s="59">
        <f>'дод 3'!F195</f>
        <v>0</v>
      </c>
      <c r="F126" s="59">
        <f>'дод 3'!G195</f>
        <v>0</v>
      </c>
      <c r="G126" s="59">
        <f>'дод 3'!H195</f>
        <v>0</v>
      </c>
      <c r="H126" s="59">
        <f>'дод 3'!I195</f>
        <v>0</v>
      </c>
      <c r="I126" s="59">
        <f>'дод 3'!J195</f>
        <v>14111660.360000001</v>
      </c>
      <c r="J126" s="59">
        <f>'дод 3'!K195</f>
        <v>14081660.360000001</v>
      </c>
      <c r="K126" s="59">
        <f>'дод 3'!L195</f>
        <v>0</v>
      </c>
      <c r="L126" s="59">
        <f>'дод 3'!M195</f>
        <v>0</v>
      </c>
      <c r="M126" s="59">
        <f>'дод 3'!N195</f>
        <v>0</v>
      </c>
      <c r="N126" s="59">
        <f>'дод 3'!O195</f>
        <v>14111660.360000001</v>
      </c>
      <c r="O126" s="59">
        <f>'дод 3'!P195</f>
        <v>14111660.360000001</v>
      </c>
    </row>
    <row r="127" spans="1:15" s="77" customFormat="1" ht="36.75" customHeight="1" x14ac:dyDescent="0.25">
      <c r="A127" s="46" t="s">
        <v>140</v>
      </c>
      <c r="B127" s="46" t="s">
        <v>76</v>
      </c>
      <c r="C127" s="3" t="s">
        <v>158</v>
      </c>
      <c r="D127" s="59">
        <f>'дод 3'!E196</f>
        <v>40959857.380000003</v>
      </c>
      <c r="E127" s="59">
        <f>'дод 3'!F196</f>
        <v>659857.38</v>
      </c>
      <c r="F127" s="59">
        <f>'дод 3'!G196</f>
        <v>0</v>
      </c>
      <c r="G127" s="59">
        <f>'дод 3'!H196</f>
        <v>0</v>
      </c>
      <c r="H127" s="59">
        <f>'дод 3'!I196</f>
        <v>40300000</v>
      </c>
      <c r="I127" s="59">
        <f>'дод 3'!J196</f>
        <v>3452635.62</v>
      </c>
      <c r="J127" s="59">
        <f>'дод 3'!K196</f>
        <v>3452635.62</v>
      </c>
      <c r="K127" s="59">
        <f>'дод 3'!L196</f>
        <v>0</v>
      </c>
      <c r="L127" s="59">
        <f>'дод 3'!M196</f>
        <v>0</v>
      </c>
      <c r="M127" s="59">
        <f>'дод 3'!N196</f>
        <v>0</v>
      </c>
      <c r="N127" s="59">
        <f>'дод 3'!O196</f>
        <v>3452635.62</v>
      </c>
      <c r="O127" s="59">
        <f>'дод 3'!P196</f>
        <v>44412493</v>
      </c>
    </row>
    <row r="128" spans="1:15" s="77" customFormat="1" ht="36.75" customHeight="1" x14ac:dyDescent="0.25">
      <c r="A128" s="49" t="s">
        <v>282</v>
      </c>
      <c r="B128" s="49" t="s">
        <v>76</v>
      </c>
      <c r="C128" s="3" t="s">
        <v>283</v>
      </c>
      <c r="D128" s="59">
        <f>'дод 3'!E197</f>
        <v>133887</v>
      </c>
      <c r="E128" s="59">
        <f>'дод 3'!F197</f>
        <v>133887</v>
      </c>
      <c r="F128" s="59">
        <f>'дод 3'!G197</f>
        <v>0</v>
      </c>
      <c r="G128" s="59">
        <f>'дод 3'!H197</f>
        <v>0</v>
      </c>
      <c r="H128" s="59">
        <f>'дод 3'!I197</f>
        <v>0</v>
      </c>
      <c r="I128" s="59">
        <f>'дод 3'!J197</f>
        <v>15188290.529999999</v>
      </c>
      <c r="J128" s="59">
        <f>'дод 3'!K197</f>
        <v>15138290.529999999</v>
      </c>
      <c r="K128" s="59">
        <f>'дод 3'!L197</f>
        <v>0</v>
      </c>
      <c r="L128" s="59">
        <f>'дод 3'!M197</f>
        <v>0</v>
      </c>
      <c r="M128" s="59">
        <f>'дод 3'!N197</f>
        <v>0</v>
      </c>
      <c r="N128" s="59">
        <f>'дод 3'!O197</f>
        <v>15188290.529999999</v>
      </c>
      <c r="O128" s="59">
        <f>'дод 3'!P197</f>
        <v>15322177.529999999</v>
      </c>
    </row>
    <row r="129" spans="1:15" s="77" customFormat="1" ht="33" customHeight="1" x14ac:dyDescent="0.25">
      <c r="A129" s="46" t="s">
        <v>285</v>
      </c>
      <c r="B129" s="46" t="s">
        <v>76</v>
      </c>
      <c r="C129" s="3" t="s">
        <v>379</v>
      </c>
      <c r="D129" s="59">
        <f>'дод 3'!E198</f>
        <v>100000</v>
      </c>
      <c r="E129" s="59">
        <f>'дод 3'!F198</f>
        <v>100000</v>
      </c>
      <c r="F129" s="59">
        <f>'дод 3'!G198</f>
        <v>0</v>
      </c>
      <c r="G129" s="59">
        <f>'дод 3'!H198</f>
        <v>0</v>
      </c>
      <c r="H129" s="59">
        <f>'дод 3'!I198</f>
        <v>0</v>
      </c>
      <c r="I129" s="59">
        <f>'дод 3'!J198</f>
        <v>0</v>
      </c>
      <c r="J129" s="59">
        <f>'дод 3'!K198</f>
        <v>0</v>
      </c>
      <c r="K129" s="59">
        <f>'дод 3'!L198</f>
        <v>0</v>
      </c>
      <c r="L129" s="59">
        <f>'дод 3'!M198</f>
        <v>0</v>
      </c>
      <c r="M129" s="59">
        <f>'дод 3'!N198</f>
        <v>0</v>
      </c>
      <c r="N129" s="59">
        <f>'дод 3'!O198</f>
        <v>0</v>
      </c>
      <c r="O129" s="59">
        <f>'дод 3'!P198</f>
        <v>100000</v>
      </c>
    </row>
    <row r="130" spans="1:15" s="77" customFormat="1" ht="52.5" customHeight="1" x14ac:dyDescent="0.25">
      <c r="A130" s="46" t="s">
        <v>75</v>
      </c>
      <c r="B130" s="46" t="s">
        <v>76</v>
      </c>
      <c r="C130" s="3" t="s">
        <v>143</v>
      </c>
      <c r="D130" s="59">
        <f>'дод 3'!E199</f>
        <v>2605232</v>
      </c>
      <c r="E130" s="59">
        <f>'дод 3'!F199</f>
        <v>0</v>
      </c>
      <c r="F130" s="59">
        <f>'дод 3'!G199</f>
        <v>0</v>
      </c>
      <c r="G130" s="59">
        <f>'дод 3'!H199</f>
        <v>0</v>
      </c>
      <c r="H130" s="59">
        <f>'дод 3'!I199</f>
        <v>2605232</v>
      </c>
      <c r="I130" s="59">
        <f>'дод 3'!J199</f>
        <v>2000000</v>
      </c>
      <c r="J130" s="59">
        <f>'дод 3'!K199</f>
        <v>2000000</v>
      </c>
      <c r="K130" s="59">
        <f>'дод 3'!L199</f>
        <v>0</v>
      </c>
      <c r="L130" s="59">
        <f>'дод 3'!M199</f>
        <v>0</v>
      </c>
      <c r="M130" s="59">
        <f>'дод 3'!N199</f>
        <v>0</v>
      </c>
      <c r="N130" s="59">
        <f>'дод 3'!O199</f>
        <v>2000000</v>
      </c>
      <c r="O130" s="59">
        <f>'дод 3'!P199</f>
        <v>4605232</v>
      </c>
    </row>
    <row r="131" spans="1:15" ht="30" customHeight="1" x14ac:dyDescent="0.25">
      <c r="A131" s="46" t="s">
        <v>141</v>
      </c>
      <c r="B131" s="46" t="s">
        <v>76</v>
      </c>
      <c r="C131" s="3" t="s">
        <v>142</v>
      </c>
      <c r="D131" s="59">
        <f>'дод 3'!E200+'дод 3'!E226</f>
        <v>204021950.50999999</v>
      </c>
      <c r="E131" s="59">
        <f>'дод 3'!F200+'дод 3'!F226</f>
        <v>204021950.50999999</v>
      </c>
      <c r="F131" s="59">
        <f>'дод 3'!G200+'дод 3'!G226</f>
        <v>0</v>
      </c>
      <c r="G131" s="59">
        <f>'дод 3'!H200+'дод 3'!H226</f>
        <v>28328206</v>
      </c>
      <c r="H131" s="59">
        <f>'дод 3'!I200+'дод 3'!I226</f>
        <v>0</v>
      </c>
      <c r="I131" s="59">
        <f>'дод 3'!J200+'дод 3'!J226</f>
        <v>121929941.15000001</v>
      </c>
      <c r="J131" s="59">
        <f>'дод 3'!K200+'дод 3'!K226</f>
        <v>121929941.15000001</v>
      </c>
      <c r="K131" s="59">
        <f>'дод 3'!L200+'дод 3'!L226</f>
        <v>0</v>
      </c>
      <c r="L131" s="59">
        <f>'дод 3'!M200+'дод 3'!M226</f>
        <v>0</v>
      </c>
      <c r="M131" s="59">
        <f>'дод 3'!N200+'дод 3'!N226</f>
        <v>0</v>
      </c>
      <c r="N131" s="59">
        <f>'дод 3'!O200+'дод 3'!O226</f>
        <v>121929941.15000001</v>
      </c>
      <c r="O131" s="59">
        <f>'дод 3'!P200+'дод 3'!P226</f>
        <v>325951891.65999997</v>
      </c>
    </row>
    <row r="132" spans="1:15" ht="78.75" x14ac:dyDescent="0.25">
      <c r="A132" s="46">
        <v>6083</v>
      </c>
      <c r="B132" s="88" t="s">
        <v>74</v>
      </c>
      <c r="C132" s="11" t="s">
        <v>532</v>
      </c>
      <c r="D132" s="59">
        <f>'дод 3'!E178</f>
        <v>0</v>
      </c>
      <c r="E132" s="59">
        <f>'дод 3'!F178</f>
        <v>0</v>
      </c>
      <c r="F132" s="59">
        <f>'дод 3'!G178</f>
        <v>0</v>
      </c>
      <c r="G132" s="59">
        <f>'дод 3'!H178</f>
        <v>0</v>
      </c>
      <c r="H132" s="59">
        <f>'дод 3'!I178</f>
        <v>0</v>
      </c>
      <c r="I132" s="59">
        <f>'дод 3'!J178</f>
        <v>663000</v>
      </c>
      <c r="J132" s="59">
        <f>'дод 3'!K178</f>
        <v>663000</v>
      </c>
      <c r="K132" s="59">
        <f>'дод 3'!L178</f>
        <v>0</v>
      </c>
      <c r="L132" s="59">
        <f>'дод 3'!M178</f>
        <v>0</v>
      </c>
      <c r="M132" s="59">
        <f>'дод 3'!N178</f>
        <v>0</v>
      </c>
      <c r="N132" s="59">
        <f>'дод 3'!O178</f>
        <v>663000</v>
      </c>
      <c r="O132" s="59">
        <f>'дод 3'!P178</f>
        <v>663000</v>
      </c>
    </row>
    <row r="133" spans="1:15" s="77" customFormat="1" ht="57" customHeight="1" x14ac:dyDescent="0.25">
      <c r="A133" s="46" t="s">
        <v>145</v>
      </c>
      <c r="B133" s="51" t="s">
        <v>74</v>
      </c>
      <c r="C133" s="3" t="s">
        <v>146</v>
      </c>
      <c r="D133" s="59">
        <f>'дод 3'!E227</f>
        <v>84906</v>
      </c>
      <c r="E133" s="59">
        <f>'дод 3'!F227</f>
        <v>0</v>
      </c>
      <c r="F133" s="59">
        <f>'дод 3'!G227</f>
        <v>0</v>
      </c>
      <c r="G133" s="59">
        <f>'дод 3'!H227</f>
        <v>0</v>
      </c>
      <c r="H133" s="59">
        <f>'дод 3'!I227</f>
        <v>84906</v>
      </c>
      <c r="I133" s="59">
        <f>'дод 3'!J227</f>
        <v>77703.06</v>
      </c>
      <c r="J133" s="59">
        <f>'дод 3'!K227</f>
        <v>0</v>
      </c>
      <c r="K133" s="59">
        <f>'дод 3'!L227</f>
        <v>0</v>
      </c>
      <c r="L133" s="59">
        <f>'дод 3'!M227</f>
        <v>0</v>
      </c>
      <c r="M133" s="59">
        <f>'дод 3'!N227</f>
        <v>0</v>
      </c>
      <c r="N133" s="59">
        <f>'дод 3'!O227</f>
        <v>77703.06</v>
      </c>
      <c r="O133" s="59">
        <f>'дод 3'!P227</f>
        <v>162609.06</v>
      </c>
    </row>
    <row r="134" spans="1:15" ht="39.75" customHeight="1" x14ac:dyDescent="0.25">
      <c r="A134" s="46" t="s">
        <v>152</v>
      </c>
      <c r="B134" s="51" t="s">
        <v>342</v>
      </c>
      <c r="C134" s="3" t="s">
        <v>153</v>
      </c>
      <c r="D134" s="59">
        <f>'дод 3'!E201+'дод 3'!E243</f>
        <v>3624752.3200000008</v>
      </c>
      <c r="E134" s="59">
        <f>'дод 3'!F201+'дод 3'!F243</f>
        <v>3620452.3200000008</v>
      </c>
      <c r="F134" s="59">
        <f>'дод 3'!G201+'дод 3'!G243</f>
        <v>0</v>
      </c>
      <c r="G134" s="59">
        <f>'дод 3'!H201+'дод 3'!H243</f>
        <v>42400</v>
      </c>
      <c r="H134" s="59">
        <f>'дод 3'!I201+'дод 3'!I243</f>
        <v>4300</v>
      </c>
      <c r="I134" s="59">
        <f>'дод 3'!J201+'дод 3'!J243</f>
        <v>505708.78999999911</v>
      </c>
      <c r="J134" s="59">
        <f>'дод 3'!K201+'дод 3'!K243</f>
        <v>505708.78999999911</v>
      </c>
      <c r="K134" s="59">
        <f>'дод 3'!L201+'дод 3'!L243</f>
        <v>0</v>
      </c>
      <c r="L134" s="59">
        <f>'дод 3'!M201+'дод 3'!M243</f>
        <v>0</v>
      </c>
      <c r="M134" s="59">
        <f>'дод 3'!N201+'дод 3'!N243</f>
        <v>0</v>
      </c>
      <c r="N134" s="59">
        <f>'дод 3'!O201+'дод 3'!O243</f>
        <v>505708.78999999911</v>
      </c>
      <c r="O134" s="59">
        <f>'дод 3'!P201+'дод 3'!P243</f>
        <v>4130461.11</v>
      </c>
    </row>
    <row r="135" spans="1:15" s="75" customFormat="1" ht="29.25" customHeight="1" x14ac:dyDescent="0.25">
      <c r="A135" s="47" t="s">
        <v>147</v>
      </c>
      <c r="B135" s="50"/>
      <c r="C135" s="2" t="s">
        <v>483</v>
      </c>
      <c r="D135" s="58">
        <f t="shared" ref="D135:O135" si="19">D139+D141+D155+D162+D164+D175</f>
        <v>67647586</v>
      </c>
      <c r="E135" s="58">
        <f t="shared" si="19"/>
        <v>16128286</v>
      </c>
      <c r="F135" s="58">
        <f t="shared" si="19"/>
        <v>0</v>
      </c>
      <c r="G135" s="58">
        <f t="shared" si="19"/>
        <v>0</v>
      </c>
      <c r="H135" s="58">
        <f t="shared" si="19"/>
        <v>51519300</v>
      </c>
      <c r="I135" s="58">
        <f t="shared" si="19"/>
        <v>377353228.75999999</v>
      </c>
      <c r="J135" s="58">
        <f t="shared" si="19"/>
        <v>282194996.63</v>
      </c>
      <c r="K135" s="58">
        <f t="shared" si="19"/>
        <v>81941363.010000005</v>
      </c>
      <c r="L135" s="58">
        <f t="shared" si="19"/>
        <v>0</v>
      </c>
      <c r="M135" s="58">
        <f t="shared" si="19"/>
        <v>0</v>
      </c>
      <c r="N135" s="58">
        <f t="shared" si="19"/>
        <v>295411865.75</v>
      </c>
      <c r="O135" s="58">
        <f t="shared" si="19"/>
        <v>445000814.75999999</v>
      </c>
    </row>
    <row r="136" spans="1:15" s="76" customFormat="1" ht="47.25" x14ac:dyDescent="0.25">
      <c r="A136" s="132"/>
      <c r="B136" s="133"/>
      <c r="C136" s="148" t="s">
        <v>450</v>
      </c>
      <c r="D136" s="149">
        <f>D142</f>
        <v>0</v>
      </c>
      <c r="E136" s="149">
        <f t="shared" ref="E136:O136" si="20">E142</f>
        <v>0</v>
      </c>
      <c r="F136" s="149">
        <f t="shared" si="20"/>
        <v>0</v>
      </c>
      <c r="G136" s="149">
        <f t="shared" si="20"/>
        <v>0</v>
      </c>
      <c r="H136" s="149">
        <f t="shared" si="20"/>
        <v>0</v>
      </c>
      <c r="I136" s="149">
        <f t="shared" si="20"/>
        <v>13809968.930000002</v>
      </c>
      <c r="J136" s="149">
        <f t="shared" si="20"/>
        <v>13809968.930000002</v>
      </c>
      <c r="K136" s="149">
        <f t="shared" si="20"/>
        <v>0</v>
      </c>
      <c r="L136" s="149">
        <f t="shared" si="20"/>
        <v>0</v>
      </c>
      <c r="M136" s="149">
        <f t="shared" si="20"/>
        <v>0</v>
      </c>
      <c r="N136" s="149">
        <f t="shared" si="20"/>
        <v>13809968.930000002</v>
      </c>
      <c r="O136" s="149">
        <f t="shared" si="20"/>
        <v>13809968.930000002</v>
      </c>
    </row>
    <row r="137" spans="1:15" s="76" customFormat="1" ht="94.5" x14ac:dyDescent="0.25">
      <c r="A137" s="132"/>
      <c r="B137" s="133"/>
      <c r="C137" s="148" t="s">
        <v>459</v>
      </c>
      <c r="D137" s="149">
        <f>D156</f>
        <v>0</v>
      </c>
      <c r="E137" s="149">
        <f t="shared" ref="E137:N137" si="21">E156</f>
        <v>0</v>
      </c>
      <c r="F137" s="149">
        <f t="shared" si="21"/>
        <v>0</v>
      </c>
      <c r="G137" s="149">
        <f t="shared" si="21"/>
        <v>0</v>
      </c>
      <c r="H137" s="149">
        <f t="shared" si="21"/>
        <v>0</v>
      </c>
      <c r="I137" s="149">
        <f t="shared" si="21"/>
        <v>80000000</v>
      </c>
      <c r="J137" s="149">
        <f t="shared" si="21"/>
        <v>0</v>
      </c>
      <c r="K137" s="149">
        <f t="shared" si="21"/>
        <v>80000000</v>
      </c>
      <c r="L137" s="149">
        <f t="shared" si="21"/>
        <v>0</v>
      </c>
      <c r="M137" s="149">
        <f t="shared" si="21"/>
        <v>0</v>
      </c>
      <c r="N137" s="149">
        <f t="shared" si="21"/>
        <v>0</v>
      </c>
      <c r="O137" s="149">
        <f t="shared" ref="O137" si="22">O156</f>
        <v>80000000</v>
      </c>
    </row>
    <row r="138" spans="1:15" s="76" customFormat="1" ht="23.25" customHeight="1" x14ac:dyDescent="0.25">
      <c r="A138" s="132"/>
      <c r="B138" s="132"/>
      <c r="C138" s="156" t="s">
        <v>505</v>
      </c>
      <c r="D138" s="149">
        <f>D165</f>
        <v>0</v>
      </c>
      <c r="E138" s="149">
        <f t="shared" ref="E138:O138" si="23">E165</f>
        <v>0</v>
      </c>
      <c r="F138" s="149">
        <f t="shared" si="23"/>
        <v>0</v>
      </c>
      <c r="G138" s="149">
        <f t="shared" si="23"/>
        <v>0</v>
      </c>
      <c r="H138" s="149">
        <f t="shared" si="23"/>
        <v>0</v>
      </c>
      <c r="I138" s="149">
        <f t="shared" si="23"/>
        <v>58776907</v>
      </c>
      <c r="J138" s="149">
        <f t="shared" si="23"/>
        <v>58776907</v>
      </c>
      <c r="K138" s="149">
        <f t="shared" si="23"/>
        <v>0</v>
      </c>
      <c r="L138" s="149">
        <f t="shared" si="23"/>
        <v>0</v>
      </c>
      <c r="M138" s="149">
        <f t="shared" si="23"/>
        <v>0</v>
      </c>
      <c r="N138" s="149">
        <f t="shared" si="23"/>
        <v>58776907</v>
      </c>
      <c r="O138" s="149">
        <f t="shared" si="23"/>
        <v>58776907</v>
      </c>
    </row>
    <row r="139" spans="1:15" s="75" customFormat="1" x14ac:dyDescent="0.25">
      <c r="A139" s="47" t="s">
        <v>154</v>
      </c>
      <c r="B139" s="50"/>
      <c r="C139" s="2" t="s">
        <v>155</v>
      </c>
      <c r="D139" s="58">
        <f t="shared" ref="D139:O139" si="24">D140</f>
        <v>665000</v>
      </c>
      <c r="E139" s="58">
        <f t="shared" si="24"/>
        <v>665000</v>
      </c>
      <c r="F139" s="58">
        <f t="shared" si="24"/>
        <v>0</v>
      </c>
      <c r="G139" s="58">
        <f t="shared" si="24"/>
        <v>0</v>
      </c>
      <c r="H139" s="58">
        <f t="shared" si="24"/>
        <v>0</v>
      </c>
      <c r="I139" s="58">
        <f t="shared" si="24"/>
        <v>0</v>
      </c>
      <c r="J139" s="58">
        <f t="shared" si="24"/>
        <v>0</v>
      </c>
      <c r="K139" s="58">
        <f t="shared" si="24"/>
        <v>0</v>
      </c>
      <c r="L139" s="58">
        <f t="shared" si="24"/>
        <v>0</v>
      </c>
      <c r="M139" s="58">
        <f t="shared" si="24"/>
        <v>0</v>
      </c>
      <c r="N139" s="58">
        <f t="shared" si="24"/>
        <v>0</v>
      </c>
      <c r="O139" s="58">
        <f t="shared" si="24"/>
        <v>665000</v>
      </c>
    </row>
    <row r="140" spans="1:15" ht="24" customHeight="1" x14ac:dyDescent="0.25">
      <c r="A140" s="46" t="s">
        <v>148</v>
      </c>
      <c r="B140" s="46" t="s">
        <v>90</v>
      </c>
      <c r="C140" s="3" t="s">
        <v>380</v>
      </c>
      <c r="D140" s="59">
        <f>'дод 3'!E251</f>
        <v>665000</v>
      </c>
      <c r="E140" s="59">
        <f>'дод 3'!F251</f>
        <v>665000</v>
      </c>
      <c r="F140" s="59">
        <f>'дод 3'!G251</f>
        <v>0</v>
      </c>
      <c r="G140" s="59">
        <f>'дод 3'!H251</f>
        <v>0</v>
      </c>
      <c r="H140" s="59">
        <f>'дод 3'!I251</f>
        <v>0</v>
      </c>
      <c r="I140" s="59">
        <f>'дод 3'!J251</f>
        <v>0</v>
      </c>
      <c r="J140" s="59">
        <f>'дод 3'!K251</f>
        <v>0</v>
      </c>
      <c r="K140" s="59">
        <f>'дод 3'!L251</f>
        <v>0</v>
      </c>
      <c r="L140" s="59">
        <f>'дод 3'!M251</f>
        <v>0</v>
      </c>
      <c r="M140" s="59">
        <f>'дод 3'!N251</f>
        <v>0</v>
      </c>
      <c r="N140" s="59">
        <f>'дод 3'!O251</f>
        <v>0</v>
      </c>
      <c r="O140" s="59">
        <f>'дод 3'!P251</f>
        <v>665000</v>
      </c>
    </row>
    <row r="141" spans="1:15" s="75" customFormat="1" ht="33.75" customHeight="1" x14ac:dyDescent="0.25">
      <c r="A141" s="47" t="s">
        <v>104</v>
      </c>
      <c r="B141" s="47"/>
      <c r="C141" s="13" t="s">
        <v>484</v>
      </c>
      <c r="D141" s="58">
        <f>D143+D144+D145+D146+D148+D149+D151+D147+D150+D152+D154</f>
        <v>135637.20000000001</v>
      </c>
      <c r="E141" s="58">
        <f t="shared" ref="E141:O141" si="25">E143+E144+E145+E146+E148+E149+E151+E147+E150+E152+E154</f>
        <v>135637.20000000001</v>
      </c>
      <c r="F141" s="58">
        <f t="shared" si="25"/>
        <v>0</v>
      </c>
      <c r="G141" s="58">
        <f t="shared" si="25"/>
        <v>0</v>
      </c>
      <c r="H141" s="58">
        <f t="shared" si="25"/>
        <v>0</v>
      </c>
      <c r="I141" s="58">
        <f t="shared" si="25"/>
        <v>179999452.42999998</v>
      </c>
      <c r="J141" s="58">
        <f t="shared" si="25"/>
        <v>179999452.42999998</v>
      </c>
      <c r="K141" s="58">
        <f t="shared" si="25"/>
        <v>0</v>
      </c>
      <c r="L141" s="58">
        <f t="shared" si="25"/>
        <v>0</v>
      </c>
      <c r="M141" s="58">
        <f t="shared" si="25"/>
        <v>0</v>
      </c>
      <c r="N141" s="58">
        <f t="shared" si="25"/>
        <v>179999452.42999998</v>
      </c>
      <c r="O141" s="58">
        <f t="shared" si="25"/>
        <v>180135089.62999997</v>
      </c>
    </row>
    <row r="142" spans="1:15" s="76" customFormat="1" ht="47.25" x14ac:dyDescent="0.25">
      <c r="A142" s="132"/>
      <c r="B142" s="132"/>
      <c r="C142" s="148" t="s">
        <v>450</v>
      </c>
      <c r="D142" s="149">
        <f>D153</f>
        <v>0</v>
      </c>
      <c r="E142" s="149">
        <f t="shared" ref="E142:O142" si="26">E153</f>
        <v>0</v>
      </c>
      <c r="F142" s="149">
        <f t="shared" si="26"/>
        <v>0</v>
      </c>
      <c r="G142" s="149">
        <f t="shared" si="26"/>
        <v>0</v>
      </c>
      <c r="H142" s="149">
        <f t="shared" si="26"/>
        <v>0</v>
      </c>
      <c r="I142" s="149">
        <f t="shared" si="26"/>
        <v>13809968.930000002</v>
      </c>
      <c r="J142" s="149">
        <f t="shared" si="26"/>
        <v>13809968.930000002</v>
      </c>
      <c r="K142" s="149">
        <f t="shared" si="26"/>
        <v>0</v>
      </c>
      <c r="L142" s="149">
        <f t="shared" si="26"/>
        <v>0</v>
      </c>
      <c r="M142" s="149">
        <f t="shared" si="26"/>
        <v>0</v>
      </c>
      <c r="N142" s="149">
        <f t="shared" si="26"/>
        <v>13809968.930000002</v>
      </c>
      <c r="O142" s="149">
        <f t="shared" si="26"/>
        <v>13809968.930000002</v>
      </c>
    </row>
    <row r="143" spans="1:15" ht="28.5" customHeight="1" x14ac:dyDescent="0.25">
      <c r="A143" s="49" t="s">
        <v>294</v>
      </c>
      <c r="B143" s="49" t="s">
        <v>119</v>
      </c>
      <c r="C143" s="3" t="s">
        <v>303</v>
      </c>
      <c r="D143" s="59">
        <f>'дод 3'!E228+'дод 3'!E202</f>
        <v>0</v>
      </c>
      <c r="E143" s="59">
        <f>'дод 3'!F228+'дод 3'!F202</f>
        <v>0</v>
      </c>
      <c r="F143" s="59">
        <f>'дод 3'!G228+'дод 3'!G202</f>
        <v>0</v>
      </c>
      <c r="G143" s="59">
        <f>'дод 3'!H228+'дод 3'!H202</f>
        <v>0</v>
      </c>
      <c r="H143" s="59">
        <f>'дод 3'!I228+'дод 3'!I202</f>
        <v>0</v>
      </c>
      <c r="I143" s="59">
        <f>'дод 3'!J228+'дод 3'!J202</f>
        <v>14392216.76</v>
      </c>
      <c r="J143" s="59">
        <f>'дод 3'!K228+'дод 3'!K202</f>
        <v>14392216.76</v>
      </c>
      <c r="K143" s="59">
        <f>'дод 3'!L228+'дод 3'!L202</f>
        <v>0</v>
      </c>
      <c r="L143" s="59">
        <f>'дод 3'!M228+'дод 3'!M202</f>
        <v>0</v>
      </c>
      <c r="M143" s="59">
        <f>'дод 3'!N228+'дод 3'!N202</f>
        <v>0</v>
      </c>
      <c r="N143" s="59">
        <f>'дод 3'!O228+'дод 3'!O202</f>
        <v>14392216.76</v>
      </c>
      <c r="O143" s="59">
        <f>'дод 3'!P228+'дод 3'!P202</f>
        <v>14392216.76</v>
      </c>
    </row>
    <row r="144" spans="1:15" s="77" customFormat="1" ht="28.5" customHeight="1" x14ac:dyDescent="0.25">
      <c r="A144" s="49" t="s">
        <v>299</v>
      </c>
      <c r="B144" s="49" t="s">
        <v>119</v>
      </c>
      <c r="C144" s="3" t="s">
        <v>304</v>
      </c>
      <c r="D144" s="59">
        <f>'дод 3'!E229+'дод 3'!E96</f>
        <v>0</v>
      </c>
      <c r="E144" s="59">
        <f>'дод 3'!F229+'дод 3'!F96</f>
        <v>0</v>
      </c>
      <c r="F144" s="59">
        <f>'дод 3'!G229+'дод 3'!G96</f>
        <v>0</v>
      </c>
      <c r="G144" s="59">
        <f>'дод 3'!H229+'дод 3'!H96</f>
        <v>0</v>
      </c>
      <c r="H144" s="59">
        <f>'дод 3'!I229+'дод 3'!I96</f>
        <v>0</v>
      </c>
      <c r="I144" s="59">
        <f>'дод 3'!J229+'дод 3'!J96</f>
        <v>25426726.5</v>
      </c>
      <c r="J144" s="59">
        <f>'дод 3'!K229+'дод 3'!K96</f>
        <v>25426726.5</v>
      </c>
      <c r="K144" s="59">
        <f>'дод 3'!L229+'дод 3'!L96</f>
        <v>0</v>
      </c>
      <c r="L144" s="59">
        <f>'дод 3'!M229+'дод 3'!M96</f>
        <v>0</v>
      </c>
      <c r="M144" s="59">
        <f>'дод 3'!N229+'дод 3'!N96</f>
        <v>0</v>
      </c>
      <c r="N144" s="59">
        <f>'дод 3'!O229+'дод 3'!O96</f>
        <v>25426726.5</v>
      </c>
      <c r="O144" s="59">
        <f>'дод 3'!P229+'дод 3'!P96</f>
        <v>25426726.5</v>
      </c>
    </row>
    <row r="145" spans="1:15" s="77" customFormat="1" ht="28.5" customHeight="1" x14ac:dyDescent="0.25">
      <c r="A145" s="49" t="s">
        <v>301</v>
      </c>
      <c r="B145" s="49" t="s">
        <v>119</v>
      </c>
      <c r="C145" s="3" t="s">
        <v>305</v>
      </c>
      <c r="D145" s="59">
        <f>'дод 3'!E230+'дод 3'!E129</f>
        <v>0</v>
      </c>
      <c r="E145" s="59">
        <f>'дод 3'!F230+'дод 3'!F129</f>
        <v>0</v>
      </c>
      <c r="F145" s="59">
        <f>'дод 3'!G230+'дод 3'!G129</f>
        <v>0</v>
      </c>
      <c r="G145" s="59">
        <f>'дод 3'!H230+'дод 3'!H129</f>
        <v>0</v>
      </c>
      <c r="H145" s="59">
        <f>'дод 3'!I230+'дод 3'!I129</f>
        <v>0</v>
      </c>
      <c r="I145" s="59">
        <f>'дод 3'!J230+'дод 3'!J129</f>
        <v>39684419</v>
      </c>
      <c r="J145" s="59">
        <f>'дод 3'!K230+'дод 3'!K129</f>
        <v>39684419</v>
      </c>
      <c r="K145" s="59">
        <f>'дод 3'!L230+'дод 3'!L129</f>
        <v>0</v>
      </c>
      <c r="L145" s="59">
        <f>'дод 3'!M230+'дод 3'!M129</f>
        <v>0</v>
      </c>
      <c r="M145" s="59">
        <f>'дод 3'!N230+'дод 3'!N129</f>
        <v>0</v>
      </c>
      <c r="N145" s="59">
        <f>'дод 3'!O230+'дод 3'!O129</f>
        <v>39684419</v>
      </c>
      <c r="O145" s="59">
        <f>'дод 3'!P230+'дод 3'!P129</f>
        <v>39684419</v>
      </c>
    </row>
    <row r="146" spans="1:15" s="77" customFormat="1" ht="28.5" customHeight="1" x14ac:dyDescent="0.25">
      <c r="A146" s="49">
        <v>7323</v>
      </c>
      <c r="B146" s="134" t="s">
        <v>119</v>
      </c>
      <c r="C146" s="3" t="s">
        <v>501</v>
      </c>
      <c r="D146" s="59">
        <f>'дод 3'!E171</f>
        <v>0</v>
      </c>
      <c r="E146" s="59">
        <f>'дод 3'!F171</f>
        <v>0</v>
      </c>
      <c r="F146" s="59">
        <f>'дод 3'!G171</f>
        <v>0</v>
      </c>
      <c r="G146" s="59">
        <f>'дод 3'!H171</f>
        <v>0</v>
      </c>
      <c r="H146" s="59">
        <f>'дод 3'!I171</f>
        <v>0</v>
      </c>
      <c r="I146" s="59">
        <f>'дод 3'!J171</f>
        <v>300000</v>
      </c>
      <c r="J146" s="59">
        <f>'дод 3'!K171</f>
        <v>300000</v>
      </c>
      <c r="K146" s="59">
        <f>'дод 3'!L171</f>
        <v>0</v>
      </c>
      <c r="L146" s="59">
        <f>'дод 3'!M171</f>
        <v>0</v>
      </c>
      <c r="M146" s="59">
        <f>'дод 3'!N171</f>
        <v>0</v>
      </c>
      <c r="N146" s="59">
        <f>'дод 3'!O171</f>
        <v>300000</v>
      </c>
      <c r="O146" s="59">
        <f>'дод 3'!P171</f>
        <v>300000</v>
      </c>
    </row>
    <row r="147" spans="1:15" s="77" customFormat="1" ht="31.5" x14ac:dyDescent="0.25">
      <c r="A147" s="49">
        <v>7325</v>
      </c>
      <c r="B147" s="134" t="s">
        <v>119</v>
      </c>
      <c r="C147" s="3" t="s">
        <v>396</v>
      </c>
      <c r="D147" s="59">
        <f>'дод 3'!E231+'дод 3'!E40</f>
        <v>0</v>
      </c>
      <c r="E147" s="59">
        <f>'дод 3'!F231+'дод 3'!F40</f>
        <v>0</v>
      </c>
      <c r="F147" s="59">
        <f>'дод 3'!G231+'дод 3'!G40</f>
        <v>0</v>
      </c>
      <c r="G147" s="59">
        <f>'дод 3'!H231+'дод 3'!H40</f>
        <v>0</v>
      </c>
      <c r="H147" s="59">
        <f>'дод 3'!I231+'дод 3'!I40</f>
        <v>0</v>
      </c>
      <c r="I147" s="59">
        <f>'дод 3'!J231+'дод 3'!J40</f>
        <v>14580000</v>
      </c>
      <c r="J147" s="59">
        <f>'дод 3'!K231+'дод 3'!K40</f>
        <v>14580000</v>
      </c>
      <c r="K147" s="59">
        <f>'дод 3'!L231+'дод 3'!L40</f>
        <v>0</v>
      </c>
      <c r="L147" s="59">
        <f>'дод 3'!M231+'дод 3'!M40</f>
        <v>0</v>
      </c>
      <c r="M147" s="59">
        <f>'дод 3'!N231+'дод 3'!N40</f>
        <v>0</v>
      </c>
      <c r="N147" s="59">
        <f>'дод 3'!O231+'дод 3'!O40</f>
        <v>14580000</v>
      </c>
      <c r="O147" s="59">
        <f>'дод 3'!P231+'дод 3'!P40</f>
        <v>14580000</v>
      </c>
    </row>
    <row r="148" spans="1:15" ht="32.25" customHeight="1" x14ac:dyDescent="0.25">
      <c r="A148" s="49" t="s">
        <v>296</v>
      </c>
      <c r="B148" s="49" t="s">
        <v>119</v>
      </c>
      <c r="C148" s="3" t="s">
        <v>364</v>
      </c>
      <c r="D148" s="59">
        <f>'дод 3'!E232+'дод 3'!E203+'дод 3'!E41</f>
        <v>0</v>
      </c>
      <c r="E148" s="59">
        <f>'дод 3'!F232+'дод 3'!F203+'дод 3'!F41</f>
        <v>0</v>
      </c>
      <c r="F148" s="59">
        <f>'дод 3'!G232+'дод 3'!G203+'дод 3'!G41</f>
        <v>0</v>
      </c>
      <c r="G148" s="59">
        <f>'дод 3'!H232+'дод 3'!H203+'дод 3'!H41</f>
        <v>0</v>
      </c>
      <c r="H148" s="59">
        <f>'дод 3'!I232+'дод 3'!I203+'дод 3'!I41</f>
        <v>0</v>
      </c>
      <c r="I148" s="59">
        <f>'дод 3'!J232+'дод 3'!J203+'дод 3'!J41</f>
        <v>57287307.569999993</v>
      </c>
      <c r="J148" s="59">
        <f>'дод 3'!K232+'дод 3'!K203+'дод 3'!K41</f>
        <v>57287307.569999993</v>
      </c>
      <c r="K148" s="59">
        <f>'дод 3'!L232+'дод 3'!L203+'дод 3'!L41</f>
        <v>0</v>
      </c>
      <c r="L148" s="59">
        <f>'дод 3'!M232+'дод 3'!M203+'дод 3'!M41</f>
        <v>0</v>
      </c>
      <c r="M148" s="59">
        <f>'дод 3'!N232+'дод 3'!N203+'дод 3'!N41</f>
        <v>0</v>
      </c>
      <c r="N148" s="59">
        <f>'дод 3'!O232+'дод 3'!O203+'дод 3'!O41</f>
        <v>57287307.569999993</v>
      </c>
      <c r="O148" s="59">
        <f>'дод 3'!P232+'дод 3'!P203+'дод 3'!P41</f>
        <v>57287307.569999993</v>
      </c>
    </row>
    <row r="149" spans="1:15" ht="35.25" customHeight="1" x14ac:dyDescent="0.25">
      <c r="A149" s="46" t="s">
        <v>149</v>
      </c>
      <c r="B149" s="46" t="s">
        <v>119</v>
      </c>
      <c r="C149" s="3" t="s">
        <v>1</v>
      </c>
      <c r="D149" s="59">
        <f>'дод 3'!E204+'дод 3'!E233</f>
        <v>0</v>
      </c>
      <c r="E149" s="59">
        <f>'дод 3'!F204+'дод 3'!F233</f>
        <v>0</v>
      </c>
      <c r="F149" s="59">
        <f>'дод 3'!G204+'дод 3'!G233</f>
        <v>0</v>
      </c>
      <c r="G149" s="59">
        <f>'дод 3'!H204+'дод 3'!H233</f>
        <v>0</v>
      </c>
      <c r="H149" s="59">
        <f>'дод 3'!I204+'дод 3'!I233</f>
        <v>0</v>
      </c>
      <c r="I149" s="59">
        <f>'дод 3'!J204+'дод 3'!J233</f>
        <v>3673070</v>
      </c>
      <c r="J149" s="59">
        <f>'дод 3'!K204+'дод 3'!K233</f>
        <v>3673070</v>
      </c>
      <c r="K149" s="59">
        <f>'дод 3'!L204+'дод 3'!L233</f>
        <v>0</v>
      </c>
      <c r="L149" s="59">
        <f>'дод 3'!M204+'дод 3'!M233</f>
        <v>0</v>
      </c>
      <c r="M149" s="59">
        <f>'дод 3'!N204+'дод 3'!N233</f>
        <v>0</v>
      </c>
      <c r="N149" s="59">
        <f>'дод 3'!O204+'дод 3'!O233</f>
        <v>3673070</v>
      </c>
      <c r="O149" s="59">
        <f>'дод 3'!P204+'дод 3'!P233</f>
        <v>3673070</v>
      </c>
    </row>
    <row r="150" spans="1:15" ht="51.75" customHeight="1" x14ac:dyDescent="0.25">
      <c r="A150" s="46">
        <v>7361</v>
      </c>
      <c r="B150" s="46" t="s">
        <v>89</v>
      </c>
      <c r="C150" s="3" t="s">
        <v>418</v>
      </c>
      <c r="D150" s="59">
        <f>'дод 3'!E205+'дод 3'!E234+'дод 3'!E130</f>
        <v>0</v>
      </c>
      <c r="E150" s="59">
        <f>'дод 3'!F205+'дод 3'!F234+'дод 3'!F130</f>
        <v>0</v>
      </c>
      <c r="F150" s="59">
        <f>'дод 3'!G205+'дод 3'!G234+'дод 3'!G130</f>
        <v>0</v>
      </c>
      <c r="G150" s="59">
        <f>'дод 3'!H205+'дод 3'!H234+'дод 3'!H130</f>
        <v>0</v>
      </c>
      <c r="H150" s="59">
        <f>'дод 3'!I205+'дод 3'!I234+'дод 3'!I130</f>
        <v>0</v>
      </c>
      <c r="I150" s="59">
        <f>'дод 3'!J205+'дод 3'!J234+'дод 3'!J130</f>
        <v>9386113</v>
      </c>
      <c r="J150" s="59">
        <f>'дод 3'!K205+'дод 3'!K234+'дод 3'!K130</f>
        <v>9386113</v>
      </c>
      <c r="K150" s="59">
        <f>'дод 3'!L205+'дод 3'!L234+'дод 3'!L130</f>
        <v>0</v>
      </c>
      <c r="L150" s="59">
        <f>'дод 3'!M205+'дод 3'!M234+'дод 3'!M130</f>
        <v>0</v>
      </c>
      <c r="M150" s="59">
        <f>'дод 3'!N205+'дод 3'!N234+'дод 3'!N130</f>
        <v>0</v>
      </c>
      <c r="N150" s="59">
        <f>'дод 3'!O205+'дод 3'!O234+'дод 3'!O130</f>
        <v>9386113</v>
      </c>
      <c r="O150" s="59">
        <f>'дод 3'!P205+'дод 3'!P234+'дод 3'!P130</f>
        <v>9386113</v>
      </c>
    </row>
    <row r="151" spans="1:15" s="77" customFormat="1" ht="46.5" customHeight="1" x14ac:dyDescent="0.25">
      <c r="A151" s="46">
        <v>7362</v>
      </c>
      <c r="B151" s="46" t="s">
        <v>89</v>
      </c>
      <c r="C151" s="3" t="s">
        <v>402</v>
      </c>
      <c r="D151" s="59">
        <f>'дод 3'!E206</f>
        <v>0</v>
      </c>
      <c r="E151" s="59">
        <f>'дод 3'!F206</f>
        <v>0</v>
      </c>
      <c r="F151" s="59">
        <f>'дод 3'!G206</f>
        <v>0</v>
      </c>
      <c r="G151" s="59">
        <f>'дод 3'!H206</f>
        <v>0</v>
      </c>
      <c r="H151" s="59">
        <f>'дод 3'!I206</f>
        <v>0</v>
      </c>
      <c r="I151" s="59">
        <f>'дод 3'!J206</f>
        <v>75600</v>
      </c>
      <c r="J151" s="59">
        <f>'дод 3'!K206</f>
        <v>75600</v>
      </c>
      <c r="K151" s="59">
        <f>'дод 3'!L206</f>
        <v>0</v>
      </c>
      <c r="L151" s="59">
        <f>'дод 3'!M206</f>
        <v>0</v>
      </c>
      <c r="M151" s="59">
        <f>'дод 3'!N206</f>
        <v>0</v>
      </c>
      <c r="N151" s="59">
        <f>'дод 3'!O206</f>
        <v>75600</v>
      </c>
      <c r="O151" s="59">
        <f>'дод 3'!P206</f>
        <v>75600</v>
      </c>
    </row>
    <row r="152" spans="1:15" s="77" customFormat="1" ht="52.5" customHeight="1" x14ac:dyDescent="0.25">
      <c r="A152" s="46">
        <v>7363</v>
      </c>
      <c r="B152" s="90" t="s">
        <v>89</v>
      </c>
      <c r="C152" s="91" t="s">
        <v>461</v>
      </c>
      <c r="D152" s="59">
        <f>'дод 3'!E97+'дод 3'!E207+'дод 3'!E235+'дод 3'!E131</f>
        <v>0</v>
      </c>
      <c r="E152" s="59">
        <f>'дод 3'!F97+'дод 3'!F207+'дод 3'!F235+'дод 3'!F131</f>
        <v>0</v>
      </c>
      <c r="F152" s="59">
        <f>'дод 3'!G97+'дод 3'!G207+'дод 3'!G235+'дод 3'!G131</f>
        <v>0</v>
      </c>
      <c r="G152" s="59">
        <f>'дод 3'!H97+'дод 3'!H207+'дод 3'!H235+'дод 3'!H131</f>
        <v>0</v>
      </c>
      <c r="H152" s="59">
        <f>'дод 3'!I97+'дод 3'!I207+'дод 3'!I235+'дод 3'!I131</f>
        <v>0</v>
      </c>
      <c r="I152" s="59">
        <f>'дод 3'!J97+'дод 3'!J207+'дод 3'!J235+'дод 3'!J131</f>
        <v>15193999.6</v>
      </c>
      <c r="J152" s="59">
        <f>'дод 3'!K97+'дод 3'!K207+'дод 3'!K235+'дод 3'!K131</f>
        <v>15193999.6</v>
      </c>
      <c r="K152" s="59">
        <f>'дод 3'!L97+'дод 3'!L207+'дод 3'!L235+'дод 3'!L131</f>
        <v>0</v>
      </c>
      <c r="L152" s="59">
        <f>'дод 3'!M97+'дод 3'!M207+'дод 3'!M235+'дод 3'!M131</f>
        <v>0</v>
      </c>
      <c r="M152" s="59">
        <f>'дод 3'!N97+'дод 3'!N207+'дод 3'!N235+'дод 3'!N131</f>
        <v>0</v>
      </c>
      <c r="N152" s="59">
        <f>'дод 3'!O97+'дод 3'!O207+'дод 3'!O235+'дод 3'!O131</f>
        <v>15193999.6</v>
      </c>
      <c r="O152" s="59">
        <f>'дод 3'!P97+'дод 3'!P207+'дод 3'!P235+'дод 3'!P131</f>
        <v>15193999.6</v>
      </c>
    </row>
    <row r="153" spans="1:15" s="77" customFormat="1" ht="47.25" x14ac:dyDescent="0.25">
      <c r="A153" s="151"/>
      <c r="B153" s="157"/>
      <c r="C153" s="152" t="s">
        <v>450</v>
      </c>
      <c r="D153" s="153">
        <f>'дод 3'!E98+'дод 3'!E208+'дод 3'!E132</f>
        <v>0</v>
      </c>
      <c r="E153" s="153">
        <f>'дод 3'!F98+'дод 3'!F208+'дод 3'!F132</f>
        <v>0</v>
      </c>
      <c r="F153" s="153">
        <f>'дод 3'!G98+'дод 3'!G208+'дод 3'!G132</f>
        <v>0</v>
      </c>
      <c r="G153" s="153">
        <f>'дод 3'!H98+'дод 3'!H208+'дод 3'!H132</f>
        <v>0</v>
      </c>
      <c r="H153" s="153">
        <f>'дод 3'!I98+'дод 3'!I208+'дод 3'!I132</f>
        <v>0</v>
      </c>
      <c r="I153" s="153">
        <f>'дод 3'!J98+'дод 3'!J208+'дод 3'!J132</f>
        <v>13809968.930000002</v>
      </c>
      <c r="J153" s="153">
        <f>'дод 3'!K98+'дод 3'!K208+'дод 3'!K132</f>
        <v>13809968.930000002</v>
      </c>
      <c r="K153" s="153">
        <f>'дод 3'!L98+'дод 3'!L208+'дод 3'!L132</f>
        <v>0</v>
      </c>
      <c r="L153" s="153">
        <f>'дод 3'!M98+'дод 3'!M208+'дод 3'!M132</f>
        <v>0</v>
      </c>
      <c r="M153" s="153">
        <f>'дод 3'!N98+'дод 3'!N208+'дод 3'!N132</f>
        <v>0</v>
      </c>
      <c r="N153" s="153">
        <f>'дод 3'!O98+'дод 3'!O208+'дод 3'!O132</f>
        <v>13809968.930000002</v>
      </c>
      <c r="O153" s="153">
        <f>'дод 3'!P98+'дод 3'!P208+'дод 3'!P132</f>
        <v>13809968.930000002</v>
      </c>
    </row>
    <row r="154" spans="1:15" s="77" customFormat="1" ht="31.5" x14ac:dyDescent="0.25">
      <c r="A154" s="46">
        <v>7370</v>
      </c>
      <c r="B154" s="90" t="s">
        <v>89</v>
      </c>
      <c r="C154" s="91" t="s">
        <v>524</v>
      </c>
      <c r="D154" s="59">
        <f>'дод 3'!E236</f>
        <v>135637.20000000001</v>
      </c>
      <c r="E154" s="59">
        <f>'дод 3'!F236</f>
        <v>135637.20000000001</v>
      </c>
      <c r="F154" s="59">
        <f>'дод 3'!G236</f>
        <v>0</v>
      </c>
      <c r="G154" s="59">
        <f>'дод 3'!H236</f>
        <v>0</v>
      </c>
      <c r="H154" s="59">
        <f>'дод 3'!I236</f>
        <v>0</v>
      </c>
      <c r="I154" s="59">
        <f>'дод 3'!J236</f>
        <v>0</v>
      </c>
      <c r="J154" s="59">
        <f>'дод 3'!K236</f>
        <v>0</v>
      </c>
      <c r="K154" s="59">
        <f>'дод 3'!L236</f>
        <v>0</v>
      </c>
      <c r="L154" s="59">
        <f>'дод 3'!M236</f>
        <v>0</v>
      </c>
      <c r="M154" s="59">
        <f>'дод 3'!N236</f>
        <v>0</v>
      </c>
      <c r="N154" s="59">
        <f>'дод 3'!O236</f>
        <v>0</v>
      </c>
      <c r="O154" s="59">
        <f>'дод 3'!P236</f>
        <v>135637.20000000001</v>
      </c>
    </row>
    <row r="155" spans="1:15" s="75" customFormat="1" ht="39.75" customHeight="1" x14ac:dyDescent="0.25">
      <c r="A155" s="47" t="s">
        <v>92</v>
      </c>
      <c r="B155" s="50"/>
      <c r="C155" s="2" t="s">
        <v>485</v>
      </c>
      <c r="D155" s="58">
        <f>D157+D160+D158+D159</f>
        <v>49401300</v>
      </c>
      <c r="E155" s="58">
        <f t="shared" ref="E155:O155" si="27">E157+E160+E158+E159</f>
        <v>0</v>
      </c>
      <c r="F155" s="58">
        <f t="shared" si="27"/>
        <v>0</v>
      </c>
      <c r="G155" s="58">
        <f t="shared" si="27"/>
        <v>0</v>
      </c>
      <c r="H155" s="58">
        <f t="shared" si="27"/>
        <v>49401300</v>
      </c>
      <c r="I155" s="58">
        <f t="shared" si="27"/>
        <v>80000000</v>
      </c>
      <c r="J155" s="58">
        <f t="shared" si="27"/>
        <v>0</v>
      </c>
      <c r="K155" s="58">
        <f t="shared" si="27"/>
        <v>80000000</v>
      </c>
      <c r="L155" s="58">
        <f t="shared" si="27"/>
        <v>0</v>
      </c>
      <c r="M155" s="58">
        <f t="shared" si="27"/>
        <v>0</v>
      </c>
      <c r="N155" s="58">
        <f t="shared" si="27"/>
        <v>0</v>
      </c>
      <c r="O155" s="58">
        <f t="shared" si="27"/>
        <v>129401300</v>
      </c>
    </row>
    <row r="156" spans="1:15" s="76" customFormat="1" ht="94.5" x14ac:dyDescent="0.25">
      <c r="A156" s="132"/>
      <c r="B156" s="133"/>
      <c r="C156" s="148" t="s">
        <v>459</v>
      </c>
      <c r="D156" s="149">
        <f>D161</f>
        <v>0</v>
      </c>
      <c r="E156" s="149">
        <f t="shared" ref="E156:O156" si="28">E161</f>
        <v>0</v>
      </c>
      <c r="F156" s="149">
        <f t="shared" si="28"/>
        <v>0</v>
      </c>
      <c r="G156" s="149">
        <f t="shared" si="28"/>
        <v>0</v>
      </c>
      <c r="H156" s="149">
        <f t="shared" si="28"/>
        <v>0</v>
      </c>
      <c r="I156" s="149">
        <f t="shared" si="28"/>
        <v>80000000</v>
      </c>
      <c r="J156" s="149">
        <f t="shared" si="28"/>
        <v>0</v>
      </c>
      <c r="K156" s="149">
        <f t="shared" si="28"/>
        <v>80000000</v>
      </c>
      <c r="L156" s="149">
        <f t="shared" si="28"/>
        <v>0</v>
      </c>
      <c r="M156" s="149">
        <f t="shared" si="28"/>
        <v>0</v>
      </c>
      <c r="N156" s="149">
        <f t="shared" si="28"/>
        <v>0</v>
      </c>
      <c r="O156" s="149">
        <f t="shared" si="28"/>
        <v>80000000</v>
      </c>
    </row>
    <row r="157" spans="1:15" s="77" customFormat="1" ht="30" customHeight="1" x14ac:dyDescent="0.25">
      <c r="A157" s="46" t="s">
        <v>3</v>
      </c>
      <c r="B157" s="46" t="s">
        <v>91</v>
      </c>
      <c r="C157" s="3" t="s">
        <v>40</v>
      </c>
      <c r="D157" s="59">
        <f>'дод 3'!E42</f>
        <v>5452000</v>
      </c>
      <c r="E157" s="59">
        <f>'дод 3'!F42</f>
        <v>0</v>
      </c>
      <c r="F157" s="59">
        <f>'дод 3'!G42</f>
        <v>0</v>
      </c>
      <c r="G157" s="59">
        <f>'дод 3'!H42</f>
        <v>0</v>
      </c>
      <c r="H157" s="59">
        <f>'дод 3'!I42</f>
        <v>5452000</v>
      </c>
      <c r="I157" s="59">
        <f>'дод 3'!J42</f>
        <v>0</v>
      </c>
      <c r="J157" s="59">
        <f>'дод 3'!K42</f>
        <v>0</v>
      </c>
      <c r="K157" s="59">
        <f>'дод 3'!L42</f>
        <v>0</v>
      </c>
      <c r="L157" s="59">
        <f>'дод 3'!M42</f>
        <v>0</v>
      </c>
      <c r="M157" s="59">
        <f>'дод 3'!N42</f>
        <v>0</v>
      </c>
      <c r="N157" s="59">
        <f>'дод 3'!O42</f>
        <v>0</v>
      </c>
      <c r="O157" s="59">
        <f>'дод 3'!P42</f>
        <v>5452000</v>
      </c>
    </row>
    <row r="158" spans="1:15" s="77" customFormat="1" ht="30" customHeight="1" x14ac:dyDescent="0.25">
      <c r="A158" s="46">
        <v>7413</v>
      </c>
      <c r="B158" s="46" t="s">
        <v>91</v>
      </c>
      <c r="C158" s="3" t="s">
        <v>429</v>
      </c>
      <c r="D158" s="59">
        <f>'дод 3'!E43</f>
        <v>8837800</v>
      </c>
      <c r="E158" s="59">
        <f>'дод 3'!F43</f>
        <v>0</v>
      </c>
      <c r="F158" s="59">
        <f>'дод 3'!G43</f>
        <v>0</v>
      </c>
      <c r="G158" s="59">
        <f>'дод 3'!H43</f>
        <v>0</v>
      </c>
      <c r="H158" s="59">
        <f>'дод 3'!I43</f>
        <v>8837800</v>
      </c>
      <c r="I158" s="59">
        <f>'дод 3'!J43</f>
        <v>0</v>
      </c>
      <c r="J158" s="59">
        <f>'дод 3'!K43</f>
        <v>0</v>
      </c>
      <c r="K158" s="59">
        <f>'дод 3'!L43</f>
        <v>0</v>
      </c>
      <c r="L158" s="59">
        <f>'дод 3'!M43</f>
        <v>0</v>
      </c>
      <c r="M158" s="59">
        <f>'дод 3'!N43</f>
        <v>0</v>
      </c>
      <c r="N158" s="59">
        <f>'дод 3'!O43</f>
        <v>0</v>
      </c>
      <c r="O158" s="59">
        <f>'дод 3'!P43</f>
        <v>8837800</v>
      </c>
    </row>
    <row r="159" spans="1:15" s="77" customFormat="1" ht="30" customHeight="1" x14ac:dyDescent="0.25">
      <c r="A159" s="46">
        <v>7426</v>
      </c>
      <c r="B159" s="88" t="s">
        <v>496</v>
      </c>
      <c r="C159" s="3" t="s">
        <v>430</v>
      </c>
      <c r="D159" s="59">
        <f>'дод 3'!E44</f>
        <v>35111500</v>
      </c>
      <c r="E159" s="59">
        <f>'дод 3'!F44</f>
        <v>0</v>
      </c>
      <c r="F159" s="59">
        <f>'дод 3'!G44</f>
        <v>0</v>
      </c>
      <c r="G159" s="59">
        <f>'дод 3'!H44</f>
        <v>0</v>
      </c>
      <c r="H159" s="59">
        <f>'дод 3'!I44</f>
        <v>35111500</v>
      </c>
      <c r="I159" s="59">
        <f>'дод 3'!J44</f>
        <v>0</v>
      </c>
      <c r="J159" s="59">
        <f>'дод 3'!K44</f>
        <v>0</v>
      </c>
      <c r="K159" s="59">
        <f>'дод 3'!L44</f>
        <v>0</v>
      </c>
      <c r="L159" s="59">
        <f>'дод 3'!M44</f>
        <v>0</v>
      </c>
      <c r="M159" s="59">
        <f>'дод 3'!N44</f>
        <v>0</v>
      </c>
      <c r="N159" s="59">
        <f>'дод 3'!O44</f>
        <v>0</v>
      </c>
      <c r="O159" s="59">
        <f>'дод 3'!P44</f>
        <v>35111500</v>
      </c>
    </row>
    <row r="160" spans="1:15" s="77" customFormat="1" ht="53.25" customHeight="1" x14ac:dyDescent="0.25">
      <c r="A160" s="46">
        <v>7462</v>
      </c>
      <c r="B160" s="88" t="s">
        <v>463</v>
      </c>
      <c r="C160" s="3" t="s">
        <v>462</v>
      </c>
      <c r="D160" s="59">
        <f>'дод 3'!E209</f>
        <v>0</v>
      </c>
      <c r="E160" s="59">
        <f>'дод 3'!F209</f>
        <v>0</v>
      </c>
      <c r="F160" s="59">
        <f>'дод 3'!G209</f>
        <v>0</v>
      </c>
      <c r="G160" s="59">
        <f>'дод 3'!H209</f>
        <v>0</v>
      </c>
      <c r="H160" s="59">
        <f>'дод 3'!I209</f>
        <v>0</v>
      </c>
      <c r="I160" s="59">
        <f>'дод 3'!J209</f>
        <v>80000000</v>
      </c>
      <c r="J160" s="59">
        <f>'дод 3'!K209</f>
        <v>0</v>
      </c>
      <c r="K160" s="59">
        <f>'дод 3'!L209</f>
        <v>80000000</v>
      </c>
      <c r="L160" s="59">
        <f>'дод 3'!M209</f>
        <v>0</v>
      </c>
      <c r="M160" s="59">
        <f>'дод 3'!N209</f>
        <v>0</v>
      </c>
      <c r="N160" s="59">
        <f>'дод 3'!O209</f>
        <v>0</v>
      </c>
      <c r="O160" s="59">
        <f>'дод 3'!P209</f>
        <v>80000000</v>
      </c>
    </row>
    <row r="161" spans="1:15" s="77" customFormat="1" ht="94.5" x14ac:dyDescent="0.25">
      <c r="A161" s="151"/>
      <c r="B161" s="151"/>
      <c r="C161" s="152" t="s">
        <v>459</v>
      </c>
      <c r="D161" s="153">
        <f>'дод 3'!E210</f>
        <v>0</v>
      </c>
      <c r="E161" s="153">
        <f>'дод 3'!F210</f>
        <v>0</v>
      </c>
      <c r="F161" s="153">
        <f>'дод 3'!G210</f>
        <v>0</v>
      </c>
      <c r="G161" s="153">
        <f>'дод 3'!H210</f>
        <v>0</v>
      </c>
      <c r="H161" s="153">
        <f>'дод 3'!I210</f>
        <v>0</v>
      </c>
      <c r="I161" s="153">
        <f>'дод 3'!J210</f>
        <v>80000000</v>
      </c>
      <c r="J161" s="153">
        <f>'дод 3'!K210</f>
        <v>0</v>
      </c>
      <c r="K161" s="153">
        <f>'дод 3'!L210</f>
        <v>80000000</v>
      </c>
      <c r="L161" s="153">
        <f>'дод 3'!M210</f>
        <v>0</v>
      </c>
      <c r="M161" s="153">
        <f>'дод 3'!N210</f>
        <v>0</v>
      </c>
      <c r="N161" s="153">
        <f>'дод 3'!O210</f>
        <v>0</v>
      </c>
      <c r="O161" s="153">
        <f>'дод 3'!P210</f>
        <v>80000000</v>
      </c>
    </row>
    <row r="162" spans="1:15" s="75" customFormat="1" ht="28.5" customHeight="1" x14ac:dyDescent="0.25">
      <c r="A162" s="48" t="s">
        <v>259</v>
      </c>
      <c r="B162" s="50"/>
      <c r="C162" s="2" t="s">
        <v>260</v>
      </c>
      <c r="D162" s="58">
        <f t="shared" ref="D162:O162" si="29">D163</f>
        <v>9275570</v>
      </c>
      <c r="E162" s="58">
        <f t="shared" si="29"/>
        <v>9275570</v>
      </c>
      <c r="F162" s="58">
        <f t="shared" si="29"/>
        <v>0</v>
      </c>
      <c r="G162" s="58">
        <f t="shared" si="29"/>
        <v>0</v>
      </c>
      <c r="H162" s="58">
        <f t="shared" si="29"/>
        <v>0</v>
      </c>
      <c r="I162" s="58">
        <f t="shared" si="29"/>
        <v>1279330</v>
      </c>
      <c r="J162" s="58">
        <f t="shared" si="29"/>
        <v>1279330</v>
      </c>
      <c r="K162" s="58">
        <f t="shared" si="29"/>
        <v>0</v>
      </c>
      <c r="L162" s="58">
        <f t="shared" si="29"/>
        <v>0</v>
      </c>
      <c r="M162" s="58">
        <f t="shared" si="29"/>
        <v>0</v>
      </c>
      <c r="N162" s="58">
        <f t="shared" si="29"/>
        <v>1279330</v>
      </c>
      <c r="O162" s="58">
        <f t="shared" si="29"/>
        <v>10554900</v>
      </c>
    </row>
    <row r="163" spans="1:15" ht="37.5" customHeight="1" x14ac:dyDescent="0.25">
      <c r="A163" s="49" t="s">
        <v>257</v>
      </c>
      <c r="B163" s="49" t="s">
        <v>258</v>
      </c>
      <c r="C163" s="11" t="s">
        <v>256</v>
      </c>
      <c r="D163" s="59">
        <f>'дод 3'!E45+'дод 3'!E211</f>
        <v>9275570</v>
      </c>
      <c r="E163" s="59">
        <f>'дод 3'!F45+'дод 3'!F211</f>
        <v>9275570</v>
      </c>
      <c r="F163" s="59">
        <f>'дод 3'!G45+'дод 3'!G211</f>
        <v>0</v>
      </c>
      <c r="G163" s="59">
        <f>'дод 3'!H45+'дод 3'!H211</f>
        <v>0</v>
      </c>
      <c r="H163" s="59">
        <f>'дод 3'!I45+'дод 3'!I211</f>
        <v>0</v>
      </c>
      <c r="I163" s="59">
        <f>'дод 3'!J45+'дод 3'!J211</f>
        <v>1279330</v>
      </c>
      <c r="J163" s="59">
        <f>'дод 3'!K45+'дод 3'!K211</f>
        <v>1279330</v>
      </c>
      <c r="K163" s="59">
        <f>'дод 3'!L45+'дод 3'!L211</f>
        <v>0</v>
      </c>
      <c r="L163" s="59">
        <f>'дод 3'!M45+'дод 3'!M211</f>
        <v>0</v>
      </c>
      <c r="M163" s="59">
        <f>'дод 3'!N45+'дод 3'!N211</f>
        <v>0</v>
      </c>
      <c r="N163" s="59">
        <f>'дод 3'!O45+'дод 3'!O211</f>
        <v>1279330</v>
      </c>
      <c r="O163" s="59">
        <f>'дод 3'!P45+'дод 3'!P211</f>
        <v>10554900</v>
      </c>
    </row>
    <row r="164" spans="1:15" s="75" customFormat="1" ht="38.25" customHeight="1" x14ac:dyDescent="0.25">
      <c r="A164" s="47" t="s">
        <v>95</v>
      </c>
      <c r="B164" s="50"/>
      <c r="C164" s="2" t="s">
        <v>507</v>
      </c>
      <c r="D164" s="58">
        <f t="shared" ref="D164:O164" si="30">D166+D167+D169+D170+D171+D172+D173+D174</f>
        <v>8170078.7999999998</v>
      </c>
      <c r="E164" s="58">
        <f t="shared" si="30"/>
        <v>6052078.7999999998</v>
      </c>
      <c r="F164" s="58">
        <f t="shared" si="30"/>
        <v>0</v>
      </c>
      <c r="G164" s="58">
        <f t="shared" si="30"/>
        <v>0</v>
      </c>
      <c r="H164" s="58">
        <f t="shared" si="30"/>
        <v>2118000</v>
      </c>
      <c r="I164" s="58">
        <f t="shared" si="30"/>
        <v>115189446.33</v>
      </c>
      <c r="J164" s="58">
        <f t="shared" si="30"/>
        <v>100916214.2</v>
      </c>
      <c r="K164" s="58">
        <f t="shared" si="30"/>
        <v>1941363.01</v>
      </c>
      <c r="L164" s="58">
        <f t="shared" si="30"/>
        <v>0</v>
      </c>
      <c r="M164" s="58">
        <f t="shared" si="30"/>
        <v>0</v>
      </c>
      <c r="N164" s="58">
        <f t="shared" si="30"/>
        <v>113248083.32000001</v>
      </c>
      <c r="O164" s="58">
        <f t="shared" si="30"/>
        <v>123359525.13</v>
      </c>
    </row>
    <row r="165" spans="1:15" s="76" customFormat="1" ht="23.25" customHeight="1" x14ac:dyDescent="0.25">
      <c r="A165" s="132"/>
      <c r="B165" s="132"/>
      <c r="C165" s="156" t="s">
        <v>505</v>
      </c>
      <c r="D165" s="149">
        <f>D168</f>
        <v>0</v>
      </c>
      <c r="E165" s="149">
        <f t="shared" ref="E165:O165" si="31">E168</f>
        <v>0</v>
      </c>
      <c r="F165" s="149">
        <f t="shared" si="31"/>
        <v>0</v>
      </c>
      <c r="G165" s="149">
        <f t="shared" si="31"/>
        <v>0</v>
      </c>
      <c r="H165" s="149">
        <f t="shared" si="31"/>
        <v>0</v>
      </c>
      <c r="I165" s="149">
        <f t="shared" si="31"/>
        <v>58776907</v>
      </c>
      <c r="J165" s="149">
        <f t="shared" si="31"/>
        <v>58776907</v>
      </c>
      <c r="K165" s="149">
        <f t="shared" si="31"/>
        <v>0</v>
      </c>
      <c r="L165" s="149">
        <f t="shared" si="31"/>
        <v>0</v>
      </c>
      <c r="M165" s="149">
        <f t="shared" si="31"/>
        <v>0</v>
      </c>
      <c r="N165" s="149">
        <f t="shared" si="31"/>
        <v>58776907</v>
      </c>
      <c r="O165" s="149">
        <f t="shared" si="31"/>
        <v>58776907</v>
      </c>
    </row>
    <row r="166" spans="1:15" ht="30.75" customHeight="1" x14ac:dyDescent="0.25">
      <c r="A166" s="46" t="s">
        <v>4</v>
      </c>
      <c r="B166" s="46" t="s">
        <v>94</v>
      </c>
      <c r="C166" s="3" t="s">
        <v>26</v>
      </c>
      <c r="D166" s="59">
        <f>'дод 3'!E46+'дод 3'!E252</f>
        <v>1028000</v>
      </c>
      <c r="E166" s="59">
        <f>'дод 3'!F46+'дод 3'!F252</f>
        <v>410000</v>
      </c>
      <c r="F166" s="59">
        <f>'дод 3'!G46+'дод 3'!G252</f>
        <v>0</v>
      </c>
      <c r="G166" s="59">
        <f>'дод 3'!H46+'дод 3'!H252</f>
        <v>0</v>
      </c>
      <c r="H166" s="59">
        <f>'дод 3'!I46+'дод 3'!I252</f>
        <v>618000</v>
      </c>
      <c r="I166" s="59">
        <f>'дод 3'!J46+'дод 3'!J252</f>
        <v>0</v>
      </c>
      <c r="J166" s="59">
        <f>'дод 3'!K46+'дод 3'!K252</f>
        <v>0</v>
      </c>
      <c r="K166" s="59">
        <f>'дод 3'!L46+'дод 3'!L252</f>
        <v>0</v>
      </c>
      <c r="L166" s="59">
        <f>'дод 3'!M46+'дод 3'!M252</f>
        <v>0</v>
      </c>
      <c r="M166" s="59">
        <f>'дод 3'!N46+'дод 3'!N252</f>
        <v>0</v>
      </c>
      <c r="N166" s="59">
        <f>'дод 3'!O46+'дод 3'!O252</f>
        <v>0</v>
      </c>
      <c r="O166" s="59">
        <f>'дод 3'!P46+'дод 3'!P252</f>
        <v>1028000</v>
      </c>
    </row>
    <row r="167" spans="1:15" ht="24.75" customHeight="1" x14ac:dyDescent="0.25">
      <c r="A167" s="46" t="s">
        <v>2</v>
      </c>
      <c r="B167" s="46" t="s">
        <v>93</v>
      </c>
      <c r="C167" s="3" t="s">
        <v>504</v>
      </c>
      <c r="D167" s="59">
        <f>'дод 3'!E99+'дод 3'!E133+'дод 3'!E187+'дод 3'!E212+'дод 3'!E237+'дод 3'!E262</f>
        <v>4681946.8</v>
      </c>
      <c r="E167" s="59">
        <f>'дод 3'!F99+'дод 3'!F133+'дод 3'!F187+'дод 3'!F212+'дод 3'!F237+'дод 3'!F262</f>
        <v>3181946.8</v>
      </c>
      <c r="F167" s="59">
        <f>'дод 3'!G99+'дод 3'!G133+'дод 3'!G187+'дод 3'!G212+'дод 3'!G237+'дод 3'!G262</f>
        <v>0</v>
      </c>
      <c r="G167" s="59">
        <f>'дод 3'!H99+'дод 3'!H133+'дод 3'!H187+'дод 3'!H212+'дод 3'!H237+'дод 3'!H262</f>
        <v>0</v>
      </c>
      <c r="H167" s="59">
        <f>'дод 3'!I99+'дод 3'!I133+'дод 3'!I187+'дод 3'!I212+'дод 3'!I237+'дод 3'!I262</f>
        <v>1500000</v>
      </c>
      <c r="I167" s="59">
        <f>'дод 3'!J99+'дод 3'!J133+'дод 3'!J187+'дод 3'!J212+'дод 3'!J237+'дод 3'!J262</f>
        <v>93578336.200000003</v>
      </c>
      <c r="J167" s="59">
        <f>'дод 3'!K99+'дод 3'!K133+'дод 3'!K187+'дод 3'!K212+'дод 3'!K237+'дод 3'!K262</f>
        <v>83841884.200000003</v>
      </c>
      <c r="K167" s="59">
        <f>'дод 3'!L99+'дод 3'!L133+'дод 3'!L187+'дод 3'!L212+'дод 3'!L237+'дод 3'!L262</f>
        <v>0</v>
      </c>
      <c r="L167" s="59">
        <f>'дод 3'!M99+'дод 3'!M133+'дод 3'!M187+'дод 3'!M212+'дод 3'!M237+'дод 3'!M262</f>
        <v>0</v>
      </c>
      <c r="M167" s="59">
        <f>'дод 3'!N99+'дод 3'!N133+'дод 3'!N187+'дод 3'!N212+'дод 3'!N237+'дод 3'!N262</f>
        <v>0</v>
      </c>
      <c r="N167" s="59">
        <f>'дод 3'!O99+'дод 3'!O133+'дод 3'!O187+'дод 3'!O212+'дод 3'!O237+'дод 3'!O262</f>
        <v>93578336.200000003</v>
      </c>
      <c r="O167" s="59">
        <f>'дод 3'!P99+'дод 3'!P133+'дод 3'!P187+'дод 3'!P212+'дод 3'!P237+'дод 3'!P262</f>
        <v>98260283</v>
      </c>
    </row>
    <row r="168" spans="1:15" s="77" customFormat="1" ht="23.25" customHeight="1" x14ac:dyDescent="0.25">
      <c r="A168" s="151"/>
      <c r="B168" s="151"/>
      <c r="C168" s="158" t="s">
        <v>505</v>
      </c>
      <c r="D168" s="153">
        <f>'дод 3'!E134+'дод 3'!E238</f>
        <v>0</v>
      </c>
      <c r="E168" s="153">
        <f>'дод 3'!F134+'дод 3'!F238</f>
        <v>0</v>
      </c>
      <c r="F168" s="153">
        <f>'дод 3'!G134+'дод 3'!G238</f>
        <v>0</v>
      </c>
      <c r="G168" s="153">
        <f>'дод 3'!H134+'дод 3'!H238</f>
        <v>0</v>
      </c>
      <c r="H168" s="153">
        <f>'дод 3'!I134+'дод 3'!I238</f>
        <v>0</v>
      </c>
      <c r="I168" s="153">
        <f>'дод 3'!J134+'дод 3'!J238</f>
        <v>58776907</v>
      </c>
      <c r="J168" s="153">
        <f>'дод 3'!K134+'дод 3'!K238</f>
        <v>58776907</v>
      </c>
      <c r="K168" s="153">
        <f>'дод 3'!L134+'дод 3'!L238</f>
        <v>0</v>
      </c>
      <c r="L168" s="153">
        <f>'дод 3'!M134+'дод 3'!M238</f>
        <v>0</v>
      </c>
      <c r="M168" s="153">
        <f>'дод 3'!N134+'дод 3'!N238</f>
        <v>0</v>
      </c>
      <c r="N168" s="153">
        <f>'дод 3'!O134+'дод 3'!O238</f>
        <v>58776907</v>
      </c>
      <c r="O168" s="153">
        <f>'дод 3'!P134+'дод 3'!P238</f>
        <v>58776907</v>
      </c>
    </row>
    <row r="169" spans="1:15" ht="33.75" customHeight="1" x14ac:dyDescent="0.25">
      <c r="A169" s="46" t="s">
        <v>289</v>
      </c>
      <c r="B169" s="46" t="s">
        <v>89</v>
      </c>
      <c r="C169" s="3" t="s">
        <v>381</v>
      </c>
      <c r="D169" s="59">
        <f>'дод 3'!E253</f>
        <v>0</v>
      </c>
      <c r="E169" s="59">
        <f>'дод 3'!F253</f>
        <v>0</v>
      </c>
      <c r="F169" s="59">
        <f>'дод 3'!G253</f>
        <v>0</v>
      </c>
      <c r="G169" s="59">
        <f>'дод 3'!H253</f>
        <v>0</v>
      </c>
      <c r="H169" s="59">
        <f>'дод 3'!I253</f>
        <v>0</v>
      </c>
      <c r="I169" s="59">
        <f>'дод 3'!J253</f>
        <v>20000</v>
      </c>
      <c r="J169" s="59">
        <f>'дод 3'!K253</f>
        <v>20000</v>
      </c>
      <c r="K169" s="59">
        <f>'дод 3'!L253</f>
        <v>0</v>
      </c>
      <c r="L169" s="59">
        <f>'дод 3'!M253</f>
        <v>0</v>
      </c>
      <c r="M169" s="59">
        <f>'дод 3'!N253</f>
        <v>0</v>
      </c>
      <c r="N169" s="59">
        <f>'дод 3'!O253</f>
        <v>20000</v>
      </c>
      <c r="O169" s="59">
        <f>'дод 3'!P253</f>
        <v>20000</v>
      </c>
    </row>
    <row r="170" spans="1:15" ht="59.25" customHeight="1" x14ac:dyDescent="0.25">
      <c r="A170" s="46" t="s">
        <v>291</v>
      </c>
      <c r="B170" s="46" t="s">
        <v>89</v>
      </c>
      <c r="C170" s="3" t="s">
        <v>292</v>
      </c>
      <c r="D170" s="59">
        <f>'дод 3'!E254</f>
        <v>0</v>
      </c>
      <c r="E170" s="59">
        <f>'дод 3'!F254</f>
        <v>0</v>
      </c>
      <c r="F170" s="59">
        <f>'дод 3'!G254</f>
        <v>0</v>
      </c>
      <c r="G170" s="59">
        <f>'дод 3'!H254</f>
        <v>0</v>
      </c>
      <c r="H170" s="59">
        <f>'дод 3'!I254</f>
        <v>0</v>
      </c>
      <c r="I170" s="59">
        <f>'дод 3'!J254</f>
        <v>90000</v>
      </c>
      <c r="J170" s="59">
        <f>'дод 3'!K254</f>
        <v>90000</v>
      </c>
      <c r="K170" s="59">
        <f>'дод 3'!L254</f>
        <v>0</v>
      </c>
      <c r="L170" s="59">
        <f>'дод 3'!M254</f>
        <v>0</v>
      </c>
      <c r="M170" s="59">
        <f>'дод 3'!N254</f>
        <v>0</v>
      </c>
      <c r="N170" s="59">
        <f>'дод 3'!O254</f>
        <v>90000</v>
      </c>
      <c r="O170" s="59">
        <f>'дод 3'!P254</f>
        <v>90000</v>
      </c>
    </row>
    <row r="171" spans="1:15" ht="30.75" customHeight="1" x14ac:dyDescent="0.25">
      <c r="A171" s="46" t="s">
        <v>5</v>
      </c>
      <c r="B171" s="46" t="s">
        <v>89</v>
      </c>
      <c r="C171" s="3" t="s">
        <v>27</v>
      </c>
      <c r="D171" s="59">
        <f>'дод 3'!E47+'дод 3'!E213</f>
        <v>0</v>
      </c>
      <c r="E171" s="59">
        <f>'дод 3'!F47+'дод 3'!F213</f>
        <v>0</v>
      </c>
      <c r="F171" s="59">
        <f>'дод 3'!G47+'дод 3'!G213</f>
        <v>0</v>
      </c>
      <c r="G171" s="59">
        <f>'дод 3'!H47+'дод 3'!H213</f>
        <v>0</v>
      </c>
      <c r="H171" s="59">
        <f>'дод 3'!I47+'дод 3'!I213</f>
        <v>0</v>
      </c>
      <c r="I171" s="59">
        <f>'дод 3'!J47+'дод 3'!J213</f>
        <v>16964330</v>
      </c>
      <c r="J171" s="59">
        <f>'дод 3'!K47+'дод 3'!K213</f>
        <v>16964330</v>
      </c>
      <c r="K171" s="59">
        <f>'дод 3'!L47+'дод 3'!L213</f>
        <v>0</v>
      </c>
      <c r="L171" s="59">
        <f>'дод 3'!M47+'дод 3'!M213</f>
        <v>0</v>
      </c>
      <c r="M171" s="59">
        <f>'дод 3'!N47+'дод 3'!N213</f>
        <v>0</v>
      </c>
      <c r="N171" s="59">
        <f>'дод 3'!O47+'дод 3'!O213</f>
        <v>16964330</v>
      </c>
      <c r="O171" s="59">
        <f>'дод 3'!P47+'дод 3'!P213</f>
        <v>16964330</v>
      </c>
    </row>
    <row r="172" spans="1:15" ht="36.75" customHeight="1" x14ac:dyDescent="0.25">
      <c r="A172" s="46" t="s">
        <v>270</v>
      </c>
      <c r="B172" s="46" t="s">
        <v>89</v>
      </c>
      <c r="C172" s="3" t="s">
        <v>271</v>
      </c>
      <c r="D172" s="59">
        <f>'дод 3'!E48</f>
        <v>221467</v>
      </c>
      <c r="E172" s="59">
        <f>'дод 3'!F48</f>
        <v>221467</v>
      </c>
      <c r="F172" s="59">
        <f>'дод 3'!G48</f>
        <v>0</v>
      </c>
      <c r="G172" s="59">
        <f>'дод 3'!H48</f>
        <v>0</v>
      </c>
      <c r="H172" s="59">
        <f>'дод 3'!I48</f>
        <v>0</v>
      </c>
      <c r="I172" s="59">
        <f>'дод 3'!J48</f>
        <v>0</v>
      </c>
      <c r="J172" s="59">
        <f>'дод 3'!K48</f>
        <v>0</v>
      </c>
      <c r="K172" s="59">
        <f>'дод 3'!L48</f>
        <v>0</v>
      </c>
      <c r="L172" s="59">
        <f>'дод 3'!M48</f>
        <v>0</v>
      </c>
      <c r="M172" s="59">
        <f>'дод 3'!N48</f>
        <v>0</v>
      </c>
      <c r="N172" s="59">
        <f>'дод 3'!O48</f>
        <v>0</v>
      </c>
      <c r="O172" s="59">
        <f>'дод 3'!P48</f>
        <v>221467</v>
      </c>
    </row>
    <row r="173" spans="1:15" s="77" customFormat="1" ht="108" customHeight="1" x14ac:dyDescent="0.25">
      <c r="A173" s="46" t="s">
        <v>324</v>
      </c>
      <c r="B173" s="46" t="s">
        <v>89</v>
      </c>
      <c r="C173" s="3" t="s">
        <v>345</v>
      </c>
      <c r="D173" s="59">
        <f>'дод 3'!E49+'дод 3'!E214+'дод 3'!E239+'дод 3'!E244</f>
        <v>0</v>
      </c>
      <c r="E173" s="59">
        <f>'дод 3'!F49+'дод 3'!F214+'дод 3'!F239+'дод 3'!F244</f>
        <v>0</v>
      </c>
      <c r="F173" s="59">
        <f>'дод 3'!G49+'дод 3'!G214+'дод 3'!G239+'дод 3'!G244</f>
        <v>0</v>
      </c>
      <c r="G173" s="59">
        <f>'дод 3'!H49+'дод 3'!H214+'дод 3'!H239+'дод 3'!H244</f>
        <v>0</v>
      </c>
      <c r="H173" s="59">
        <f>'дод 3'!I49+'дод 3'!I214+'дод 3'!I239+'дод 3'!I244</f>
        <v>0</v>
      </c>
      <c r="I173" s="59">
        <f>'дод 3'!J49+'дод 3'!J214+'дод 3'!J239+'дод 3'!J244</f>
        <v>4536780.13</v>
      </c>
      <c r="J173" s="59">
        <f>'дод 3'!K49+'дод 3'!K214+'дод 3'!K239+'дод 3'!K244</f>
        <v>0</v>
      </c>
      <c r="K173" s="59">
        <f>'дод 3'!L49+'дод 3'!L214+'дод 3'!L239+'дод 3'!L244</f>
        <v>1941363.01</v>
      </c>
      <c r="L173" s="59">
        <f>'дод 3'!M49+'дод 3'!M214+'дод 3'!M239+'дод 3'!M244</f>
        <v>0</v>
      </c>
      <c r="M173" s="59">
        <f>'дод 3'!N49+'дод 3'!N214+'дод 3'!N239+'дод 3'!N244</f>
        <v>0</v>
      </c>
      <c r="N173" s="59">
        <f>'дод 3'!O49+'дод 3'!O214+'дод 3'!O239+'дод 3'!O244</f>
        <v>2595417.12</v>
      </c>
      <c r="O173" s="59">
        <f>'дод 3'!P49+'дод 3'!P214+'дод 3'!P239+'дод 3'!P244</f>
        <v>4536780.13</v>
      </c>
    </row>
    <row r="174" spans="1:15" s="77" customFormat="1" ht="30.75" customHeight="1" x14ac:dyDescent="0.25">
      <c r="A174" s="46" t="s">
        <v>261</v>
      </c>
      <c r="B174" s="46" t="s">
        <v>89</v>
      </c>
      <c r="C174" s="3" t="s">
        <v>18</v>
      </c>
      <c r="D174" s="59">
        <f>'дод 3'!E50+'дод 3'!E255+'дод 3'!E263</f>
        <v>2238665</v>
      </c>
      <c r="E174" s="59">
        <f>'дод 3'!F50+'дод 3'!F255+'дод 3'!F263</f>
        <v>2238665</v>
      </c>
      <c r="F174" s="59">
        <f>'дод 3'!G50+'дод 3'!G255+'дод 3'!G263</f>
        <v>0</v>
      </c>
      <c r="G174" s="59">
        <f>'дод 3'!H50+'дод 3'!H255+'дод 3'!H263</f>
        <v>0</v>
      </c>
      <c r="H174" s="59">
        <f>'дод 3'!I50+'дод 3'!I255+'дод 3'!I263</f>
        <v>0</v>
      </c>
      <c r="I174" s="59">
        <f>'дод 3'!J50+'дод 3'!J255+'дод 3'!J263</f>
        <v>0</v>
      </c>
      <c r="J174" s="59">
        <f>'дод 3'!K50+'дод 3'!K255+'дод 3'!K263</f>
        <v>0</v>
      </c>
      <c r="K174" s="59">
        <f>'дод 3'!L50+'дод 3'!L255+'дод 3'!L263</f>
        <v>0</v>
      </c>
      <c r="L174" s="59">
        <f>'дод 3'!M50+'дод 3'!M255+'дод 3'!M263</f>
        <v>0</v>
      </c>
      <c r="M174" s="59">
        <f>'дод 3'!N50+'дод 3'!N255+'дод 3'!N263</f>
        <v>0</v>
      </c>
      <c r="N174" s="59">
        <f>'дод 3'!O50+'дод 3'!O255+'дод 3'!O263</f>
        <v>0</v>
      </c>
      <c r="O174" s="59">
        <f>'дод 3'!P50+'дод 3'!P255+'дод 3'!P263</f>
        <v>2238665</v>
      </c>
    </row>
    <row r="175" spans="1:15" s="76" customFormat="1" ht="48.75" customHeight="1" x14ac:dyDescent="0.25">
      <c r="A175" s="47">
        <v>7700</v>
      </c>
      <c r="B175" s="47"/>
      <c r="C175" s="135" t="s">
        <v>400</v>
      </c>
      <c r="D175" s="58">
        <f>D176</f>
        <v>0</v>
      </c>
      <c r="E175" s="58">
        <f t="shared" ref="E175:O175" si="32">E176</f>
        <v>0</v>
      </c>
      <c r="F175" s="58">
        <f t="shared" si="32"/>
        <v>0</v>
      </c>
      <c r="G175" s="58">
        <f t="shared" si="32"/>
        <v>0</v>
      </c>
      <c r="H175" s="58">
        <f t="shared" si="32"/>
        <v>0</v>
      </c>
      <c r="I175" s="58">
        <f t="shared" si="32"/>
        <v>885000</v>
      </c>
      <c r="J175" s="58">
        <f t="shared" si="32"/>
        <v>0</v>
      </c>
      <c r="K175" s="58">
        <f t="shared" si="32"/>
        <v>0</v>
      </c>
      <c r="L175" s="58">
        <f t="shared" si="32"/>
        <v>0</v>
      </c>
      <c r="M175" s="58">
        <f t="shared" si="32"/>
        <v>0</v>
      </c>
      <c r="N175" s="58">
        <f t="shared" si="32"/>
        <v>885000</v>
      </c>
      <c r="O175" s="58">
        <f t="shared" si="32"/>
        <v>885000</v>
      </c>
    </row>
    <row r="176" spans="1:15" s="77" customFormat="1" ht="46.5" customHeight="1" x14ac:dyDescent="0.25">
      <c r="A176" s="46">
        <v>7700</v>
      </c>
      <c r="B176" s="88" t="s">
        <v>100</v>
      </c>
      <c r="C176" s="91" t="s">
        <v>400</v>
      </c>
      <c r="D176" s="59">
        <f>'дод 3'!E135</f>
        <v>0</v>
      </c>
      <c r="E176" s="59">
        <f>'дод 3'!F135</f>
        <v>0</v>
      </c>
      <c r="F176" s="59">
        <f>'дод 3'!G135</f>
        <v>0</v>
      </c>
      <c r="G176" s="59">
        <f>'дод 3'!H135</f>
        <v>0</v>
      </c>
      <c r="H176" s="59">
        <f>'дод 3'!I135</f>
        <v>0</v>
      </c>
      <c r="I176" s="59">
        <f>'дод 3'!J135</f>
        <v>885000</v>
      </c>
      <c r="J176" s="59">
        <f>'дод 3'!K135</f>
        <v>0</v>
      </c>
      <c r="K176" s="59">
        <f>'дод 3'!L135</f>
        <v>0</v>
      </c>
      <c r="L176" s="59">
        <f>'дод 3'!M135</f>
        <v>0</v>
      </c>
      <c r="M176" s="59">
        <f>'дод 3'!N135</f>
        <v>0</v>
      </c>
      <c r="N176" s="59">
        <f>'дод 3'!O135</f>
        <v>885000</v>
      </c>
      <c r="O176" s="59">
        <f>'дод 3'!P135</f>
        <v>885000</v>
      </c>
    </row>
    <row r="177" spans="1:15" s="75" customFormat="1" x14ac:dyDescent="0.25">
      <c r="A177" s="47" t="s">
        <v>101</v>
      </c>
      <c r="B177" s="48"/>
      <c r="C177" s="2" t="s">
        <v>486</v>
      </c>
      <c r="D177" s="58">
        <f t="shared" ref="D177:O177" si="33">D179+D184+D186+D189+D191+D192</f>
        <v>11544224.050000001</v>
      </c>
      <c r="E177" s="58">
        <f t="shared" si="33"/>
        <v>6230133</v>
      </c>
      <c r="F177" s="58">
        <f t="shared" si="33"/>
        <v>1552920</v>
      </c>
      <c r="G177" s="58">
        <f t="shared" si="33"/>
        <v>353840</v>
      </c>
      <c r="H177" s="58">
        <f t="shared" si="33"/>
        <v>0</v>
      </c>
      <c r="I177" s="58">
        <f t="shared" si="33"/>
        <v>8664643.4499999993</v>
      </c>
      <c r="J177" s="58">
        <f t="shared" si="33"/>
        <v>2299600</v>
      </c>
      <c r="K177" s="58">
        <f t="shared" si="33"/>
        <v>2012000</v>
      </c>
      <c r="L177" s="58">
        <f t="shared" si="33"/>
        <v>0</v>
      </c>
      <c r="M177" s="58">
        <f t="shared" si="33"/>
        <v>1400</v>
      </c>
      <c r="N177" s="58">
        <f t="shared" si="33"/>
        <v>6652643.4500000002</v>
      </c>
      <c r="O177" s="58">
        <f t="shared" si="33"/>
        <v>20208867.5</v>
      </c>
    </row>
    <row r="178" spans="1:15" s="76" customFormat="1" ht="47.25" x14ac:dyDescent="0.25">
      <c r="A178" s="132"/>
      <c r="B178" s="147"/>
      <c r="C178" s="148" t="s">
        <v>442</v>
      </c>
      <c r="D178" s="149">
        <f>D180</f>
        <v>443550</v>
      </c>
      <c r="E178" s="149">
        <f t="shared" ref="E178:O178" si="34">E180</f>
        <v>443550</v>
      </c>
      <c r="F178" s="149">
        <f t="shared" si="34"/>
        <v>336750</v>
      </c>
      <c r="G178" s="149">
        <f t="shared" si="34"/>
        <v>0</v>
      </c>
      <c r="H178" s="149">
        <f t="shared" si="34"/>
        <v>0</v>
      </c>
      <c r="I178" s="149">
        <f t="shared" si="34"/>
        <v>0</v>
      </c>
      <c r="J178" s="149">
        <f t="shared" si="34"/>
        <v>0</v>
      </c>
      <c r="K178" s="149">
        <f t="shared" si="34"/>
        <v>0</v>
      </c>
      <c r="L178" s="149">
        <f t="shared" si="34"/>
        <v>0</v>
      </c>
      <c r="M178" s="149">
        <f t="shared" si="34"/>
        <v>0</v>
      </c>
      <c r="N178" s="149">
        <f t="shared" si="34"/>
        <v>0</v>
      </c>
      <c r="O178" s="149">
        <f t="shared" si="34"/>
        <v>443550</v>
      </c>
    </row>
    <row r="179" spans="1:15" s="75" customFormat="1" ht="49.5" customHeight="1" x14ac:dyDescent="0.25">
      <c r="A179" s="47" t="s">
        <v>103</v>
      </c>
      <c r="B179" s="48"/>
      <c r="C179" s="2" t="s">
        <v>444</v>
      </c>
      <c r="D179" s="58">
        <f t="shared" ref="D179:O179" si="35">D181+D182</f>
        <v>4715708</v>
      </c>
      <c r="E179" s="58">
        <f t="shared" si="35"/>
        <v>4715708</v>
      </c>
      <c r="F179" s="58">
        <f t="shared" si="35"/>
        <v>1552920</v>
      </c>
      <c r="G179" s="58">
        <f t="shared" si="35"/>
        <v>131680</v>
      </c>
      <c r="H179" s="58">
        <f t="shared" si="35"/>
        <v>0</v>
      </c>
      <c r="I179" s="58">
        <f t="shared" si="35"/>
        <v>2305100</v>
      </c>
      <c r="J179" s="58">
        <f t="shared" si="35"/>
        <v>2299600</v>
      </c>
      <c r="K179" s="58">
        <f t="shared" si="35"/>
        <v>5500</v>
      </c>
      <c r="L179" s="58">
        <f t="shared" si="35"/>
        <v>0</v>
      </c>
      <c r="M179" s="58">
        <f t="shared" si="35"/>
        <v>1400</v>
      </c>
      <c r="N179" s="58">
        <f t="shared" si="35"/>
        <v>2299600</v>
      </c>
      <c r="O179" s="58">
        <f t="shared" si="35"/>
        <v>7020808</v>
      </c>
    </row>
    <row r="180" spans="1:15" s="76" customFormat="1" ht="54" customHeight="1" x14ac:dyDescent="0.25">
      <c r="A180" s="132"/>
      <c r="B180" s="147"/>
      <c r="C180" s="150" t="str">
        <f>C183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80" s="149">
        <f>D183</f>
        <v>443550</v>
      </c>
      <c r="E180" s="149">
        <f t="shared" ref="E180:O180" si="36">E183</f>
        <v>443550</v>
      </c>
      <c r="F180" s="149">
        <f t="shared" si="36"/>
        <v>336750</v>
      </c>
      <c r="G180" s="149">
        <f t="shared" si="36"/>
        <v>0</v>
      </c>
      <c r="H180" s="149">
        <f t="shared" si="36"/>
        <v>0</v>
      </c>
      <c r="I180" s="149">
        <f t="shared" si="36"/>
        <v>0</v>
      </c>
      <c r="J180" s="149">
        <f t="shared" si="36"/>
        <v>0</v>
      </c>
      <c r="K180" s="149">
        <f t="shared" si="36"/>
        <v>0</v>
      </c>
      <c r="L180" s="149">
        <f t="shared" si="36"/>
        <v>0</v>
      </c>
      <c r="M180" s="149">
        <f t="shared" si="36"/>
        <v>0</v>
      </c>
      <c r="N180" s="149">
        <f t="shared" si="36"/>
        <v>0</v>
      </c>
      <c r="O180" s="149">
        <f t="shared" si="36"/>
        <v>443550</v>
      </c>
    </row>
    <row r="181" spans="1:15" s="75" customFormat="1" ht="36.75" customHeight="1" x14ac:dyDescent="0.25">
      <c r="A181" s="49" t="s">
        <v>7</v>
      </c>
      <c r="B181" s="49" t="s">
        <v>96</v>
      </c>
      <c r="C181" s="3" t="s">
        <v>325</v>
      </c>
      <c r="D181" s="59">
        <f>'дод 3'!E51+'дод 3'!E215</f>
        <v>2672818</v>
      </c>
      <c r="E181" s="59">
        <f>'дод 3'!F51+'дод 3'!F215</f>
        <v>2672818</v>
      </c>
      <c r="F181" s="59">
        <f>'дод 3'!G51+'дод 3'!G215</f>
        <v>0</v>
      </c>
      <c r="G181" s="59">
        <f>'дод 3'!H51+'дод 3'!H215</f>
        <v>55500</v>
      </c>
      <c r="H181" s="59">
        <f>'дод 3'!I51+'дод 3'!I215</f>
        <v>0</v>
      </c>
      <c r="I181" s="59">
        <f>'дод 3'!J51+'дод 3'!J215</f>
        <v>2299600</v>
      </c>
      <c r="J181" s="59">
        <f>'дод 3'!K51+'дод 3'!K215</f>
        <v>2299600</v>
      </c>
      <c r="K181" s="59">
        <f>'дод 3'!L51+'дод 3'!L215</f>
        <v>0</v>
      </c>
      <c r="L181" s="59">
        <f>'дод 3'!M51+'дод 3'!M215</f>
        <v>0</v>
      </c>
      <c r="M181" s="59">
        <f>'дод 3'!N51+'дод 3'!N215</f>
        <v>0</v>
      </c>
      <c r="N181" s="59">
        <f>'дод 3'!O51+'дод 3'!O215</f>
        <v>2299600</v>
      </c>
      <c r="O181" s="59">
        <f>'дод 3'!P51+'дод 3'!P215</f>
        <v>4972418</v>
      </c>
    </row>
    <row r="182" spans="1:15" ht="24.75" customHeight="1" x14ac:dyDescent="0.25">
      <c r="A182" s="46" t="s">
        <v>159</v>
      </c>
      <c r="B182" s="51" t="s">
        <v>96</v>
      </c>
      <c r="C182" s="3" t="s">
        <v>491</v>
      </c>
      <c r="D182" s="59">
        <f>'дод 3'!E52</f>
        <v>2042890</v>
      </c>
      <c r="E182" s="59">
        <f>'дод 3'!F52</f>
        <v>2042890</v>
      </c>
      <c r="F182" s="59">
        <f>'дод 3'!G52</f>
        <v>1552920</v>
      </c>
      <c r="G182" s="59">
        <f>'дод 3'!H52</f>
        <v>76180</v>
      </c>
      <c r="H182" s="59">
        <f>'дод 3'!I52</f>
        <v>0</v>
      </c>
      <c r="I182" s="59">
        <f>'дод 3'!J52</f>
        <v>5500</v>
      </c>
      <c r="J182" s="59">
        <f>'дод 3'!K52</f>
        <v>0</v>
      </c>
      <c r="K182" s="59">
        <f>'дод 3'!L52</f>
        <v>5500</v>
      </c>
      <c r="L182" s="59">
        <f>'дод 3'!M52</f>
        <v>0</v>
      </c>
      <c r="M182" s="59">
        <f>'дод 3'!N52</f>
        <v>1400</v>
      </c>
      <c r="N182" s="59">
        <f>'дод 3'!O52</f>
        <v>0</v>
      </c>
      <c r="O182" s="59">
        <f>'дод 3'!P52</f>
        <v>2048390</v>
      </c>
    </row>
    <row r="183" spans="1:15" ht="51.75" customHeight="1" x14ac:dyDescent="0.25">
      <c r="A183" s="46"/>
      <c r="B183" s="51"/>
      <c r="C183" s="42" t="s">
        <v>442</v>
      </c>
      <c r="D183" s="59">
        <f>'дод 3'!E53</f>
        <v>443550</v>
      </c>
      <c r="E183" s="59">
        <f>'дод 3'!F53</f>
        <v>443550</v>
      </c>
      <c r="F183" s="59">
        <f>'дод 3'!G53</f>
        <v>336750</v>
      </c>
      <c r="G183" s="59">
        <f>'дод 3'!H53</f>
        <v>0</v>
      </c>
      <c r="H183" s="59">
        <f>'дод 3'!I53</f>
        <v>0</v>
      </c>
      <c r="I183" s="59">
        <f>'дод 3'!J53</f>
        <v>0</v>
      </c>
      <c r="J183" s="59">
        <f>'дод 3'!K53</f>
        <v>0</v>
      </c>
      <c r="K183" s="59">
        <f>'дод 3'!L53</f>
        <v>0</v>
      </c>
      <c r="L183" s="59">
        <f>'дод 3'!M53</f>
        <v>0</v>
      </c>
      <c r="M183" s="59">
        <f>'дод 3'!N53</f>
        <v>0</v>
      </c>
      <c r="N183" s="59">
        <f>'дод 3'!O53</f>
        <v>0</v>
      </c>
      <c r="O183" s="59">
        <f>'дод 3'!P53</f>
        <v>443550</v>
      </c>
    </row>
    <row r="184" spans="1:15" s="75" customFormat="1" ht="30" customHeight="1" x14ac:dyDescent="0.25">
      <c r="A184" s="47" t="s">
        <v>272</v>
      </c>
      <c r="B184" s="47"/>
      <c r="C184" s="12" t="s">
        <v>273</v>
      </c>
      <c r="D184" s="58">
        <f t="shared" ref="D184:O184" si="37">D185</f>
        <v>627360</v>
      </c>
      <c r="E184" s="58">
        <f t="shared" si="37"/>
        <v>627360</v>
      </c>
      <c r="F184" s="58">
        <f t="shared" si="37"/>
        <v>0</v>
      </c>
      <c r="G184" s="58">
        <f t="shared" si="37"/>
        <v>222160</v>
      </c>
      <c r="H184" s="58">
        <f t="shared" si="37"/>
        <v>0</v>
      </c>
      <c r="I184" s="58">
        <f t="shared" si="37"/>
        <v>0</v>
      </c>
      <c r="J184" s="58">
        <f t="shared" si="37"/>
        <v>0</v>
      </c>
      <c r="K184" s="58">
        <f t="shared" si="37"/>
        <v>0</v>
      </c>
      <c r="L184" s="58">
        <f t="shared" si="37"/>
        <v>0</v>
      </c>
      <c r="M184" s="58">
        <f t="shared" si="37"/>
        <v>0</v>
      </c>
      <c r="N184" s="58">
        <f t="shared" si="37"/>
        <v>0</v>
      </c>
      <c r="O184" s="58">
        <f t="shared" si="37"/>
        <v>627360</v>
      </c>
    </row>
    <row r="185" spans="1:15" ht="30" customHeight="1" x14ac:dyDescent="0.25">
      <c r="A185" s="46" t="s">
        <v>266</v>
      </c>
      <c r="B185" s="51" t="s">
        <v>267</v>
      </c>
      <c r="C185" s="3" t="s">
        <v>268</v>
      </c>
      <c r="D185" s="59">
        <f>'дод 3'!E54+'дод 3'!E216</f>
        <v>627360</v>
      </c>
      <c r="E185" s="59">
        <f>'дод 3'!F54+'дод 3'!F216</f>
        <v>627360</v>
      </c>
      <c r="F185" s="59">
        <f>'дод 3'!G54+'дод 3'!G216</f>
        <v>0</v>
      </c>
      <c r="G185" s="59">
        <f>'дод 3'!H54+'дод 3'!H216</f>
        <v>222160</v>
      </c>
      <c r="H185" s="59">
        <f>'дод 3'!I54+'дод 3'!I216</f>
        <v>0</v>
      </c>
      <c r="I185" s="59">
        <f>'дод 3'!J54+'дод 3'!J216</f>
        <v>0</v>
      </c>
      <c r="J185" s="59">
        <f>'дод 3'!K54+'дод 3'!K216</f>
        <v>0</v>
      </c>
      <c r="K185" s="59">
        <f>'дод 3'!L54+'дод 3'!L216</f>
        <v>0</v>
      </c>
      <c r="L185" s="59">
        <f>'дод 3'!M54+'дод 3'!M216</f>
        <v>0</v>
      </c>
      <c r="M185" s="59">
        <f>'дод 3'!N54+'дод 3'!N216</f>
        <v>0</v>
      </c>
      <c r="N185" s="59">
        <f>'дод 3'!O54+'дод 3'!O216</f>
        <v>0</v>
      </c>
      <c r="O185" s="59">
        <f>'дод 3'!P54+'дод 3'!P216</f>
        <v>627360</v>
      </c>
    </row>
    <row r="186" spans="1:15" s="75" customFormat="1" ht="22.5" customHeight="1" x14ac:dyDescent="0.25">
      <c r="A186" s="47" t="s">
        <v>6</v>
      </c>
      <c r="B186" s="48"/>
      <c r="C186" s="2" t="s">
        <v>8</v>
      </c>
      <c r="D186" s="58">
        <f t="shared" ref="D186:O186" si="38">D188+D187</f>
        <v>75000</v>
      </c>
      <c r="E186" s="58">
        <f t="shared" si="38"/>
        <v>75000</v>
      </c>
      <c r="F186" s="58">
        <f t="shared" si="38"/>
        <v>0</v>
      </c>
      <c r="G186" s="58">
        <f t="shared" si="38"/>
        <v>0</v>
      </c>
      <c r="H186" s="58">
        <f t="shared" si="38"/>
        <v>0</v>
      </c>
      <c r="I186" s="58">
        <f t="shared" si="38"/>
        <v>6359543.4500000002</v>
      </c>
      <c r="J186" s="58">
        <f t="shared" si="38"/>
        <v>0</v>
      </c>
      <c r="K186" s="58">
        <f t="shared" si="38"/>
        <v>2006500</v>
      </c>
      <c r="L186" s="58">
        <f t="shared" si="38"/>
        <v>0</v>
      </c>
      <c r="M186" s="58">
        <f t="shared" si="38"/>
        <v>0</v>
      </c>
      <c r="N186" s="58">
        <f t="shared" si="38"/>
        <v>4353043.45</v>
      </c>
      <c r="O186" s="58">
        <f t="shared" si="38"/>
        <v>6434543.4500000002</v>
      </c>
    </row>
    <row r="187" spans="1:15" s="75" customFormat="1" ht="33.75" customHeight="1" x14ac:dyDescent="0.25">
      <c r="A187" s="46">
        <v>8330</v>
      </c>
      <c r="B187" s="46">
        <v>540</v>
      </c>
      <c r="C187" s="3" t="s">
        <v>383</v>
      </c>
      <c r="D187" s="59">
        <f>'дод 3'!E264</f>
        <v>75000</v>
      </c>
      <c r="E187" s="59">
        <f>'дод 3'!F264</f>
        <v>75000</v>
      </c>
      <c r="F187" s="59">
        <f>'дод 3'!G264</f>
        <v>0</v>
      </c>
      <c r="G187" s="59">
        <f>'дод 3'!H264</f>
        <v>0</v>
      </c>
      <c r="H187" s="59">
        <f>'дод 3'!I264</f>
        <v>0</v>
      </c>
      <c r="I187" s="59">
        <f>'дод 3'!J264</f>
        <v>0</v>
      </c>
      <c r="J187" s="59">
        <f>'дод 3'!K264</f>
        <v>0</v>
      </c>
      <c r="K187" s="59">
        <f>'дод 3'!L264</f>
        <v>0</v>
      </c>
      <c r="L187" s="59">
        <f>'дод 3'!M264</f>
        <v>0</v>
      </c>
      <c r="M187" s="59">
        <f>'дод 3'!N264</f>
        <v>0</v>
      </c>
      <c r="N187" s="59">
        <f>'дод 3'!O264</f>
        <v>0</v>
      </c>
      <c r="O187" s="59">
        <f>'дод 3'!P264</f>
        <v>75000</v>
      </c>
    </row>
    <row r="188" spans="1:15" s="75" customFormat="1" ht="19.5" customHeight="1" x14ac:dyDescent="0.25">
      <c r="A188" s="46" t="s">
        <v>9</v>
      </c>
      <c r="B188" s="46" t="s">
        <v>99</v>
      </c>
      <c r="C188" s="3" t="s">
        <v>10</v>
      </c>
      <c r="D188" s="59">
        <f>'дод 3'!E55+'дод 3'!E100+'дод 3'!E217+'дод 3'!E265+'дод 3'!E188</f>
        <v>0</v>
      </c>
      <c r="E188" s="59">
        <f>'дод 3'!F55+'дод 3'!F100+'дод 3'!F217+'дод 3'!F265+'дод 3'!F188</f>
        <v>0</v>
      </c>
      <c r="F188" s="59">
        <f>'дод 3'!G55+'дод 3'!G100+'дод 3'!G217+'дод 3'!G265+'дод 3'!G188</f>
        <v>0</v>
      </c>
      <c r="G188" s="59">
        <f>'дод 3'!H55+'дод 3'!H100+'дод 3'!H217+'дод 3'!H265+'дод 3'!H188</f>
        <v>0</v>
      </c>
      <c r="H188" s="59">
        <f>'дод 3'!I55+'дод 3'!I100+'дод 3'!I217+'дод 3'!I265+'дод 3'!I188</f>
        <v>0</v>
      </c>
      <c r="I188" s="59">
        <f>'дод 3'!J55+'дод 3'!J100+'дод 3'!J217+'дод 3'!J265+'дод 3'!J188</f>
        <v>6359543.4500000002</v>
      </c>
      <c r="J188" s="59">
        <f>'дод 3'!K55+'дод 3'!K100+'дод 3'!K217+'дод 3'!K265+'дод 3'!K188</f>
        <v>0</v>
      </c>
      <c r="K188" s="59">
        <f>'дод 3'!L55+'дод 3'!L100+'дод 3'!L217+'дод 3'!L265+'дод 3'!L188</f>
        <v>2006500</v>
      </c>
      <c r="L188" s="59">
        <f>'дод 3'!M55+'дод 3'!M100+'дод 3'!M217+'дод 3'!M265+'дод 3'!M188</f>
        <v>0</v>
      </c>
      <c r="M188" s="59">
        <f>'дод 3'!N55+'дод 3'!N100+'дод 3'!N217+'дод 3'!N265+'дод 3'!N188</f>
        <v>0</v>
      </c>
      <c r="N188" s="59">
        <f>'дод 3'!O55+'дод 3'!O100+'дод 3'!O217+'дод 3'!O265+'дод 3'!O188</f>
        <v>4353043.45</v>
      </c>
      <c r="O188" s="59">
        <f>'дод 3'!P55+'дод 3'!P100+'дод 3'!P217+'дод 3'!P265+'дод 3'!P188</f>
        <v>6359543.4500000002</v>
      </c>
    </row>
    <row r="189" spans="1:15" s="75" customFormat="1" ht="20.25" customHeight="1" x14ac:dyDescent="0.25">
      <c r="A189" s="47" t="s">
        <v>144</v>
      </c>
      <c r="B189" s="48"/>
      <c r="C189" s="2" t="s">
        <v>82</v>
      </c>
      <c r="D189" s="58">
        <f t="shared" ref="D189:O189" si="39">D190</f>
        <v>100000</v>
      </c>
      <c r="E189" s="58">
        <f t="shared" si="39"/>
        <v>100000</v>
      </c>
      <c r="F189" s="58">
        <f t="shared" si="39"/>
        <v>0</v>
      </c>
      <c r="G189" s="58">
        <f t="shared" si="39"/>
        <v>0</v>
      </c>
      <c r="H189" s="58">
        <f t="shared" si="39"/>
        <v>0</v>
      </c>
      <c r="I189" s="58">
        <f t="shared" si="39"/>
        <v>0</v>
      </c>
      <c r="J189" s="58">
        <f t="shared" si="39"/>
        <v>0</v>
      </c>
      <c r="K189" s="58">
        <f t="shared" si="39"/>
        <v>0</v>
      </c>
      <c r="L189" s="58">
        <f t="shared" si="39"/>
        <v>0</v>
      </c>
      <c r="M189" s="58">
        <f t="shared" si="39"/>
        <v>0</v>
      </c>
      <c r="N189" s="58">
        <f t="shared" si="39"/>
        <v>0</v>
      </c>
      <c r="O189" s="58">
        <f t="shared" si="39"/>
        <v>100000</v>
      </c>
    </row>
    <row r="190" spans="1:15" s="75" customFormat="1" ht="21" customHeight="1" x14ac:dyDescent="0.25">
      <c r="A190" s="46" t="s">
        <v>277</v>
      </c>
      <c r="B190" s="51" t="s">
        <v>83</v>
      </c>
      <c r="C190" s="3" t="s">
        <v>278</v>
      </c>
      <c r="D190" s="59">
        <f>'дод 3'!E56</f>
        <v>100000</v>
      </c>
      <c r="E190" s="59">
        <f>'дод 3'!F56</f>
        <v>100000</v>
      </c>
      <c r="F190" s="59">
        <f>'дод 3'!G56</f>
        <v>0</v>
      </c>
      <c r="G190" s="59">
        <f>'дод 3'!H56</f>
        <v>0</v>
      </c>
      <c r="H190" s="59">
        <f>'дод 3'!I56</f>
        <v>0</v>
      </c>
      <c r="I190" s="59">
        <f>'дод 3'!J56</f>
        <v>0</v>
      </c>
      <c r="J190" s="59">
        <f>'дод 3'!K56</f>
        <v>0</v>
      </c>
      <c r="K190" s="59">
        <f>'дод 3'!L56</f>
        <v>0</v>
      </c>
      <c r="L190" s="59">
        <f>'дод 3'!M56</f>
        <v>0</v>
      </c>
      <c r="M190" s="59">
        <f>'дод 3'!N56</f>
        <v>0</v>
      </c>
      <c r="N190" s="59">
        <f>'дод 3'!O56</f>
        <v>0</v>
      </c>
      <c r="O190" s="59">
        <f>'дод 3'!P56</f>
        <v>100000</v>
      </c>
    </row>
    <row r="191" spans="1:15" s="75" customFormat="1" ht="21" customHeight="1" x14ac:dyDescent="0.25">
      <c r="A191" s="47" t="s">
        <v>102</v>
      </c>
      <c r="B191" s="47" t="s">
        <v>97</v>
      </c>
      <c r="C191" s="2" t="s">
        <v>11</v>
      </c>
      <c r="D191" s="58">
        <f>'дод 3'!E266</f>
        <v>712065</v>
      </c>
      <c r="E191" s="58">
        <f>'дод 3'!F266</f>
        <v>712065</v>
      </c>
      <c r="F191" s="58">
        <f>'дод 3'!G266</f>
        <v>0</v>
      </c>
      <c r="G191" s="58">
        <f>'дод 3'!H266</f>
        <v>0</v>
      </c>
      <c r="H191" s="58">
        <f>'дод 3'!I266</f>
        <v>0</v>
      </c>
      <c r="I191" s="58">
        <f>'дод 3'!J266</f>
        <v>0</v>
      </c>
      <c r="J191" s="58">
        <f>'дод 3'!K266</f>
        <v>0</v>
      </c>
      <c r="K191" s="58">
        <f>'дод 3'!L266</f>
        <v>0</v>
      </c>
      <c r="L191" s="58">
        <f>'дод 3'!M266</f>
        <v>0</v>
      </c>
      <c r="M191" s="58">
        <f>'дод 3'!N266</f>
        <v>0</v>
      </c>
      <c r="N191" s="58">
        <f>'дод 3'!O266</f>
        <v>0</v>
      </c>
      <c r="O191" s="58">
        <f>'дод 3'!P266</f>
        <v>712065</v>
      </c>
    </row>
    <row r="192" spans="1:15" s="75" customFormat="1" ht="21" customHeight="1" x14ac:dyDescent="0.25">
      <c r="A192" s="47" t="s">
        <v>12</v>
      </c>
      <c r="B192" s="47" t="s">
        <v>100</v>
      </c>
      <c r="C192" s="2" t="s">
        <v>21</v>
      </c>
      <c r="D192" s="58">
        <f>'дод 3'!E267</f>
        <v>5314091.0500000007</v>
      </c>
      <c r="E192" s="58">
        <f>'дод 3'!F267</f>
        <v>0</v>
      </c>
      <c r="F192" s="58">
        <f>'дод 3'!G267</f>
        <v>0</v>
      </c>
      <c r="G192" s="58">
        <f>'дод 3'!H267</f>
        <v>0</v>
      </c>
      <c r="H192" s="58">
        <f>'дод 3'!I267</f>
        <v>0</v>
      </c>
      <c r="I192" s="58">
        <f>'дод 3'!J267</f>
        <v>0</v>
      </c>
      <c r="J192" s="58">
        <f>'дод 3'!K267</f>
        <v>0</v>
      </c>
      <c r="K192" s="58">
        <f>'дод 3'!L267</f>
        <v>0</v>
      </c>
      <c r="L192" s="58">
        <f>'дод 3'!M267</f>
        <v>0</v>
      </c>
      <c r="M192" s="58">
        <f>'дод 3'!N267</f>
        <v>0</v>
      </c>
      <c r="N192" s="58">
        <f>'дод 3'!O267</f>
        <v>0</v>
      </c>
      <c r="O192" s="58">
        <f>'дод 3'!P267</f>
        <v>5314091.0500000007</v>
      </c>
    </row>
    <row r="193" spans="1:15" s="75" customFormat="1" ht="20.25" customHeight="1" x14ac:dyDescent="0.25">
      <c r="A193" s="47" t="s">
        <v>13</v>
      </c>
      <c r="B193" s="47"/>
      <c r="C193" s="2" t="s">
        <v>118</v>
      </c>
      <c r="D193" s="58">
        <f>D194+D196+D200+D202</f>
        <v>137921549</v>
      </c>
      <c r="E193" s="58">
        <f t="shared" ref="E193:O193" si="40">E194+E196+E200+E202</f>
        <v>137921549</v>
      </c>
      <c r="F193" s="58">
        <f t="shared" si="40"/>
        <v>0</v>
      </c>
      <c r="G193" s="58">
        <f t="shared" si="40"/>
        <v>0</v>
      </c>
      <c r="H193" s="58">
        <f t="shared" si="40"/>
        <v>0</v>
      </c>
      <c r="I193" s="58">
        <f t="shared" si="40"/>
        <v>9013941</v>
      </c>
      <c r="J193" s="58">
        <f t="shared" si="40"/>
        <v>9013941</v>
      </c>
      <c r="K193" s="58">
        <f t="shared" si="40"/>
        <v>0</v>
      </c>
      <c r="L193" s="58">
        <f t="shared" si="40"/>
        <v>0</v>
      </c>
      <c r="M193" s="58">
        <f t="shared" si="40"/>
        <v>0</v>
      </c>
      <c r="N193" s="58">
        <f t="shared" si="40"/>
        <v>9013941</v>
      </c>
      <c r="O193" s="58">
        <f t="shared" si="40"/>
        <v>146935490</v>
      </c>
    </row>
    <row r="194" spans="1:15" s="75" customFormat="1" ht="21.75" customHeight="1" x14ac:dyDescent="0.25">
      <c r="A194" s="47" t="s">
        <v>275</v>
      </c>
      <c r="B194" s="47"/>
      <c r="C194" s="2" t="s">
        <v>326</v>
      </c>
      <c r="D194" s="58">
        <f t="shared" ref="D194:O194" si="41">D195</f>
        <v>108116600</v>
      </c>
      <c r="E194" s="58">
        <f t="shared" si="41"/>
        <v>108116600</v>
      </c>
      <c r="F194" s="58">
        <f t="shared" si="41"/>
        <v>0</v>
      </c>
      <c r="G194" s="58">
        <f t="shared" si="41"/>
        <v>0</v>
      </c>
      <c r="H194" s="58">
        <f t="shared" si="41"/>
        <v>0</v>
      </c>
      <c r="I194" s="58">
        <f t="shared" si="41"/>
        <v>0</v>
      </c>
      <c r="J194" s="58">
        <f t="shared" si="41"/>
        <v>0</v>
      </c>
      <c r="K194" s="58">
        <f t="shared" si="41"/>
        <v>0</v>
      </c>
      <c r="L194" s="58">
        <f t="shared" si="41"/>
        <v>0</v>
      </c>
      <c r="M194" s="58">
        <f t="shared" si="41"/>
        <v>0</v>
      </c>
      <c r="N194" s="58">
        <f t="shared" si="41"/>
        <v>0</v>
      </c>
      <c r="O194" s="58">
        <f t="shared" si="41"/>
        <v>108116600</v>
      </c>
    </row>
    <row r="195" spans="1:15" s="75" customFormat="1" ht="21.75" customHeight="1" x14ac:dyDescent="0.25">
      <c r="A195" s="46" t="s">
        <v>98</v>
      </c>
      <c r="B195" s="51" t="s">
        <v>49</v>
      </c>
      <c r="C195" s="3" t="s">
        <v>117</v>
      </c>
      <c r="D195" s="59">
        <f>'дод 3'!E268</f>
        <v>108116600</v>
      </c>
      <c r="E195" s="59">
        <f>'дод 3'!F268</f>
        <v>108116600</v>
      </c>
      <c r="F195" s="59">
        <f>'дод 3'!G268</f>
        <v>0</v>
      </c>
      <c r="G195" s="59">
        <f>'дод 3'!H268</f>
        <v>0</v>
      </c>
      <c r="H195" s="59">
        <f>'дод 3'!I268</f>
        <v>0</v>
      </c>
      <c r="I195" s="59">
        <f>'дод 3'!J268</f>
        <v>0</v>
      </c>
      <c r="J195" s="59">
        <f>'дод 3'!K268</f>
        <v>0</v>
      </c>
      <c r="K195" s="59">
        <f>'дод 3'!L268</f>
        <v>0</v>
      </c>
      <c r="L195" s="59">
        <f>'дод 3'!M268</f>
        <v>0</v>
      </c>
      <c r="M195" s="59">
        <f>'дод 3'!N268</f>
        <v>0</v>
      </c>
      <c r="N195" s="59">
        <f>'дод 3'!O268</f>
        <v>0</v>
      </c>
      <c r="O195" s="59">
        <f>'дод 3'!P268</f>
        <v>108116600</v>
      </c>
    </row>
    <row r="196" spans="1:15" s="75" customFormat="1" ht="64.5" customHeight="1" x14ac:dyDescent="0.25">
      <c r="A196" s="47">
        <v>9300</v>
      </c>
      <c r="B196" s="48"/>
      <c r="C196" s="2" t="s">
        <v>510</v>
      </c>
      <c r="D196" s="58">
        <f>D198</f>
        <v>10138184</v>
      </c>
      <c r="E196" s="58">
        <f t="shared" ref="E196:O197" si="42">E198</f>
        <v>10138184</v>
      </c>
      <c r="F196" s="58">
        <f t="shared" si="42"/>
        <v>0</v>
      </c>
      <c r="G196" s="58">
        <f t="shared" si="42"/>
        <v>0</v>
      </c>
      <c r="H196" s="58">
        <f t="shared" si="42"/>
        <v>0</v>
      </c>
      <c r="I196" s="58">
        <f t="shared" si="42"/>
        <v>0</v>
      </c>
      <c r="J196" s="58">
        <f t="shared" si="42"/>
        <v>0</v>
      </c>
      <c r="K196" s="58">
        <f t="shared" si="42"/>
        <v>0</v>
      </c>
      <c r="L196" s="58">
        <f t="shared" si="42"/>
        <v>0</v>
      </c>
      <c r="M196" s="58">
        <f t="shared" si="42"/>
        <v>0</v>
      </c>
      <c r="N196" s="58">
        <f t="shared" si="42"/>
        <v>0</v>
      </c>
      <c r="O196" s="58">
        <f t="shared" si="42"/>
        <v>10138184</v>
      </c>
    </row>
    <row r="197" spans="1:15" s="76" customFormat="1" ht="41.25" customHeight="1" x14ac:dyDescent="0.25">
      <c r="A197" s="132"/>
      <c r="B197" s="147"/>
      <c r="C197" s="150" t="s">
        <v>451</v>
      </c>
      <c r="D197" s="149">
        <f>D199</f>
        <v>10138184</v>
      </c>
      <c r="E197" s="149">
        <f t="shared" si="42"/>
        <v>10138184</v>
      </c>
      <c r="F197" s="149">
        <f t="shared" si="42"/>
        <v>0</v>
      </c>
      <c r="G197" s="149">
        <f t="shared" si="42"/>
        <v>0</v>
      </c>
      <c r="H197" s="149">
        <f t="shared" si="42"/>
        <v>0</v>
      </c>
      <c r="I197" s="149">
        <f t="shared" si="42"/>
        <v>0</v>
      </c>
      <c r="J197" s="149">
        <f t="shared" si="42"/>
        <v>0</v>
      </c>
      <c r="K197" s="149">
        <f t="shared" si="42"/>
        <v>0</v>
      </c>
      <c r="L197" s="149">
        <f t="shared" si="42"/>
        <v>0</v>
      </c>
      <c r="M197" s="149">
        <f t="shared" si="42"/>
        <v>0</v>
      </c>
      <c r="N197" s="149">
        <f t="shared" si="42"/>
        <v>0</v>
      </c>
      <c r="O197" s="149">
        <f t="shared" si="42"/>
        <v>10138184</v>
      </c>
    </row>
    <row r="198" spans="1:15" s="75" customFormat="1" ht="48" customHeight="1" x14ac:dyDescent="0.25">
      <c r="A198" s="46">
        <v>9310</v>
      </c>
      <c r="B198" s="51" t="s">
        <v>49</v>
      </c>
      <c r="C198" s="3" t="s">
        <v>509</v>
      </c>
      <c r="D198" s="59">
        <f>'дод 3'!E101</f>
        <v>10138184</v>
      </c>
      <c r="E198" s="59">
        <f>'дод 3'!F101</f>
        <v>10138184</v>
      </c>
      <c r="F198" s="59">
        <f>'дод 3'!G101</f>
        <v>0</v>
      </c>
      <c r="G198" s="59">
        <f>'дод 3'!H101</f>
        <v>0</v>
      </c>
      <c r="H198" s="59">
        <f>'дод 3'!I101</f>
        <v>0</v>
      </c>
      <c r="I198" s="59">
        <f>'дод 3'!J101</f>
        <v>0</v>
      </c>
      <c r="J198" s="59">
        <f>'дод 3'!K101</f>
        <v>0</v>
      </c>
      <c r="K198" s="59">
        <f>'дод 3'!L101</f>
        <v>0</v>
      </c>
      <c r="L198" s="59">
        <f>'дод 3'!M101</f>
        <v>0</v>
      </c>
      <c r="M198" s="59">
        <f>'дод 3'!N101</f>
        <v>0</v>
      </c>
      <c r="N198" s="59">
        <f>'дод 3'!O101</f>
        <v>0</v>
      </c>
      <c r="O198" s="59">
        <f>'дод 3'!P101</f>
        <v>10138184</v>
      </c>
    </row>
    <row r="199" spans="1:15" s="75" customFormat="1" ht="36.75" customHeight="1" x14ac:dyDescent="0.25">
      <c r="A199" s="46"/>
      <c r="B199" s="51"/>
      <c r="C199" s="160" t="s">
        <v>451</v>
      </c>
      <c r="D199" s="153">
        <f>'дод 3'!E102</f>
        <v>10138184</v>
      </c>
      <c r="E199" s="153">
        <f>'дод 3'!F102</f>
        <v>10138184</v>
      </c>
      <c r="F199" s="153">
        <f>'дод 3'!G102</f>
        <v>0</v>
      </c>
      <c r="G199" s="153">
        <f>'дод 3'!H102</f>
        <v>0</v>
      </c>
      <c r="H199" s="153">
        <f>'дод 3'!I102</f>
        <v>0</v>
      </c>
      <c r="I199" s="153">
        <f>'дод 3'!J102</f>
        <v>0</v>
      </c>
      <c r="J199" s="153">
        <f>'дод 3'!K102</f>
        <v>0</v>
      </c>
      <c r="K199" s="153">
        <f>'дод 3'!L102</f>
        <v>0</v>
      </c>
      <c r="L199" s="153">
        <f>'дод 3'!M102</f>
        <v>0</v>
      </c>
      <c r="M199" s="153">
        <f>'дод 3'!N102</f>
        <v>0</v>
      </c>
      <c r="N199" s="153">
        <f>'дод 3'!O102</f>
        <v>0</v>
      </c>
      <c r="O199" s="153">
        <f>'дод 3'!P102</f>
        <v>10138184</v>
      </c>
    </row>
    <row r="200" spans="1:15" s="75" customFormat="1" ht="50.25" customHeight="1" x14ac:dyDescent="0.25">
      <c r="A200" s="47" t="s">
        <v>14</v>
      </c>
      <c r="B200" s="48"/>
      <c r="C200" s="2" t="s">
        <v>382</v>
      </c>
      <c r="D200" s="58">
        <f t="shared" ref="D200:O200" si="43">D201</f>
        <v>17512000</v>
      </c>
      <c r="E200" s="58">
        <f t="shared" si="43"/>
        <v>17512000</v>
      </c>
      <c r="F200" s="58">
        <f t="shared" si="43"/>
        <v>0</v>
      </c>
      <c r="G200" s="58">
        <f t="shared" si="43"/>
        <v>0</v>
      </c>
      <c r="H200" s="58">
        <f t="shared" si="43"/>
        <v>0</v>
      </c>
      <c r="I200" s="58">
        <f t="shared" si="43"/>
        <v>8763941</v>
      </c>
      <c r="J200" s="58">
        <f t="shared" si="43"/>
        <v>8763941</v>
      </c>
      <c r="K200" s="58">
        <f t="shared" si="43"/>
        <v>0</v>
      </c>
      <c r="L200" s="58">
        <f t="shared" si="43"/>
        <v>0</v>
      </c>
      <c r="M200" s="58">
        <f t="shared" si="43"/>
        <v>0</v>
      </c>
      <c r="N200" s="58">
        <f t="shared" si="43"/>
        <v>8763941</v>
      </c>
      <c r="O200" s="58">
        <f t="shared" si="43"/>
        <v>26275941</v>
      </c>
    </row>
    <row r="201" spans="1:15" s="75" customFormat="1" ht="21.75" customHeight="1" x14ac:dyDescent="0.25">
      <c r="A201" s="46" t="s">
        <v>15</v>
      </c>
      <c r="B201" s="51" t="s">
        <v>49</v>
      </c>
      <c r="C201" s="6" t="s">
        <v>391</v>
      </c>
      <c r="D201" s="59">
        <f>'дод 3'!E218+'дод 3'!E172+'дод 3'!E103+'дод 3'!E136</f>
        <v>17512000</v>
      </c>
      <c r="E201" s="59">
        <f>'дод 3'!F218+'дод 3'!F172+'дод 3'!F103+'дод 3'!F136</f>
        <v>17512000</v>
      </c>
      <c r="F201" s="59">
        <f>'дод 3'!G218+'дод 3'!G172+'дод 3'!G103+'дод 3'!G136</f>
        <v>0</v>
      </c>
      <c r="G201" s="59">
        <f>'дод 3'!H218+'дод 3'!H172+'дод 3'!H103+'дод 3'!H136</f>
        <v>0</v>
      </c>
      <c r="H201" s="59">
        <f>'дод 3'!I218+'дод 3'!I172+'дод 3'!I103+'дод 3'!I136</f>
        <v>0</v>
      </c>
      <c r="I201" s="59">
        <f>'дод 3'!J218+'дод 3'!J172+'дод 3'!J103+'дод 3'!J136</f>
        <v>8763941</v>
      </c>
      <c r="J201" s="59">
        <f>'дод 3'!K218+'дод 3'!K172+'дод 3'!K103+'дод 3'!K136</f>
        <v>8763941</v>
      </c>
      <c r="K201" s="59">
        <f>'дод 3'!L218+'дод 3'!L172+'дод 3'!L103+'дод 3'!L136</f>
        <v>0</v>
      </c>
      <c r="L201" s="59">
        <f>'дод 3'!M218+'дод 3'!M172+'дод 3'!M103+'дод 3'!M136</f>
        <v>0</v>
      </c>
      <c r="M201" s="59">
        <f>'дод 3'!N218+'дод 3'!N172+'дод 3'!N103+'дод 3'!N136</f>
        <v>0</v>
      </c>
      <c r="N201" s="59">
        <f>'дод 3'!O218+'дод 3'!O172+'дод 3'!O103+'дод 3'!O136</f>
        <v>8763941</v>
      </c>
      <c r="O201" s="59">
        <f>'дод 3'!P218+'дод 3'!P172+'дод 3'!P103+'дод 3'!P136</f>
        <v>26275941</v>
      </c>
    </row>
    <row r="202" spans="1:15" s="75" customFormat="1" ht="55.5" customHeight="1" x14ac:dyDescent="0.25">
      <c r="A202" s="47" t="s">
        <v>414</v>
      </c>
      <c r="B202" s="48" t="s">
        <v>49</v>
      </c>
      <c r="C202" s="9" t="s">
        <v>411</v>
      </c>
      <c r="D202" s="59">
        <f>'дод 3'!E104+'дод 3'!E57</f>
        <v>2154765</v>
      </c>
      <c r="E202" s="59">
        <f>'дод 3'!F104+'дод 3'!F57</f>
        <v>2154765</v>
      </c>
      <c r="F202" s="59">
        <f>'дод 3'!G104+'дод 3'!G57</f>
        <v>0</v>
      </c>
      <c r="G202" s="59">
        <f>'дод 3'!H104+'дод 3'!H57</f>
        <v>0</v>
      </c>
      <c r="H202" s="59">
        <f>'дод 3'!I104+'дод 3'!I57</f>
        <v>0</v>
      </c>
      <c r="I202" s="59">
        <f>'дод 3'!J104+'дод 3'!J57</f>
        <v>250000</v>
      </c>
      <c r="J202" s="59">
        <f>'дод 3'!K104+'дод 3'!K57</f>
        <v>250000</v>
      </c>
      <c r="K202" s="59">
        <f>'дод 3'!L104+'дод 3'!L57</f>
        <v>0</v>
      </c>
      <c r="L202" s="59">
        <f>'дод 3'!M104+'дод 3'!M57</f>
        <v>0</v>
      </c>
      <c r="M202" s="59">
        <f>'дод 3'!N104+'дод 3'!N57</f>
        <v>0</v>
      </c>
      <c r="N202" s="59">
        <f>'дод 3'!O104+'дод 3'!O57</f>
        <v>250000</v>
      </c>
      <c r="O202" s="59">
        <f>'дод 3'!P104+'дод 3'!P57</f>
        <v>2404765</v>
      </c>
    </row>
    <row r="203" spans="1:15" s="75" customFormat="1" ht="25.5" customHeight="1" x14ac:dyDescent="0.25">
      <c r="A203" s="7"/>
      <c r="B203" s="7"/>
      <c r="C203" s="2" t="s">
        <v>487</v>
      </c>
      <c r="D203" s="58">
        <f t="shared" ref="D203:O203" si="44">D19+D23+D56+D76+D113+D118+D125+D135+D177+D193</f>
        <v>2032070312.72</v>
      </c>
      <c r="E203" s="58">
        <f t="shared" si="44"/>
        <v>1932242483.6700001</v>
      </c>
      <c r="F203" s="58">
        <f t="shared" si="44"/>
        <v>891188419.80999994</v>
      </c>
      <c r="G203" s="58">
        <f t="shared" si="44"/>
        <v>105475513.56</v>
      </c>
      <c r="H203" s="58">
        <f t="shared" si="44"/>
        <v>94513738</v>
      </c>
      <c r="I203" s="58">
        <f t="shared" si="44"/>
        <v>691946642.02999997</v>
      </c>
      <c r="J203" s="58">
        <f t="shared" si="44"/>
        <v>530646295.38999999</v>
      </c>
      <c r="K203" s="58">
        <f t="shared" si="44"/>
        <v>143463011.00999999</v>
      </c>
      <c r="L203" s="58">
        <f t="shared" si="44"/>
        <v>9012497</v>
      </c>
      <c r="M203" s="58">
        <f t="shared" si="44"/>
        <v>3270541</v>
      </c>
      <c r="N203" s="58">
        <f t="shared" si="44"/>
        <v>548483631.01999998</v>
      </c>
      <c r="O203" s="58">
        <f t="shared" si="44"/>
        <v>2724016954.75</v>
      </c>
    </row>
    <row r="204" spans="1:15" s="76" customFormat="1" ht="18" customHeight="1" x14ac:dyDescent="0.25">
      <c r="A204" s="159"/>
      <c r="B204" s="159"/>
      <c r="C204" s="148" t="s">
        <v>464</v>
      </c>
      <c r="D204" s="149">
        <f>D24+D57+D136+D197</f>
        <v>431138500</v>
      </c>
      <c r="E204" s="149">
        <f t="shared" ref="E204:O204" si="45">E24+E57+E136+E197</f>
        <v>431138500</v>
      </c>
      <c r="F204" s="149">
        <f t="shared" si="45"/>
        <v>302081404</v>
      </c>
      <c r="G204" s="149">
        <f t="shared" si="45"/>
        <v>0</v>
      </c>
      <c r="H204" s="149">
        <f t="shared" si="45"/>
        <v>0</v>
      </c>
      <c r="I204" s="149">
        <f t="shared" si="45"/>
        <v>13843540.600000001</v>
      </c>
      <c r="J204" s="149">
        <f t="shared" si="45"/>
        <v>13843540.600000001</v>
      </c>
      <c r="K204" s="149">
        <f t="shared" si="45"/>
        <v>0</v>
      </c>
      <c r="L204" s="149">
        <f t="shared" si="45"/>
        <v>0</v>
      </c>
      <c r="M204" s="149">
        <f t="shared" si="45"/>
        <v>0</v>
      </c>
      <c r="N204" s="149">
        <f t="shared" si="45"/>
        <v>13843540.600000001</v>
      </c>
      <c r="O204" s="149">
        <f t="shared" si="45"/>
        <v>444982040.60000002</v>
      </c>
    </row>
    <row r="205" spans="1:15" s="76" customFormat="1" ht="31.5" x14ac:dyDescent="0.25">
      <c r="A205" s="159"/>
      <c r="B205" s="159"/>
      <c r="C205" s="148" t="s">
        <v>465</v>
      </c>
      <c r="D205" s="149">
        <f t="shared" ref="D205:O205" si="46">D25</f>
        <v>2739700</v>
      </c>
      <c r="E205" s="149">
        <f t="shared" si="46"/>
        <v>2739700</v>
      </c>
      <c r="F205" s="149">
        <f t="shared" si="46"/>
        <v>2249257</v>
      </c>
      <c r="G205" s="149">
        <f t="shared" si="46"/>
        <v>0</v>
      </c>
      <c r="H205" s="149">
        <f t="shared" si="46"/>
        <v>0</v>
      </c>
      <c r="I205" s="149">
        <f t="shared" si="46"/>
        <v>0</v>
      </c>
      <c r="J205" s="149">
        <f t="shared" si="46"/>
        <v>0</v>
      </c>
      <c r="K205" s="149">
        <f t="shared" si="46"/>
        <v>0</v>
      </c>
      <c r="L205" s="149">
        <f t="shared" si="46"/>
        <v>0</v>
      </c>
      <c r="M205" s="149">
        <f t="shared" si="46"/>
        <v>0</v>
      </c>
      <c r="N205" s="149">
        <f t="shared" si="46"/>
        <v>0</v>
      </c>
      <c r="O205" s="149">
        <f t="shared" si="46"/>
        <v>2739700</v>
      </c>
    </row>
    <row r="206" spans="1:15" s="76" customFormat="1" ht="31.5" x14ac:dyDescent="0.25">
      <c r="A206" s="159"/>
      <c r="B206" s="159"/>
      <c r="C206" s="148" t="s">
        <v>466</v>
      </c>
      <c r="D206" s="149">
        <f>D26+D27+D28+D29+D30+D58+D59+D60+D77++D137+D178</f>
        <v>23658220.209999997</v>
      </c>
      <c r="E206" s="149">
        <f t="shared" ref="E206:O206" si="47">E26+E27+E28+E29+E30+E58+E59+E60+E77++E137+E178</f>
        <v>23658220.209999997</v>
      </c>
      <c r="F206" s="149">
        <f t="shared" si="47"/>
        <v>2799250</v>
      </c>
      <c r="G206" s="149">
        <f t="shared" si="47"/>
        <v>0</v>
      </c>
      <c r="H206" s="149">
        <f t="shared" si="47"/>
        <v>0</v>
      </c>
      <c r="I206" s="149">
        <f t="shared" si="47"/>
        <v>83667153.299999997</v>
      </c>
      <c r="J206" s="149">
        <f t="shared" si="47"/>
        <v>3667153.3</v>
      </c>
      <c r="K206" s="149">
        <f t="shared" si="47"/>
        <v>80000000</v>
      </c>
      <c r="L206" s="149">
        <f t="shared" si="47"/>
        <v>0</v>
      </c>
      <c r="M206" s="149">
        <f t="shared" si="47"/>
        <v>0</v>
      </c>
      <c r="N206" s="149">
        <f t="shared" si="47"/>
        <v>3667153.3</v>
      </c>
      <c r="O206" s="149">
        <f t="shared" si="47"/>
        <v>107325373.50999999</v>
      </c>
    </row>
    <row r="207" spans="1:15" s="76" customFormat="1" ht="23.25" customHeight="1" x14ac:dyDescent="0.25">
      <c r="A207" s="132"/>
      <c r="B207" s="132"/>
      <c r="C207" s="156" t="s">
        <v>505</v>
      </c>
      <c r="D207" s="149">
        <f>D138</f>
        <v>0</v>
      </c>
      <c r="E207" s="149">
        <f t="shared" ref="E207:O207" si="48">E138</f>
        <v>0</v>
      </c>
      <c r="F207" s="149">
        <f t="shared" si="48"/>
        <v>0</v>
      </c>
      <c r="G207" s="149">
        <f t="shared" si="48"/>
        <v>0</v>
      </c>
      <c r="H207" s="149">
        <f t="shared" si="48"/>
        <v>0</v>
      </c>
      <c r="I207" s="149">
        <f t="shared" si="48"/>
        <v>58776907</v>
      </c>
      <c r="J207" s="149">
        <f t="shared" si="48"/>
        <v>58776907</v>
      </c>
      <c r="K207" s="149">
        <f t="shared" si="48"/>
        <v>0</v>
      </c>
      <c r="L207" s="149">
        <f t="shared" si="48"/>
        <v>0</v>
      </c>
      <c r="M207" s="149">
        <f t="shared" si="48"/>
        <v>0</v>
      </c>
      <c r="N207" s="149">
        <f t="shared" si="48"/>
        <v>58776907</v>
      </c>
      <c r="O207" s="149">
        <f t="shared" si="48"/>
        <v>58776907</v>
      </c>
    </row>
    <row r="208" spans="1:15" s="75" customFormat="1" ht="28.5" customHeight="1" x14ac:dyDescent="0.25">
      <c r="A208" s="122"/>
      <c r="B208" s="122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1:24" s="75" customFormat="1" ht="24" customHeight="1" x14ac:dyDescent="0.25">
      <c r="A209" s="122"/>
      <c r="B209" s="122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1:24" s="75" customFormat="1" ht="24" customHeight="1" x14ac:dyDescent="0.25">
      <c r="A210" s="122"/>
      <c r="B210" s="122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1:24" s="75" customFormat="1" ht="24" customHeight="1" x14ac:dyDescent="0.25">
      <c r="A211" s="122"/>
      <c r="B211" s="122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1:24" ht="28.5" customHeight="1" x14ac:dyDescent="0.45">
      <c r="A212" s="114" t="s">
        <v>534</v>
      </c>
      <c r="B212" s="114"/>
      <c r="C212" s="114"/>
      <c r="D212" s="114"/>
      <c r="E212" s="114"/>
      <c r="F212" s="114"/>
      <c r="G212" s="114"/>
      <c r="H212" s="114"/>
      <c r="I212" s="115"/>
      <c r="J212" s="115"/>
      <c r="K212" s="115"/>
      <c r="L212" s="116"/>
      <c r="M212" s="116"/>
      <c r="N212" s="179" t="s">
        <v>535</v>
      </c>
      <c r="O212" s="179"/>
      <c r="P212" s="169"/>
    </row>
    <row r="213" spans="1:24" ht="25.5" customHeight="1" x14ac:dyDescent="0.45">
      <c r="A213" s="117"/>
      <c r="B213" s="117"/>
      <c r="C213" s="117"/>
      <c r="D213" s="118"/>
      <c r="E213" s="119"/>
      <c r="F213" s="119"/>
      <c r="G213" s="119"/>
      <c r="H213" s="119"/>
      <c r="I213" s="119"/>
      <c r="J213" s="119"/>
      <c r="K213" s="120"/>
      <c r="L213" s="119"/>
      <c r="M213" s="119"/>
      <c r="N213" s="34"/>
      <c r="O213" s="34"/>
      <c r="P213" s="34"/>
    </row>
    <row r="214" spans="1:24" ht="30" customHeight="1" x14ac:dyDescent="0.4">
      <c r="A214" s="121" t="s">
        <v>525</v>
      </c>
      <c r="B214" s="96"/>
      <c r="C214" s="96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1:24" ht="34.5" customHeight="1" x14ac:dyDescent="0.4">
      <c r="A215" s="121" t="s">
        <v>426</v>
      </c>
      <c r="B215" s="96"/>
      <c r="C215" s="96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1:24" s="106" customFormat="1" ht="35.25" customHeight="1" x14ac:dyDescent="0.5">
      <c r="A216" s="104"/>
      <c r="B216" s="104"/>
      <c r="C216" s="104"/>
      <c r="D216" s="104"/>
      <c r="E216" s="104"/>
      <c r="F216" s="104"/>
      <c r="G216" s="104"/>
      <c r="H216" s="104"/>
      <c r="I216" s="105"/>
      <c r="J216" s="105"/>
      <c r="K216" s="105"/>
      <c r="M216" s="189"/>
      <c r="N216" s="189"/>
      <c r="O216" s="189"/>
      <c r="P216" s="89"/>
      <c r="Q216" s="107"/>
      <c r="R216" s="107"/>
      <c r="S216" s="107"/>
      <c r="T216" s="107"/>
      <c r="U216" s="107"/>
      <c r="V216" s="107"/>
      <c r="W216" s="108"/>
      <c r="X216" s="109"/>
    </row>
    <row r="217" spans="1:24" ht="24" customHeight="1" x14ac:dyDescent="0.25"/>
    <row r="218" spans="1:24" ht="23.25" customHeight="1" x14ac:dyDescent="0.25"/>
    <row r="219" spans="1:24" ht="22.5" customHeight="1" x14ac:dyDescent="0.25"/>
  </sheetData>
  <mergeCells count="23">
    <mergeCell ref="M216:O216"/>
    <mergeCell ref="I16:N16"/>
    <mergeCell ref="H17:H18"/>
    <mergeCell ref="I17:I18"/>
    <mergeCell ref="J17:J18"/>
    <mergeCell ref="O16:O18"/>
    <mergeCell ref="N212:O212"/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</mergeCells>
  <phoneticPr fontId="3" type="noConversion"/>
  <printOptions horizontalCentered="1"/>
  <pageMargins left="0" right="0" top="0.78740157480314965" bottom="0.51181102362204722" header="0.59055118110236227" footer="0.19685039370078741"/>
  <pageSetup paperSize="9" scale="45" fitToHeight="100" orientation="landscape" verticalDpi="300" r:id="rId1"/>
  <headerFooter scaleWithDoc="0" alignWithMargins="0">
    <oddFooter>&amp;R&amp;9Сторінка &amp;P</oddFooter>
  </headerFooter>
  <rowBreaks count="1" manualBreakCount="1">
    <brk id="2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2020-09-25T12:29:37Z</cp:lastPrinted>
  <dcterms:created xsi:type="dcterms:W3CDTF">2014-01-17T10:52:16Z</dcterms:created>
  <dcterms:modified xsi:type="dcterms:W3CDTF">2020-09-25T12:31:43Z</dcterms:modified>
</cp:coreProperties>
</file>