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Червень\бюджет\СМР\Доопрацьоване\"/>
    </mc:Choice>
  </mc:AlternateContent>
  <bookViews>
    <workbookView xWindow="0" yWindow="0" windowWidth="19200" windowHeight="11460" tabRatio="495"/>
  </bookViews>
  <sheets>
    <sheet name="дод 3" sheetId="1" r:id="rId1"/>
    <sheet name="дод 4" sheetId="3" r:id="rId2"/>
  </sheets>
  <definedNames>
    <definedName name="_xlnm.Print_Titles" localSheetId="0">'дод 3'!$15:$17</definedName>
    <definedName name="_xlnm.Print_Titles" localSheetId="1">'дод 4'!$16:$18</definedName>
    <definedName name="_xlnm.Print_Area" localSheetId="0">'дод 3'!$A$1:$P$261</definedName>
    <definedName name="_xlnm.Print_Area" localSheetId="1">'дод 4'!$A$1:$O$201</definedName>
  </definedNames>
  <calcPr calcId="162913"/>
</workbook>
</file>

<file path=xl/calcChain.xml><?xml version="1.0" encoding="utf-8"?>
<calcChain xmlns="http://schemas.openxmlformats.org/spreadsheetml/2006/main">
  <c r="O190" i="3" l="1"/>
  <c r="N190" i="3"/>
  <c r="M190" i="3"/>
  <c r="L190" i="3"/>
  <c r="K190" i="3"/>
  <c r="J190" i="3"/>
  <c r="I190" i="3"/>
  <c r="H190" i="3"/>
  <c r="G190" i="3"/>
  <c r="F190" i="3"/>
  <c r="E190" i="3"/>
  <c r="D190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P59" i="1"/>
  <c r="O59" i="1"/>
  <c r="N59" i="1"/>
  <c r="M59" i="1"/>
  <c r="L59" i="1"/>
  <c r="K59" i="1"/>
  <c r="J59" i="1"/>
  <c r="I59" i="1"/>
  <c r="H59" i="1"/>
  <c r="G59" i="1"/>
  <c r="F59" i="1"/>
  <c r="E59" i="1"/>
  <c r="J96" i="1"/>
  <c r="E96" i="1"/>
  <c r="P96" i="1" s="1"/>
  <c r="F109" i="1" l="1"/>
  <c r="G81" i="1" l="1"/>
  <c r="G80" i="1"/>
  <c r="O154" i="3" l="1"/>
  <c r="O151" i="3" s="1"/>
  <c r="O125" i="3" s="1"/>
  <c r="O193" i="3" s="1"/>
  <c r="N154" i="3"/>
  <c r="N151" i="3" s="1"/>
  <c r="N125" i="3" s="1"/>
  <c r="N193" i="3" s="1"/>
  <c r="M154" i="3"/>
  <c r="M151" i="3" s="1"/>
  <c r="M125" i="3" s="1"/>
  <c r="M193" i="3" s="1"/>
  <c r="L154" i="3"/>
  <c r="L151" i="3" s="1"/>
  <c r="L125" i="3" s="1"/>
  <c r="L193" i="3" s="1"/>
  <c r="K154" i="3"/>
  <c r="K151" i="3" s="1"/>
  <c r="K125" i="3" s="1"/>
  <c r="K193" i="3" s="1"/>
  <c r="J154" i="3"/>
  <c r="J151" i="3" s="1"/>
  <c r="J125" i="3" s="1"/>
  <c r="J193" i="3" s="1"/>
  <c r="I154" i="3"/>
  <c r="I151" i="3" s="1"/>
  <c r="I125" i="3" s="1"/>
  <c r="I193" i="3" s="1"/>
  <c r="H154" i="3"/>
  <c r="H151" i="3" s="1"/>
  <c r="H125" i="3" s="1"/>
  <c r="H193" i="3" s="1"/>
  <c r="G154" i="3"/>
  <c r="G151" i="3" s="1"/>
  <c r="G125" i="3" s="1"/>
  <c r="G193" i="3" s="1"/>
  <c r="F154" i="3"/>
  <c r="F151" i="3" s="1"/>
  <c r="F125" i="3" s="1"/>
  <c r="F193" i="3" s="1"/>
  <c r="E154" i="3"/>
  <c r="E151" i="3" s="1"/>
  <c r="E125" i="3" s="1"/>
  <c r="E193" i="3" s="1"/>
  <c r="D154" i="3"/>
  <c r="D151" i="3" s="1"/>
  <c r="D125" i="3" s="1"/>
  <c r="D193" i="3" s="1"/>
  <c r="P250" i="1"/>
  <c r="O250" i="1"/>
  <c r="N250" i="1"/>
  <c r="M250" i="1"/>
  <c r="L250" i="1"/>
  <c r="J250" i="1"/>
  <c r="I250" i="1"/>
  <c r="H250" i="1"/>
  <c r="G250" i="1"/>
  <c r="F250" i="1"/>
  <c r="E250" i="1"/>
  <c r="F183" i="1" l="1"/>
  <c r="P105" i="1" l="1"/>
  <c r="O105" i="1"/>
  <c r="N105" i="1"/>
  <c r="M105" i="1"/>
  <c r="L105" i="1"/>
  <c r="K105" i="1"/>
  <c r="K250" i="1" s="1"/>
  <c r="J105" i="1"/>
  <c r="I105" i="1"/>
  <c r="H105" i="1"/>
  <c r="G105" i="1"/>
  <c r="F105" i="1"/>
  <c r="E105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F184" i="1"/>
  <c r="F80" i="1"/>
  <c r="O214" i="1"/>
  <c r="N188" i="3" l="1"/>
  <c r="M188" i="3"/>
  <c r="L188" i="3"/>
  <c r="K188" i="3"/>
  <c r="J188" i="3"/>
  <c r="H188" i="3"/>
  <c r="G188" i="3"/>
  <c r="F188" i="3"/>
  <c r="N58" i="1"/>
  <c r="M58" i="1"/>
  <c r="I58" i="1"/>
  <c r="N184" i="3"/>
  <c r="N182" i="3" s="1"/>
  <c r="M184" i="3"/>
  <c r="M182" i="3" s="1"/>
  <c r="L184" i="3"/>
  <c r="L182" i="3" s="1"/>
  <c r="K184" i="3"/>
  <c r="K182" i="3" s="1"/>
  <c r="J184" i="3"/>
  <c r="J182" i="3" s="1"/>
  <c r="H184" i="3"/>
  <c r="H182" i="3" s="1"/>
  <c r="G184" i="3"/>
  <c r="G182" i="3" s="1"/>
  <c r="F184" i="3"/>
  <c r="F182" i="3" s="1"/>
  <c r="E184" i="3"/>
  <c r="E182" i="3" s="1"/>
  <c r="M187" i="3"/>
  <c r="L187" i="3"/>
  <c r="K187" i="3"/>
  <c r="H187" i="3"/>
  <c r="G187" i="3"/>
  <c r="F187" i="3"/>
  <c r="E187" i="3"/>
  <c r="J95" i="1"/>
  <c r="I184" i="3" s="1"/>
  <c r="I182" i="3" s="1"/>
  <c r="E95" i="1"/>
  <c r="P95" i="1" s="1"/>
  <c r="O184" i="3" s="1"/>
  <c r="O182" i="3" s="1"/>
  <c r="J97" i="1"/>
  <c r="E97" i="1"/>
  <c r="H80" i="1"/>
  <c r="F81" i="1"/>
  <c r="K214" i="1"/>
  <c r="F56" i="1"/>
  <c r="E188" i="3" s="1"/>
  <c r="O183" i="1"/>
  <c r="K183" i="1"/>
  <c r="F153" i="1"/>
  <c r="O107" i="1"/>
  <c r="K107" i="1"/>
  <c r="F107" i="1"/>
  <c r="O69" i="1"/>
  <c r="K69" i="1"/>
  <c r="F69" i="1"/>
  <c r="F36" i="1"/>
  <c r="O35" i="1"/>
  <c r="K35" i="1"/>
  <c r="F30" i="1"/>
  <c r="F26" i="1"/>
  <c r="P97" i="1" l="1"/>
  <c r="D184" i="3"/>
  <c r="D182" i="3" s="1"/>
  <c r="E244" i="1"/>
  <c r="F239" i="1"/>
  <c r="O213" i="1"/>
  <c r="K213" i="1"/>
  <c r="O208" i="1"/>
  <c r="K208" i="1"/>
  <c r="O186" i="1"/>
  <c r="K186" i="1"/>
  <c r="I194" i="1"/>
  <c r="F194" i="1"/>
  <c r="O185" i="1"/>
  <c r="K185" i="1"/>
  <c r="O179" i="1"/>
  <c r="K179" i="1"/>
  <c r="I179" i="1"/>
  <c r="O178" i="1"/>
  <c r="K178" i="1"/>
  <c r="O122" i="1"/>
  <c r="K122" i="1"/>
  <c r="O90" i="1"/>
  <c r="K90" i="1"/>
  <c r="O93" i="1"/>
  <c r="K93" i="1"/>
  <c r="O67" i="1"/>
  <c r="K67" i="1"/>
  <c r="F35" i="1"/>
  <c r="O30" i="1"/>
  <c r="K30" i="1"/>
  <c r="H30" i="1"/>
  <c r="G30" i="1"/>
  <c r="F22" i="1"/>
  <c r="H166" i="1"/>
  <c r="F166" i="1"/>
  <c r="H165" i="1"/>
  <c r="F165" i="1"/>
  <c r="F111" i="1"/>
  <c r="H89" i="1"/>
  <c r="F89" i="1"/>
  <c r="H83" i="1"/>
  <c r="F83" i="1"/>
  <c r="H82" i="1"/>
  <c r="F82" i="1"/>
  <c r="H79" i="1"/>
  <c r="F79" i="1"/>
  <c r="H76" i="1"/>
  <c r="F76" i="1"/>
  <c r="H69" i="1"/>
  <c r="H67" i="1"/>
  <c r="F67" i="1"/>
  <c r="H53" i="1"/>
  <c r="F53" i="1"/>
  <c r="H51" i="1"/>
  <c r="F51" i="1"/>
  <c r="F38" i="1"/>
  <c r="H37" i="1"/>
  <c r="F37" i="1"/>
  <c r="H35" i="1"/>
  <c r="H21" i="1"/>
  <c r="F21" i="1"/>
  <c r="O217" i="1"/>
  <c r="K217" i="1"/>
  <c r="O195" i="1"/>
  <c r="K195" i="1"/>
  <c r="F169" i="1"/>
  <c r="O121" i="1"/>
  <c r="K121" i="1"/>
  <c r="F121" i="1"/>
  <c r="F87" i="1"/>
  <c r="F49" i="1"/>
  <c r="F47" i="1"/>
  <c r="O46" i="1"/>
  <c r="K46" i="1"/>
  <c r="O44" i="1"/>
  <c r="K44" i="1"/>
  <c r="F44" i="1"/>
  <c r="F34" i="1"/>
  <c r="F33" i="1"/>
  <c r="F32" i="1"/>
  <c r="F27" i="1"/>
  <c r="O224" i="1"/>
  <c r="L224" i="1"/>
  <c r="F177" i="1"/>
  <c r="F179" i="1"/>
  <c r="H58" i="1" l="1"/>
  <c r="M131" i="3"/>
  <c r="L131" i="3"/>
  <c r="K131" i="3"/>
  <c r="H131" i="3"/>
  <c r="G131" i="3"/>
  <c r="F131" i="3"/>
  <c r="E131" i="3"/>
  <c r="M134" i="3"/>
  <c r="L134" i="3"/>
  <c r="K134" i="3"/>
  <c r="H134" i="3"/>
  <c r="G134" i="3"/>
  <c r="F134" i="3"/>
  <c r="E134" i="3"/>
  <c r="N133" i="3" l="1"/>
  <c r="M133" i="3"/>
  <c r="L133" i="3"/>
  <c r="K133" i="3"/>
  <c r="J133" i="3"/>
  <c r="H133" i="3"/>
  <c r="G133" i="3"/>
  <c r="F133" i="3"/>
  <c r="E133" i="3"/>
  <c r="M132" i="3"/>
  <c r="L132" i="3"/>
  <c r="K132" i="3"/>
  <c r="H132" i="3"/>
  <c r="G132" i="3"/>
  <c r="F132" i="3"/>
  <c r="E132" i="3"/>
  <c r="M135" i="3"/>
  <c r="L135" i="3"/>
  <c r="K135" i="3"/>
  <c r="H135" i="3"/>
  <c r="G135" i="3"/>
  <c r="F135" i="3"/>
  <c r="E135" i="3"/>
  <c r="O79" i="1" l="1"/>
  <c r="K79" i="1"/>
  <c r="O36" i="1" l="1"/>
  <c r="K36" i="1"/>
  <c r="F31" i="1"/>
  <c r="N128" i="1"/>
  <c r="M128" i="1"/>
  <c r="L128" i="1"/>
  <c r="I128" i="1"/>
  <c r="J155" i="1"/>
  <c r="E155" i="1"/>
  <c r="D133" i="3" s="1"/>
  <c r="O152" i="1"/>
  <c r="K152" i="1"/>
  <c r="N100" i="1"/>
  <c r="M100" i="1"/>
  <c r="L100" i="1"/>
  <c r="I100" i="1"/>
  <c r="H100" i="1"/>
  <c r="J122" i="1"/>
  <c r="E122" i="1"/>
  <c r="O113" i="1"/>
  <c r="K113" i="1"/>
  <c r="O111" i="1"/>
  <c r="K111" i="1"/>
  <c r="O83" i="1"/>
  <c r="K83" i="1"/>
  <c r="O76" i="1"/>
  <c r="K76" i="1"/>
  <c r="N19" i="1"/>
  <c r="M19" i="1"/>
  <c r="I19" i="1"/>
  <c r="H19" i="1"/>
  <c r="E40" i="1"/>
  <c r="E39" i="1"/>
  <c r="D134" i="3" s="1"/>
  <c r="J40" i="1"/>
  <c r="P40" i="1" s="1"/>
  <c r="J39" i="1"/>
  <c r="P39" i="1" s="1"/>
  <c r="O37" i="1"/>
  <c r="K37" i="1"/>
  <c r="O21" i="1"/>
  <c r="K21" i="1"/>
  <c r="P122" i="1" l="1"/>
  <c r="P155" i="1"/>
  <c r="O133" i="3" s="1"/>
  <c r="I133" i="3"/>
  <c r="O234" i="1"/>
  <c r="K234" i="1"/>
  <c r="F231" i="1"/>
  <c r="O210" i="1"/>
  <c r="K210" i="1"/>
  <c r="O211" i="1"/>
  <c r="N131" i="3" s="1"/>
  <c r="K211" i="1"/>
  <c r="J131" i="3" s="1"/>
  <c r="H183" i="1"/>
  <c r="N135" i="3"/>
  <c r="J135" i="3"/>
  <c r="G166" i="1"/>
  <c r="G168" i="1"/>
  <c r="F168" i="1"/>
  <c r="F93" i="1"/>
  <c r="E125" i="1" l="1"/>
  <c r="J125" i="1"/>
  <c r="P125" i="1" l="1"/>
  <c r="J218" i="1"/>
  <c r="P218" i="1" l="1"/>
  <c r="N147" i="3"/>
  <c r="M147" i="3"/>
  <c r="L147" i="3"/>
  <c r="K147" i="3"/>
  <c r="J147" i="3"/>
  <c r="H147" i="3"/>
  <c r="G147" i="3"/>
  <c r="F147" i="3"/>
  <c r="E147" i="3"/>
  <c r="N140" i="3"/>
  <c r="M140" i="3"/>
  <c r="L140" i="3"/>
  <c r="K140" i="3"/>
  <c r="J140" i="3"/>
  <c r="H140" i="3"/>
  <c r="G140" i="3"/>
  <c r="F140" i="3"/>
  <c r="E140" i="3"/>
  <c r="N100" i="3"/>
  <c r="M100" i="3"/>
  <c r="L100" i="3"/>
  <c r="K100" i="3"/>
  <c r="J100" i="3"/>
  <c r="H100" i="3"/>
  <c r="G100" i="3"/>
  <c r="F100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H90" i="3"/>
  <c r="G90" i="3"/>
  <c r="F90" i="3"/>
  <c r="E90" i="3"/>
  <c r="N81" i="3"/>
  <c r="M81" i="3"/>
  <c r="L81" i="3"/>
  <c r="K81" i="3"/>
  <c r="J81" i="3"/>
  <c r="H81" i="3"/>
  <c r="G81" i="3"/>
  <c r="F81" i="3"/>
  <c r="E81" i="3"/>
  <c r="N79" i="3"/>
  <c r="M79" i="3"/>
  <c r="L79" i="3"/>
  <c r="K79" i="3"/>
  <c r="J79" i="3"/>
  <c r="H79" i="3"/>
  <c r="G79" i="3"/>
  <c r="F79" i="3"/>
  <c r="E79" i="3"/>
  <c r="N75" i="3"/>
  <c r="M75" i="3"/>
  <c r="L75" i="3"/>
  <c r="K75" i="3"/>
  <c r="J75" i="3"/>
  <c r="H75" i="3"/>
  <c r="G75" i="3"/>
  <c r="F75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4" i="3"/>
  <c r="M64" i="3"/>
  <c r="L64" i="3"/>
  <c r="K64" i="3"/>
  <c r="J64" i="3"/>
  <c r="H64" i="3"/>
  <c r="G64" i="3"/>
  <c r="F64" i="3"/>
  <c r="E64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N56" i="3"/>
  <c r="M56" i="3"/>
  <c r="L56" i="3"/>
  <c r="K56" i="3"/>
  <c r="J56" i="3"/>
  <c r="H56" i="3"/>
  <c r="G56" i="3"/>
  <c r="F56" i="3"/>
  <c r="E56" i="3"/>
  <c r="N49" i="3"/>
  <c r="M49" i="3"/>
  <c r="L49" i="3"/>
  <c r="K49" i="3"/>
  <c r="J49" i="3"/>
  <c r="H49" i="3"/>
  <c r="G49" i="3"/>
  <c r="F49" i="3"/>
  <c r="E49" i="3"/>
  <c r="N44" i="3"/>
  <c r="M44" i="3"/>
  <c r="L44" i="3"/>
  <c r="K44" i="3"/>
  <c r="J44" i="3"/>
  <c r="H44" i="3"/>
  <c r="G44" i="3"/>
  <c r="F44" i="3"/>
  <c r="E44" i="3"/>
  <c r="N40" i="3"/>
  <c r="M40" i="3"/>
  <c r="L40" i="3"/>
  <c r="K40" i="3"/>
  <c r="J40" i="3"/>
  <c r="H40" i="3"/>
  <c r="G40" i="3"/>
  <c r="F40" i="3"/>
  <c r="E40" i="3"/>
  <c r="N39" i="3"/>
  <c r="M39" i="3"/>
  <c r="L39" i="3"/>
  <c r="K39" i="3"/>
  <c r="J39" i="3"/>
  <c r="H39" i="3"/>
  <c r="G39" i="3"/>
  <c r="F39" i="3"/>
  <c r="E39" i="3"/>
  <c r="N37" i="3"/>
  <c r="M37" i="3"/>
  <c r="M28" i="3" s="1"/>
  <c r="L37" i="3"/>
  <c r="K37" i="3"/>
  <c r="K28" i="3" s="1"/>
  <c r="J37" i="3"/>
  <c r="H37" i="3"/>
  <c r="H28" i="3" s="1"/>
  <c r="G37" i="3"/>
  <c r="F37" i="3"/>
  <c r="F28" i="3" s="1"/>
  <c r="N36" i="3"/>
  <c r="M36" i="3"/>
  <c r="L36" i="3"/>
  <c r="K36" i="3"/>
  <c r="J36" i="3"/>
  <c r="H36" i="3"/>
  <c r="G36" i="3"/>
  <c r="F36" i="3"/>
  <c r="E36" i="3"/>
  <c r="N35" i="3"/>
  <c r="M35" i="3"/>
  <c r="L35" i="3"/>
  <c r="K35" i="3"/>
  <c r="J35" i="3"/>
  <c r="H35" i="3"/>
  <c r="G35" i="3"/>
  <c r="F35" i="3"/>
  <c r="E35" i="3"/>
  <c r="N34" i="3"/>
  <c r="N26" i="3" s="1"/>
  <c r="M34" i="3"/>
  <c r="M26" i="3" s="1"/>
  <c r="L34" i="3"/>
  <c r="L26" i="3" s="1"/>
  <c r="K34" i="3"/>
  <c r="K26" i="3" s="1"/>
  <c r="J34" i="3"/>
  <c r="J26" i="3" s="1"/>
  <c r="H34" i="3"/>
  <c r="H26" i="3" s="1"/>
  <c r="G34" i="3"/>
  <c r="G26" i="3" s="1"/>
  <c r="F34" i="3"/>
  <c r="F26" i="3" s="1"/>
  <c r="E34" i="3"/>
  <c r="E26" i="3" s="1"/>
  <c r="N33" i="3"/>
  <c r="M33" i="3"/>
  <c r="L33" i="3"/>
  <c r="K33" i="3"/>
  <c r="J33" i="3"/>
  <c r="H33" i="3"/>
  <c r="G33" i="3"/>
  <c r="F33" i="3"/>
  <c r="E33" i="3"/>
  <c r="N32" i="3"/>
  <c r="N24" i="3" s="1"/>
  <c r="N191" i="3" s="1"/>
  <c r="M32" i="3"/>
  <c r="M24" i="3" s="1"/>
  <c r="M191" i="3" s="1"/>
  <c r="L32" i="3"/>
  <c r="L24" i="3" s="1"/>
  <c r="L191" i="3" s="1"/>
  <c r="K32" i="3"/>
  <c r="K24" i="3" s="1"/>
  <c r="K191" i="3" s="1"/>
  <c r="J32" i="3"/>
  <c r="J24" i="3" s="1"/>
  <c r="J191" i="3" s="1"/>
  <c r="H32" i="3"/>
  <c r="H24" i="3" s="1"/>
  <c r="H191" i="3" s="1"/>
  <c r="G32" i="3"/>
  <c r="G24" i="3" s="1"/>
  <c r="G191" i="3" s="1"/>
  <c r="F32" i="3"/>
  <c r="F24" i="3" s="1"/>
  <c r="F191" i="3" s="1"/>
  <c r="E32" i="3"/>
  <c r="E24" i="3" s="1"/>
  <c r="E191" i="3" s="1"/>
  <c r="N30" i="3"/>
  <c r="N27" i="3" s="1"/>
  <c r="M30" i="3"/>
  <c r="M27" i="3" s="1"/>
  <c r="L30" i="3"/>
  <c r="L27" i="3" s="1"/>
  <c r="K30" i="3"/>
  <c r="K27" i="3" s="1"/>
  <c r="J30" i="3"/>
  <c r="J27" i="3" s="1"/>
  <c r="H30" i="3"/>
  <c r="G30" i="3"/>
  <c r="F30" i="3"/>
  <c r="E30" i="3"/>
  <c r="O64" i="1"/>
  <c r="N64" i="1"/>
  <c r="M64" i="1"/>
  <c r="L64" i="1"/>
  <c r="K64" i="1"/>
  <c r="I64" i="1"/>
  <c r="H64" i="1"/>
  <c r="G64" i="1"/>
  <c r="F64" i="1"/>
  <c r="O63" i="1"/>
  <c r="N63" i="1"/>
  <c r="M63" i="1"/>
  <c r="L63" i="1"/>
  <c r="K63" i="1"/>
  <c r="I63" i="1"/>
  <c r="H63" i="1"/>
  <c r="G63" i="1"/>
  <c r="F63" i="1"/>
  <c r="O62" i="1"/>
  <c r="N62" i="1"/>
  <c r="M62" i="1"/>
  <c r="L62" i="1"/>
  <c r="K62" i="1"/>
  <c r="I62" i="1"/>
  <c r="H62" i="1"/>
  <c r="G62" i="1"/>
  <c r="F62" i="1"/>
  <c r="O61" i="1"/>
  <c r="N61" i="1"/>
  <c r="M61" i="1"/>
  <c r="L61" i="1"/>
  <c r="K61" i="1"/>
  <c r="I61" i="1"/>
  <c r="H61" i="1"/>
  <c r="G61" i="1"/>
  <c r="F61" i="1"/>
  <c r="O60" i="1"/>
  <c r="N60" i="1"/>
  <c r="M60" i="1"/>
  <c r="L60" i="1"/>
  <c r="K60" i="1"/>
  <c r="I60" i="1"/>
  <c r="H60" i="1"/>
  <c r="G60" i="1"/>
  <c r="F60" i="1"/>
  <c r="J73" i="1"/>
  <c r="E73" i="1"/>
  <c r="J72" i="1"/>
  <c r="J63" i="1" s="1"/>
  <c r="E72" i="1"/>
  <c r="J71" i="1"/>
  <c r="I33" i="3" s="1"/>
  <c r="E71" i="1"/>
  <c r="J70" i="1"/>
  <c r="J61" i="1" s="1"/>
  <c r="E70" i="1"/>
  <c r="O174" i="1"/>
  <c r="N174" i="1"/>
  <c r="M174" i="1"/>
  <c r="L174" i="1"/>
  <c r="K174" i="1"/>
  <c r="I174" i="1"/>
  <c r="H174" i="1"/>
  <c r="G174" i="1"/>
  <c r="F174" i="1"/>
  <c r="O101" i="1"/>
  <c r="N101" i="1"/>
  <c r="M101" i="1"/>
  <c r="L101" i="1"/>
  <c r="K101" i="1"/>
  <c r="I101" i="1"/>
  <c r="H101" i="1"/>
  <c r="G101" i="1"/>
  <c r="F101" i="1"/>
  <c r="E25" i="3" l="1"/>
  <c r="G25" i="3"/>
  <c r="F25" i="3"/>
  <c r="H25" i="3"/>
  <c r="K25" i="3"/>
  <c r="M25" i="3"/>
  <c r="E27" i="3"/>
  <c r="G27" i="3"/>
  <c r="F27" i="3"/>
  <c r="H27" i="3"/>
  <c r="I32" i="3"/>
  <c r="I24" i="3" s="1"/>
  <c r="I191" i="3" s="1"/>
  <c r="I34" i="3"/>
  <c r="I26" i="3" s="1"/>
  <c r="I35" i="3"/>
  <c r="J25" i="3"/>
  <c r="L25" i="3"/>
  <c r="N25" i="3"/>
  <c r="G28" i="3"/>
  <c r="J28" i="3"/>
  <c r="L28" i="3"/>
  <c r="N28" i="3"/>
  <c r="P70" i="1"/>
  <c r="D32" i="3"/>
  <c r="D24" i="3" s="1"/>
  <c r="D191" i="3" s="1"/>
  <c r="P71" i="1"/>
  <c r="D33" i="3"/>
  <c r="P72" i="1"/>
  <c r="D34" i="3"/>
  <c r="D26" i="3" s="1"/>
  <c r="P73" i="1"/>
  <c r="O35" i="3" s="1"/>
  <c r="D35" i="3"/>
  <c r="E61" i="1"/>
  <c r="E63" i="1"/>
  <c r="N247" i="1"/>
  <c r="L247" i="1"/>
  <c r="I247" i="1"/>
  <c r="G247" i="1"/>
  <c r="P63" i="1" l="1"/>
  <c r="O34" i="3"/>
  <c r="O26" i="3" s="1"/>
  <c r="O33" i="3"/>
  <c r="P61" i="1"/>
  <c r="O32" i="3"/>
  <c r="O24" i="3" s="1"/>
  <c r="O191" i="3" s="1"/>
  <c r="F247" i="1"/>
  <c r="H247" i="1"/>
  <c r="K247" i="1"/>
  <c r="M247" i="1"/>
  <c r="O247" i="1"/>
  <c r="O175" i="1"/>
  <c r="N175" i="1"/>
  <c r="M175" i="1"/>
  <c r="L175" i="1"/>
  <c r="K175" i="1"/>
  <c r="I175" i="1"/>
  <c r="H175" i="1"/>
  <c r="G175" i="1"/>
  <c r="F175" i="1"/>
  <c r="O103" i="1" l="1"/>
  <c r="N103" i="1"/>
  <c r="M103" i="1"/>
  <c r="L103" i="1"/>
  <c r="K103" i="1"/>
  <c r="I103" i="1"/>
  <c r="H103" i="1"/>
  <c r="G103" i="1"/>
  <c r="F103" i="1"/>
  <c r="O102" i="1"/>
  <c r="N102" i="1"/>
  <c r="M102" i="1"/>
  <c r="L102" i="1"/>
  <c r="K102" i="1"/>
  <c r="I102" i="1"/>
  <c r="H102" i="1"/>
  <c r="G102" i="1"/>
  <c r="O65" i="1"/>
  <c r="N65" i="1"/>
  <c r="M65" i="1"/>
  <c r="L65" i="1"/>
  <c r="K65" i="1"/>
  <c r="I65" i="1"/>
  <c r="H65" i="1"/>
  <c r="G65" i="1"/>
  <c r="O248" i="1"/>
  <c r="N248" i="1"/>
  <c r="M248" i="1"/>
  <c r="L248" i="1"/>
  <c r="K248" i="1"/>
  <c r="I248" i="1"/>
  <c r="H248" i="1"/>
  <c r="G248" i="1"/>
  <c r="F248" i="1"/>
  <c r="O129" i="1" l="1"/>
  <c r="N129" i="1"/>
  <c r="M129" i="1"/>
  <c r="L129" i="1"/>
  <c r="K129" i="1"/>
  <c r="I129" i="1"/>
  <c r="H129" i="1"/>
  <c r="G129" i="1"/>
  <c r="O104" i="1"/>
  <c r="N104" i="1"/>
  <c r="M104" i="1"/>
  <c r="L104" i="1"/>
  <c r="K104" i="1"/>
  <c r="I104" i="1"/>
  <c r="H104" i="1"/>
  <c r="G104" i="1"/>
  <c r="F104" i="1"/>
  <c r="J110" i="1"/>
  <c r="E110" i="1"/>
  <c r="J109" i="1"/>
  <c r="I57" i="3" s="1"/>
  <c r="J108" i="1"/>
  <c r="I56" i="3" s="1"/>
  <c r="E108" i="1"/>
  <c r="D56" i="3" s="1"/>
  <c r="J114" i="1"/>
  <c r="I62" i="3" s="1"/>
  <c r="E114" i="1"/>
  <c r="D62" i="3" s="1"/>
  <c r="E112" i="1"/>
  <c r="F102" i="1" l="1"/>
  <c r="E57" i="3"/>
  <c r="P112" i="1"/>
  <c r="O60" i="3" s="1"/>
  <c r="D60" i="3"/>
  <c r="J103" i="1"/>
  <c r="I58" i="3"/>
  <c r="E103" i="1"/>
  <c r="D58" i="3"/>
  <c r="E101" i="1"/>
  <c r="J101" i="1"/>
  <c r="E109" i="1"/>
  <c r="P114" i="1"/>
  <c r="O62" i="3" s="1"/>
  <c r="P108" i="1"/>
  <c r="O56" i="3" s="1"/>
  <c r="P110" i="1"/>
  <c r="P103" i="1" l="1"/>
  <c r="O58" i="3"/>
  <c r="P109" i="1"/>
  <c r="O57" i="3" s="1"/>
  <c r="D57" i="3"/>
  <c r="P101" i="1"/>
  <c r="N142" i="3"/>
  <c r="N124" i="3" s="1"/>
  <c r="M142" i="3"/>
  <c r="M124" i="3" s="1"/>
  <c r="L142" i="3"/>
  <c r="L124" i="3" s="1"/>
  <c r="K142" i="3"/>
  <c r="K124" i="3" s="1"/>
  <c r="J142" i="3"/>
  <c r="J124" i="3" s="1"/>
  <c r="H142" i="3"/>
  <c r="H124" i="3" s="1"/>
  <c r="G142" i="3"/>
  <c r="G124" i="3" s="1"/>
  <c r="F142" i="3"/>
  <c r="F124" i="3" s="1"/>
  <c r="E142" i="3"/>
  <c r="E124" i="3" s="1"/>
  <c r="N129" i="3"/>
  <c r="N123" i="3" s="1"/>
  <c r="M129" i="3"/>
  <c r="M123" i="3" s="1"/>
  <c r="L129" i="3"/>
  <c r="L123" i="3" s="1"/>
  <c r="K129" i="3"/>
  <c r="K123" i="3" s="1"/>
  <c r="J129" i="3"/>
  <c r="J123" i="3" s="1"/>
  <c r="H129" i="3"/>
  <c r="H123" i="3" s="1"/>
  <c r="G129" i="3"/>
  <c r="G123" i="3" s="1"/>
  <c r="F129" i="3"/>
  <c r="F123" i="3" s="1"/>
  <c r="E129" i="3"/>
  <c r="E123" i="3" s="1"/>
  <c r="N53" i="3"/>
  <c r="M53" i="3"/>
  <c r="L53" i="3"/>
  <c r="K53" i="3"/>
  <c r="J53" i="3"/>
  <c r="H53" i="3"/>
  <c r="G53" i="3"/>
  <c r="F53" i="3"/>
  <c r="E53" i="3"/>
  <c r="N54" i="3"/>
  <c r="M54" i="3"/>
  <c r="L54" i="3"/>
  <c r="K54" i="3"/>
  <c r="J54" i="3"/>
  <c r="H54" i="3"/>
  <c r="G54" i="3"/>
  <c r="F54" i="3"/>
  <c r="E54" i="3"/>
  <c r="N52" i="3"/>
  <c r="M52" i="3"/>
  <c r="L52" i="3"/>
  <c r="K52" i="3"/>
  <c r="J52" i="3"/>
  <c r="H52" i="3"/>
  <c r="G52" i="3"/>
  <c r="F52" i="3"/>
  <c r="H51" i="3"/>
  <c r="G51" i="3"/>
  <c r="F51" i="3"/>
  <c r="E51" i="3"/>
  <c r="E23" i="3" l="1"/>
  <c r="G23" i="3"/>
  <c r="J23" i="3"/>
  <c r="L23" i="3"/>
  <c r="N23" i="3"/>
  <c r="F23" i="3"/>
  <c r="H23" i="3"/>
  <c r="K23" i="3"/>
  <c r="M23" i="3"/>
  <c r="F71" i="3"/>
  <c r="H71" i="3"/>
  <c r="M71" i="3"/>
  <c r="K71" i="3"/>
  <c r="K51" i="3"/>
  <c r="M51" i="3"/>
  <c r="G71" i="3"/>
  <c r="J71" i="3"/>
  <c r="L71" i="3"/>
  <c r="N71" i="3"/>
  <c r="J51" i="3"/>
  <c r="L51" i="3"/>
  <c r="N51" i="3"/>
  <c r="J193" i="1"/>
  <c r="E193" i="1"/>
  <c r="D147" i="3" s="1"/>
  <c r="J191" i="1"/>
  <c r="J174" i="1" s="1"/>
  <c r="E191" i="1"/>
  <c r="E174" i="1" s="1"/>
  <c r="J154" i="1"/>
  <c r="I100" i="3" s="1"/>
  <c r="F154" i="1"/>
  <c r="J146" i="1"/>
  <c r="I92" i="3" s="1"/>
  <c r="E146" i="1"/>
  <c r="D92" i="3" s="1"/>
  <c r="J144" i="1"/>
  <c r="I90" i="3" s="1"/>
  <c r="E144" i="1"/>
  <c r="D90" i="3" s="1"/>
  <c r="J140" i="1"/>
  <c r="I81" i="3" s="1"/>
  <c r="E140" i="1"/>
  <c r="D81" i="3" s="1"/>
  <c r="J138" i="1"/>
  <c r="I79" i="3" s="1"/>
  <c r="E138" i="1"/>
  <c r="D79" i="3" s="1"/>
  <c r="J134" i="1"/>
  <c r="F134" i="1"/>
  <c r="J119" i="1"/>
  <c r="I67" i="3" s="1"/>
  <c r="E119" i="1"/>
  <c r="D67" i="3" s="1"/>
  <c r="J118" i="1"/>
  <c r="E118" i="1"/>
  <c r="J116" i="1"/>
  <c r="I64" i="3" s="1"/>
  <c r="E116" i="1"/>
  <c r="D64" i="3" s="1"/>
  <c r="J92" i="1"/>
  <c r="E92" i="1"/>
  <c r="J86" i="1"/>
  <c r="E86" i="1"/>
  <c r="J81" i="1"/>
  <c r="I44" i="3" s="1"/>
  <c r="E81" i="1"/>
  <c r="D44" i="3" s="1"/>
  <c r="J78" i="1"/>
  <c r="I40" i="3" s="1"/>
  <c r="E78" i="1"/>
  <c r="D40" i="3" s="1"/>
  <c r="J77" i="1"/>
  <c r="I39" i="3" s="1"/>
  <c r="E77" i="1"/>
  <c r="D39" i="3" s="1"/>
  <c r="J75" i="1"/>
  <c r="F75" i="1"/>
  <c r="J74" i="1"/>
  <c r="E74" i="1"/>
  <c r="F65" i="1" l="1"/>
  <c r="E37" i="3"/>
  <c r="E28" i="3" s="1"/>
  <c r="E134" i="1"/>
  <c r="D75" i="3" s="1"/>
  <c r="E75" i="3"/>
  <c r="E154" i="1"/>
  <c r="P154" i="1" s="1"/>
  <c r="O100" i="3" s="1"/>
  <c r="E100" i="3"/>
  <c r="D100" i="3"/>
  <c r="J129" i="1"/>
  <c r="I75" i="3"/>
  <c r="J175" i="1"/>
  <c r="I147" i="3"/>
  <c r="D36" i="3"/>
  <c r="D49" i="3"/>
  <c r="D25" i="3" s="1"/>
  <c r="E62" i="1"/>
  <c r="D140" i="3"/>
  <c r="E60" i="1"/>
  <c r="E102" i="1"/>
  <c r="D66" i="3"/>
  <c r="I36" i="3"/>
  <c r="J65" i="1"/>
  <c r="I37" i="3"/>
  <c r="I28" i="3" s="1"/>
  <c r="I49" i="3"/>
  <c r="I25" i="3" s="1"/>
  <c r="J62" i="1"/>
  <c r="J60" i="1"/>
  <c r="I140" i="3"/>
  <c r="J102" i="1"/>
  <c r="I66" i="3"/>
  <c r="P193" i="1"/>
  <c r="E175" i="1"/>
  <c r="P191" i="1"/>
  <c r="P174" i="1" s="1"/>
  <c r="E104" i="1"/>
  <c r="J104" i="1"/>
  <c r="E248" i="1"/>
  <c r="J248" i="1"/>
  <c r="E75" i="1"/>
  <c r="F129" i="1"/>
  <c r="P134" i="1"/>
  <c r="O75" i="3" s="1"/>
  <c r="E129" i="1"/>
  <c r="P138" i="1"/>
  <c r="O79" i="3" s="1"/>
  <c r="P140" i="1"/>
  <c r="O81" i="3" s="1"/>
  <c r="P144" i="1"/>
  <c r="O90" i="3" s="1"/>
  <c r="P146" i="1"/>
  <c r="O92" i="3" s="1"/>
  <c r="P116" i="1"/>
  <c r="O64" i="3" s="1"/>
  <c r="P118" i="1"/>
  <c r="P119" i="1"/>
  <c r="O67" i="3" s="1"/>
  <c r="P77" i="1"/>
  <c r="O39" i="3" s="1"/>
  <c r="P78" i="1"/>
  <c r="O40" i="3" s="1"/>
  <c r="P81" i="1"/>
  <c r="O44" i="3" s="1"/>
  <c r="P86" i="1"/>
  <c r="P92" i="1"/>
  <c r="P74" i="1"/>
  <c r="O36" i="3" s="1"/>
  <c r="E247" i="1" l="1"/>
  <c r="P175" i="1"/>
  <c r="O147" i="3"/>
  <c r="P60" i="1"/>
  <c r="O140" i="3"/>
  <c r="P102" i="1"/>
  <c r="O66" i="3"/>
  <c r="J247" i="1"/>
  <c r="O49" i="3"/>
  <c r="O25" i="3" s="1"/>
  <c r="P62" i="1"/>
  <c r="D37" i="3"/>
  <c r="D28" i="3" s="1"/>
  <c r="E65" i="1"/>
  <c r="P75" i="1"/>
  <c r="P248" i="1"/>
  <c r="P104" i="1"/>
  <c r="P129" i="1"/>
  <c r="J68" i="1"/>
  <c r="E68" i="1"/>
  <c r="P247" i="1" l="1"/>
  <c r="I30" i="3"/>
  <c r="I27" i="3" s="1"/>
  <c r="J64" i="1"/>
  <c r="D30" i="3"/>
  <c r="D27" i="3" s="1"/>
  <c r="E64" i="1"/>
  <c r="P65" i="1"/>
  <c r="O37" i="3"/>
  <c r="O28" i="3" s="1"/>
  <c r="P68" i="1"/>
  <c r="C166" i="3"/>
  <c r="N169" i="3"/>
  <c r="N166" i="3" s="1"/>
  <c r="N164" i="3" s="1"/>
  <c r="N192" i="3" s="1"/>
  <c r="M169" i="3"/>
  <c r="M166" i="3" s="1"/>
  <c r="M164" i="3" s="1"/>
  <c r="M192" i="3" s="1"/>
  <c r="L169" i="3"/>
  <c r="L166" i="3" s="1"/>
  <c r="L164" i="3" s="1"/>
  <c r="L192" i="3" s="1"/>
  <c r="K169" i="3"/>
  <c r="K166" i="3" s="1"/>
  <c r="K164" i="3" s="1"/>
  <c r="K192" i="3" s="1"/>
  <c r="J169" i="3"/>
  <c r="J166" i="3" s="1"/>
  <c r="J164" i="3" s="1"/>
  <c r="J192" i="3" s="1"/>
  <c r="H169" i="3"/>
  <c r="H166" i="3" s="1"/>
  <c r="H164" i="3" s="1"/>
  <c r="H192" i="3" s="1"/>
  <c r="G169" i="3"/>
  <c r="G166" i="3" s="1"/>
  <c r="G164" i="3" s="1"/>
  <c r="G192" i="3" s="1"/>
  <c r="F169" i="3"/>
  <c r="F166" i="3" s="1"/>
  <c r="F164" i="3" s="1"/>
  <c r="F192" i="3" s="1"/>
  <c r="E169" i="3"/>
  <c r="E166" i="3" s="1"/>
  <c r="E164" i="3" s="1"/>
  <c r="D52" i="1"/>
  <c r="O20" i="1"/>
  <c r="O249" i="1" s="1"/>
  <c r="N20" i="1"/>
  <c r="N249" i="1" s="1"/>
  <c r="M20" i="1"/>
  <c r="M249" i="1" s="1"/>
  <c r="L20" i="1"/>
  <c r="L249" i="1" s="1"/>
  <c r="K20" i="1"/>
  <c r="K249" i="1" s="1"/>
  <c r="I20" i="1"/>
  <c r="I249" i="1" s="1"/>
  <c r="H20" i="1"/>
  <c r="H249" i="1" s="1"/>
  <c r="G20" i="1"/>
  <c r="G249" i="1" s="1"/>
  <c r="F20" i="1"/>
  <c r="F249" i="1" s="1"/>
  <c r="J52" i="1"/>
  <c r="J20" i="1" s="1"/>
  <c r="J249" i="1" s="1"/>
  <c r="E52" i="1"/>
  <c r="E20" i="1" s="1"/>
  <c r="E249" i="1" l="1"/>
  <c r="P64" i="1"/>
  <c r="O30" i="3"/>
  <c r="O27" i="3" s="1"/>
  <c r="I169" i="3"/>
  <c r="I166" i="3" s="1"/>
  <c r="I164" i="3" s="1"/>
  <c r="P52" i="1"/>
  <c r="D169" i="3"/>
  <c r="D166" i="3" s="1"/>
  <c r="D164" i="3" s="1"/>
  <c r="P20" i="1" l="1"/>
  <c r="P249" i="1" s="1"/>
  <c r="O169" i="3"/>
  <c r="O166" i="3" s="1"/>
  <c r="O164" i="3" s="1"/>
  <c r="E121" i="1" l="1"/>
  <c r="J56" i="1"/>
  <c r="E56" i="1"/>
  <c r="P56" i="1" l="1"/>
  <c r="G21" i="1" l="1"/>
  <c r="G19" i="1" s="1"/>
  <c r="G227" i="1"/>
  <c r="F227" i="1"/>
  <c r="F148" i="1"/>
  <c r="N173" i="1" l="1"/>
  <c r="M173" i="1"/>
  <c r="N136" i="3"/>
  <c r="M136" i="3"/>
  <c r="L136" i="3"/>
  <c r="K136" i="3"/>
  <c r="J136" i="3"/>
  <c r="H136" i="3"/>
  <c r="G136" i="3"/>
  <c r="F136" i="3"/>
  <c r="E136" i="3"/>
  <c r="J187" i="1"/>
  <c r="I136" i="3" s="1"/>
  <c r="E187" i="1"/>
  <c r="D187" i="1"/>
  <c r="C187" i="1"/>
  <c r="B187" i="1"/>
  <c r="P187" i="1" l="1"/>
  <c r="O136" i="3" s="1"/>
  <c r="D136" i="3"/>
  <c r="O182" i="1"/>
  <c r="K182" i="1"/>
  <c r="I182" i="1"/>
  <c r="O180" i="1"/>
  <c r="K180" i="1"/>
  <c r="G130" i="1"/>
  <c r="G128" i="1" s="1"/>
  <c r="F130" i="1"/>
  <c r="F115" i="1" l="1"/>
  <c r="G106" i="1"/>
  <c r="G100" i="1" s="1"/>
  <c r="F106" i="1"/>
  <c r="G238" i="1" l="1"/>
  <c r="F238" i="1"/>
  <c r="G230" i="1"/>
  <c r="F230" i="1"/>
  <c r="G222" i="1"/>
  <c r="F222" i="1"/>
  <c r="N134" i="3"/>
  <c r="J134" i="3"/>
  <c r="G203" i="1"/>
  <c r="F203" i="1"/>
  <c r="F197" i="1"/>
  <c r="H173" i="1"/>
  <c r="G176" i="1"/>
  <c r="G173" i="1" s="1"/>
  <c r="F176" i="1"/>
  <c r="F167" i="1"/>
  <c r="O165" i="1"/>
  <c r="K165" i="1"/>
  <c r="G164" i="1"/>
  <c r="F164" i="1"/>
  <c r="G159" i="1"/>
  <c r="F159" i="1"/>
  <c r="F152" i="1"/>
  <c r="H152" i="1"/>
  <c r="H128" i="1" s="1"/>
  <c r="F142" i="1"/>
  <c r="F132" i="1"/>
  <c r="F117" i="1"/>
  <c r="J90" i="1"/>
  <c r="E90" i="1"/>
  <c r="D90" i="1"/>
  <c r="C90" i="1"/>
  <c r="G66" i="1"/>
  <c r="F66" i="1"/>
  <c r="F58" i="1" s="1"/>
  <c r="P90" i="1" l="1"/>
  <c r="F50" i="1"/>
  <c r="O50" i="1"/>
  <c r="K50" i="1"/>
  <c r="F198" i="1"/>
  <c r="F181" i="1"/>
  <c r="E167" i="3" l="1"/>
  <c r="F167" i="3"/>
  <c r="G167" i="3"/>
  <c r="H167" i="3"/>
  <c r="J167" i="3"/>
  <c r="K167" i="3"/>
  <c r="L167" i="3"/>
  <c r="M167" i="3"/>
  <c r="N167" i="3"/>
  <c r="J197" i="1"/>
  <c r="E197" i="1"/>
  <c r="C197" i="1"/>
  <c r="D197" i="1"/>
  <c r="B197" i="1"/>
  <c r="P197" i="1" l="1"/>
  <c r="F136" i="1"/>
  <c r="F133" i="1"/>
  <c r="E171" i="3" l="1"/>
  <c r="F171" i="3"/>
  <c r="G171" i="3"/>
  <c r="H171" i="3"/>
  <c r="J171" i="3"/>
  <c r="K171" i="3"/>
  <c r="L171" i="3"/>
  <c r="M171" i="3"/>
  <c r="N171" i="3"/>
  <c r="J198" i="1"/>
  <c r="E198" i="1"/>
  <c r="C198" i="1"/>
  <c r="D198" i="1"/>
  <c r="B198" i="1"/>
  <c r="P198" i="1" l="1"/>
  <c r="E144" i="3" l="1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42" i="1"/>
  <c r="E43" i="1"/>
  <c r="D145" i="3" s="1"/>
  <c r="J41" i="1"/>
  <c r="J42" i="1"/>
  <c r="I144" i="3" s="1"/>
  <c r="J43" i="1"/>
  <c r="I145" i="3" s="1"/>
  <c r="C42" i="1"/>
  <c r="D42" i="1"/>
  <c r="D43" i="1"/>
  <c r="B43" i="1"/>
  <c r="B42" i="1"/>
  <c r="P43" i="1" l="1"/>
  <c r="O145" i="3" s="1"/>
  <c r="P42" i="1"/>
  <c r="O144" i="3" s="1"/>
  <c r="D144" i="3"/>
  <c r="O212" i="1" l="1"/>
  <c r="N132" i="3" s="1"/>
  <c r="K212" i="1"/>
  <c r="J132" i="3" s="1"/>
  <c r="O184" i="1" l="1"/>
  <c r="K184" i="1"/>
  <c r="G69" i="1" l="1"/>
  <c r="G67" i="1"/>
  <c r="G58" i="1" s="1"/>
  <c r="F100" i="1" l="1"/>
  <c r="O124" i="1" l="1"/>
  <c r="O100" i="1" s="1"/>
  <c r="O141" i="1"/>
  <c r="K141" i="1"/>
  <c r="K124" i="1"/>
  <c r="K100" i="1" s="1"/>
  <c r="F141" i="1"/>
  <c r="E146" i="3" l="1"/>
  <c r="F146" i="3"/>
  <c r="G146" i="3"/>
  <c r="H146" i="3"/>
  <c r="J146" i="3"/>
  <c r="K146" i="3"/>
  <c r="L146" i="3"/>
  <c r="M146" i="3"/>
  <c r="N146" i="3"/>
  <c r="J192" i="1"/>
  <c r="I146" i="3" s="1"/>
  <c r="E192" i="1"/>
  <c r="D192" i="1"/>
  <c r="B192" i="1"/>
  <c r="P192" i="1" l="1"/>
  <c r="O146" i="3" s="1"/>
  <c r="D146" i="3"/>
  <c r="N137" i="3"/>
  <c r="M137" i="3"/>
  <c r="L137" i="3"/>
  <c r="K137" i="3"/>
  <c r="J137" i="3"/>
  <c r="H137" i="3"/>
  <c r="G137" i="3"/>
  <c r="F137" i="3"/>
  <c r="E137" i="3"/>
  <c r="J123" i="1"/>
  <c r="E123" i="1"/>
  <c r="D123" i="1"/>
  <c r="C123" i="1"/>
  <c r="B123" i="1"/>
  <c r="D215" i="1"/>
  <c r="C215" i="1"/>
  <c r="B215" i="1"/>
  <c r="D188" i="1"/>
  <c r="C188" i="1"/>
  <c r="B188" i="1"/>
  <c r="P123" i="1" l="1"/>
  <c r="N205" i="1"/>
  <c r="M205" i="1"/>
  <c r="L205" i="1"/>
  <c r="I205" i="1"/>
  <c r="H205" i="1"/>
  <c r="J215" i="1"/>
  <c r="E215" i="1"/>
  <c r="J188" i="1"/>
  <c r="E188" i="1"/>
  <c r="D137" i="3" s="1"/>
  <c r="F180" i="1"/>
  <c r="P215" i="1" l="1"/>
  <c r="I137" i="3"/>
  <c r="P188" i="1"/>
  <c r="O137" i="3" s="1"/>
  <c r="O209" i="1" l="1"/>
  <c r="L48" i="1" l="1"/>
  <c r="L19" i="1" s="1"/>
  <c r="N159" i="3" l="1"/>
  <c r="M159" i="3"/>
  <c r="L159" i="3"/>
  <c r="J159" i="3"/>
  <c r="H159" i="3"/>
  <c r="G159" i="3"/>
  <c r="F159" i="3"/>
  <c r="E159" i="3"/>
  <c r="M139" i="3" l="1"/>
  <c r="L139" i="3"/>
  <c r="K139" i="3"/>
  <c r="H139" i="3"/>
  <c r="G139" i="3"/>
  <c r="F139" i="3"/>
  <c r="E139" i="3"/>
  <c r="K229" i="1" l="1"/>
  <c r="L221" i="1"/>
  <c r="L242" i="1" l="1"/>
  <c r="J219" i="1"/>
  <c r="E219" i="1"/>
  <c r="O199" i="1"/>
  <c r="L196" i="1"/>
  <c r="L173" i="1" s="1"/>
  <c r="O190" i="1"/>
  <c r="J190" i="1" s="1"/>
  <c r="K190" i="1"/>
  <c r="E190" i="1"/>
  <c r="O166" i="1"/>
  <c r="K166" i="1"/>
  <c r="K163" i="1" s="1"/>
  <c r="P219" i="1" l="1"/>
  <c r="P190" i="1"/>
  <c r="K159" i="3"/>
  <c r="E98" i="1"/>
  <c r="D188" i="3" s="1"/>
  <c r="J98" i="1"/>
  <c r="I188" i="3" s="1"/>
  <c r="L94" i="1"/>
  <c r="L58" i="1" s="1"/>
  <c r="O89" i="1"/>
  <c r="K89" i="1"/>
  <c r="P98" i="1" l="1"/>
  <c r="O188" i="3" s="1"/>
  <c r="O91" i="1" l="1"/>
  <c r="O58" i="1" s="1"/>
  <c r="K91" i="1"/>
  <c r="K58" i="1" s="1"/>
  <c r="E91" i="1"/>
  <c r="F25" i="1"/>
  <c r="N139" i="3" l="1"/>
  <c r="J139" i="3"/>
  <c r="J91" i="1"/>
  <c r="P91" i="1" s="1"/>
  <c r="J216" i="1" l="1"/>
  <c r="I139" i="3" s="1"/>
  <c r="E216" i="1"/>
  <c r="D139" i="3" s="1"/>
  <c r="P216" i="1" l="1"/>
  <c r="O139" i="3" s="1"/>
  <c r="F149" i="1" l="1"/>
  <c r="K205" i="1"/>
  <c r="G207" i="1"/>
  <c r="G205" i="1" s="1"/>
  <c r="F207" i="1"/>
  <c r="F205" i="1" s="1"/>
  <c r="N162" i="3" l="1"/>
  <c r="N161" i="3" s="1"/>
  <c r="M162" i="3"/>
  <c r="M161" i="3" s="1"/>
  <c r="L162" i="3"/>
  <c r="L161" i="3" s="1"/>
  <c r="K162" i="3"/>
  <c r="K161" i="3" s="1"/>
  <c r="J162" i="3"/>
  <c r="J161" i="3" s="1"/>
  <c r="H162" i="3"/>
  <c r="H161" i="3" s="1"/>
  <c r="G162" i="3"/>
  <c r="G161" i="3" s="1"/>
  <c r="F162" i="3"/>
  <c r="F161" i="3" s="1"/>
  <c r="E162" i="3"/>
  <c r="E161" i="3" s="1"/>
  <c r="J126" i="1"/>
  <c r="I162" i="3" s="1"/>
  <c r="I161" i="3" s="1"/>
  <c r="E126" i="1"/>
  <c r="D162" i="3" s="1"/>
  <c r="D161" i="3" s="1"/>
  <c r="P126" i="1" l="1"/>
  <c r="D132" i="1"/>
  <c r="O162" i="3" l="1"/>
  <c r="O161" i="3" s="1"/>
  <c r="D213" i="1" l="1"/>
  <c r="B213" i="1"/>
  <c r="J213" i="1"/>
  <c r="I134" i="3" s="1"/>
  <c r="P213" i="1" l="1"/>
  <c r="O134" i="3" s="1"/>
  <c r="O19" i="1" l="1"/>
  <c r="K19" i="1"/>
  <c r="F173" i="1" l="1"/>
  <c r="I173" i="1"/>
  <c r="D156" i="1" l="1"/>
  <c r="F160" i="3"/>
  <c r="G160" i="3"/>
  <c r="H160" i="3"/>
  <c r="J160" i="3"/>
  <c r="K160" i="3"/>
  <c r="L160" i="3"/>
  <c r="M160" i="3"/>
  <c r="N160" i="3"/>
  <c r="F121" i="3"/>
  <c r="G121" i="3"/>
  <c r="H121" i="3"/>
  <c r="J121" i="3"/>
  <c r="K121" i="3"/>
  <c r="L121" i="3"/>
  <c r="M121" i="3"/>
  <c r="N121" i="3"/>
  <c r="F20" i="3"/>
  <c r="G20" i="3"/>
  <c r="H20" i="3"/>
  <c r="J20" i="3"/>
  <c r="K20" i="3"/>
  <c r="L20" i="3"/>
  <c r="M20" i="3"/>
  <c r="N20" i="3"/>
  <c r="G237" i="1"/>
  <c r="H237" i="1"/>
  <c r="I237" i="1"/>
  <c r="K237" i="1"/>
  <c r="L237" i="1"/>
  <c r="M237" i="1"/>
  <c r="N237" i="1"/>
  <c r="O237" i="1"/>
  <c r="G229" i="1"/>
  <c r="H229" i="1"/>
  <c r="L229" i="1"/>
  <c r="M229" i="1"/>
  <c r="N229" i="1"/>
  <c r="O229" i="1"/>
  <c r="G221" i="1"/>
  <c r="H221" i="1"/>
  <c r="I221" i="1"/>
  <c r="K221" i="1"/>
  <c r="M221" i="1"/>
  <c r="N221" i="1"/>
  <c r="O221" i="1"/>
  <c r="G163" i="1"/>
  <c r="H163" i="1"/>
  <c r="I163" i="1"/>
  <c r="L163" i="1"/>
  <c r="M163" i="1"/>
  <c r="N163" i="1"/>
  <c r="G158" i="1"/>
  <c r="H158" i="1"/>
  <c r="I158" i="1"/>
  <c r="K158" i="1"/>
  <c r="L158" i="1"/>
  <c r="M158" i="1"/>
  <c r="N158" i="1"/>
  <c r="O158" i="1"/>
  <c r="G99" i="1"/>
  <c r="H99" i="1"/>
  <c r="I99" i="1"/>
  <c r="L99" i="1"/>
  <c r="M99" i="1"/>
  <c r="N99" i="1"/>
  <c r="O200" i="1" l="1"/>
  <c r="N187" i="3" s="1"/>
  <c r="K200" i="1"/>
  <c r="J187" i="3" s="1"/>
  <c r="F232" i="1" l="1"/>
  <c r="I232" i="1"/>
  <c r="I229" i="1" s="1"/>
  <c r="F235" i="1" l="1"/>
  <c r="E160" i="3" s="1"/>
  <c r="O173" i="1"/>
  <c r="K173" i="1"/>
  <c r="F229" i="1" l="1"/>
  <c r="F221" i="1"/>
  <c r="F158" i="1"/>
  <c r="F99" i="1"/>
  <c r="E20" i="3" l="1"/>
  <c r="O163" i="1"/>
  <c r="D200" i="1" l="1"/>
  <c r="F45" i="1" l="1"/>
  <c r="F19" i="1" s="1"/>
  <c r="F243" i="1" l="1"/>
  <c r="F237" i="1" s="1"/>
  <c r="F163" i="1" l="1"/>
  <c r="O99" i="1" l="1"/>
  <c r="K99" i="1"/>
  <c r="E174" i="3"/>
  <c r="F174" i="3"/>
  <c r="G174" i="3"/>
  <c r="H174" i="3"/>
  <c r="J174" i="3"/>
  <c r="K174" i="3"/>
  <c r="L174" i="3"/>
  <c r="M174" i="3"/>
  <c r="N174" i="3"/>
  <c r="J171" i="1"/>
  <c r="E171" i="1"/>
  <c r="C171" i="1"/>
  <c r="D171" i="1"/>
  <c r="B171" i="1"/>
  <c r="P171" i="1" l="1"/>
  <c r="E21" i="3"/>
  <c r="F21" i="3"/>
  <c r="G21" i="3"/>
  <c r="H21" i="3"/>
  <c r="J21" i="3"/>
  <c r="K21" i="3"/>
  <c r="L21" i="3"/>
  <c r="M21" i="3"/>
  <c r="N21" i="3"/>
  <c r="E29" i="3"/>
  <c r="F29" i="3"/>
  <c r="G29" i="3"/>
  <c r="H29" i="3"/>
  <c r="K29" i="3"/>
  <c r="L29" i="3"/>
  <c r="M29" i="3"/>
  <c r="N29" i="3"/>
  <c r="E31" i="3"/>
  <c r="F31" i="3"/>
  <c r="G31" i="3"/>
  <c r="H31" i="3"/>
  <c r="K31" i="3"/>
  <c r="L31" i="3"/>
  <c r="M31" i="3"/>
  <c r="E38" i="3"/>
  <c r="F38" i="3"/>
  <c r="G38" i="3"/>
  <c r="H38" i="3"/>
  <c r="J38" i="3"/>
  <c r="K38" i="3"/>
  <c r="L38" i="3"/>
  <c r="M38" i="3"/>
  <c r="N38" i="3"/>
  <c r="E41" i="3"/>
  <c r="F254" i="1" s="1"/>
  <c r="F41" i="3"/>
  <c r="G254" i="1" s="1"/>
  <c r="G41" i="3"/>
  <c r="H254" i="1" s="1"/>
  <c r="H41" i="3"/>
  <c r="I254" i="1" s="1"/>
  <c r="J41" i="3"/>
  <c r="K254" i="1" s="1"/>
  <c r="K41" i="3"/>
  <c r="L254" i="1" s="1"/>
  <c r="L41" i="3"/>
  <c r="M254" i="1" s="1"/>
  <c r="M41" i="3"/>
  <c r="N254" i="1" s="1"/>
  <c r="N41" i="3"/>
  <c r="O254" i="1" s="1"/>
  <c r="E42" i="3"/>
  <c r="F42" i="3"/>
  <c r="G42" i="3"/>
  <c r="H42" i="3"/>
  <c r="J42" i="3"/>
  <c r="K42" i="3"/>
  <c r="L42" i="3"/>
  <c r="M42" i="3"/>
  <c r="E43" i="3"/>
  <c r="F43" i="3"/>
  <c r="G43" i="3"/>
  <c r="H43" i="3"/>
  <c r="J43" i="3"/>
  <c r="K43" i="3"/>
  <c r="L43" i="3"/>
  <c r="M43" i="3"/>
  <c r="N43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55" i="3"/>
  <c r="F55" i="3"/>
  <c r="G55" i="3"/>
  <c r="H55" i="3"/>
  <c r="J55" i="3"/>
  <c r="K55" i="3"/>
  <c r="L55" i="3"/>
  <c r="M55" i="3"/>
  <c r="N55" i="3"/>
  <c r="E59" i="3"/>
  <c r="F59" i="3"/>
  <c r="G59" i="3"/>
  <c r="H59" i="3"/>
  <c r="J59" i="3"/>
  <c r="K59" i="3"/>
  <c r="L59" i="3"/>
  <c r="M59" i="3"/>
  <c r="N59" i="3"/>
  <c r="E61" i="3"/>
  <c r="F61" i="3"/>
  <c r="G61" i="3"/>
  <c r="H61" i="3"/>
  <c r="J61" i="3"/>
  <c r="K61" i="3"/>
  <c r="L61" i="3"/>
  <c r="M61" i="3"/>
  <c r="N61" i="3"/>
  <c r="E63" i="3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8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E72" i="3"/>
  <c r="F72" i="3"/>
  <c r="G72" i="3"/>
  <c r="H72" i="3"/>
  <c r="K72" i="3"/>
  <c r="L72" i="3"/>
  <c r="M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1" i="3"/>
  <c r="F91" i="3"/>
  <c r="G91" i="3"/>
  <c r="H91" i="3"/>
  <c r="J91" i="3"/>
  <c r="K91" i="3"/>
  <c r="L91" i="3"/>
  <c r="M91" i="3"/>
  <c r="N91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7" i="3"/>
  <c r="E126" i="3" s="1"/>
  <c r="F127" i="3"/>
  <c r="F126" i="3" s="1"/>
  <c r="G127" i="3"/>
  <c r="G126" i="3" s="1"/>
  <c r="H127" i="3"/>
  <c r="H126" i="3" s="1"/>
  <c r="J127" i="3"/>
  <c r="J126" i="3" s="1"/>
  <c r="K127" i="3"/>
  <c r="K126" i="3" s="1"/>
  <c r="L127" i="3"/>
  <c r="L126" i="3" s="1"/>
  <c r="M127" i="3"/>
  <c r="M126" i="3" s="1"/>
  <c r="N127" i="3"/>
  <c r="N126" i="3" s="1"/>
  <c r="E130" i="3"/>
  <c r="F130" i="3"/>
  <c r="F128" i="3" s="1"/>
  <c r="G130" i="3"/>
  <c r="H130" i="3"/>
  <c r="H128" i="3" s="1"/>
  <c r="J130" i="3"/>
  <c r="K130" i="3"/>
  <c r="K128" i="3" s="1"/>
  <c r="L130" i="3"/>
  <c r="M130" i="3"/>
  <c r="M128" i="3" s="1"/>
  <c r="N130" i="3"/>
  <c r="E138" i="3"/>
  <c r="F138" i="3"/>
  <c r="G138" i="3"/>
  <c r="H138" i="3"/>
  <c r="J138" i="3"/>
  <c r="K138" i="3"/>
  <c r="L138" i="3"/>
  <c r="M138" i="3"/>
  <c r="N138" i="3"/>
  <c r="E143" i="3"/>
  <c r="E141" i="3" s="1"/>
  <c r="F143" i="3"/>
  <c r="F141" i="3" s="1"/>
  <c r="G143" i="3"/>
  <c r="G141" i="3" s="1"/>
  <c r="H143" i="3"/>
  <c r="H141" i="3" s="1"/>
  <c r="J143" i="3"/>
  <c r="J141" i="3" s="1"/>
  <c r="K143" i="3"/>
  <c r="K141" i="3" s="1"/>
  <c r="L143" i="3"/>
  <c r="L141" i="3" s="1"/>
  <c r="M143" i="3"/>
  <c r="M141" i="3" s="1"/>
  <c r="N143" i="3"/>
  <c r="N141" i="3" s="1"/>
  <c r="E149" i="3"/>
  <c r="E148" i="3" s="1"/>
  <c r="F149" i="3"/>
  <c r="F148" i="3" s="1"/>
  <c r="G149" i="3"/>
  <c r="G148" i="3" s="1"/>
  <c r="H149" i="3"/>
  <c r="H148" i="3" s="1"/>
  <c r="J149" i="3"/>
  <c r="J148" i="3" s="1"/>
  <c r="K149" i="3"/>
  <c r="K148" i="3" s="1"/>
  <c r="L149" i="3"/>
  <c r="L148" i="3" s="1"/>
  <c r="M149" i="3"/>
  <c r="M148" i="3" s="1"/>
  <c r="N149" i="3"/>
  <c r="N148" i="3" s="1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F158" i="3"/>
  <c r="G158" i="3"/>
  <c r="H158" i="3"/>
  <c r="J158" i="3"/>
  <c r="K158" i="3"/>
  <c r="L158" i="3"/>
  <c r="M158" i="3"/>
  <c r="N158" i="3"/>
  <c r="E168" i="3"/>
  <c r="F168" i="3"/>
  <c r="G168" i="3"/>
  <c r="H168" i="3"/>
  <c r="J168" i="3"/>
  <c r="K168" i="3"/>
  <c r="L168" i="3"/>
  <c r="M168" i="3"/>
  <c r="N168" i="3"/>
  <c r="E170" i="3"/>
  <c r="F170" i="3"/>
  <c r="G170" i="3"/>
  <c r="H170" i="3"/>
  <c r="J170" i="3"/>
  <c r="K170" i="3"/>
  <c r="L170" i="3"/>
  <c r="M170" i="3"/>
  <c r="N170" i="3"/>
  <c r="E173" i="3"/>
  <c r="E172" i="3" s="1"/>
  <c r="F173" i="3"/>
  <c r="F172" i="3" s="1"/>
  <c r="G173" i="3"/>
  <c r="H173" i="3"/>
  <c r="J173" i="3"/>
  <c r="K173" i="3"/>
  <c r="K172" i="3" s="1"/>
  <c r="L173" i="3"/>
  <c r="M173" i="3"/>
  <c r="M172" i="3" s="1"/>
  <c r="N173" i="3"/>
  <c r="E176" i="3"/>
  <c r="E175" i="3" s="1"/>
  <c r="F176" i="3"/>
  <c r="F175" i="3" s="1"/>
  <c r="G176" i="3"/>
  <c r="G175" i="3" s="1"/>
  <c r="H176" i="3"/>
  <c r="H175" i="3" s="1"/>
  <c r="J176" i="3"/>
  <c r="J175" i="3" s="1"/>
  <c r="K176" i="3"/>
  <c r="K175" i="3" s="1"/>
  <c r="L176" i="3"/>
  <c r="L175" i="3" s="1"/>
  <c r="M176" i="3"/>
  <c r="M175" i="3" s="1"/>
  <c r="N176" i="3"/>
  <c r="N175" i="3" s="1"/>
  <c r="E177" i="3"/>
  <c r="F177" i="3"/>
  <c r="G177" i="3"/>
  <c r="H177" i="3"/>
  <c r="J177" i="3"/>
  <c r="K177" i="3"/>
  <c r="L177" i="3"/>
  <c r="M177" i="3"/>
  <c r="N177" i="3"/>
  <c r="D178" i="3"/>
  <c r="E178" i="3"/>
  <c r="F178" i="3"/>
  <c r="G178" i="3"/>
  <c r="H178" i="3"/>
  <c r="J178" i="3"/>
  <c r="K178" i="3"/>
  <c r="L178" i="3"/>
  <c r="M178" i="3"/>
  <c r="N178" i="3"/>
  <c r="E181" i="3"/>
  <c r="E180" i="3" s="1"/>
  <c r="E179" i="3" s="1"/>
  <c r="F181" i="3"/>
  <c r="F180" i="3" s="1"/>
  <c r="G181" i="3"/>
  <c r="G180" i="3" s="1"/>
  <c r="G179" i="3" s="1"/>
  <c r="H181" i="3"/>
  <c r="H180" i="3" s="1"/>
  <c r="J181" i="3"/>
  <c r="J180" i="3" s="1"/>
  <c r="J179" i="3" s="1"/>
  <c r="K181" i="3"/>
  <c r="K180" i="3" s="1"/>
  <c r="L181" i="3"/>
  <c r="L180" i="3" s="1"/>
  <c r="L179" i="3" s="1"/>
  <c r="M181" i="3"/>
  <c r="M180" i="3" s="1"/>
  <c r="N181" i="3"/>
  <c r="N180" i="3" s="1"/>
  <c r="N179" i="3" s="1"/>
  <c r="E186" i="3"/>
  <c r="F186" i="3"/>
  <c r="G186" i="3"/>
  <c r="H186" i="3"/>
  <c r="J186" i="3"/>
  <c r="K186" i="3"/>
  <c r="L186" i="3"/>
  <c r="M186" i="3"/>
  <c r="N186" i="3"/>
  <c r="O205" i="1"/>
  <c r="J67" i="1"/>
  <c r="J239" i="1"/>
  <c r="J240" i="1"/>
  <c r="J241" i="1"/>
  <c r="I173" i="3" s="1"/>
  <c r="J242" i="1"/>
  <c r="J243" i="1"/>
  <c r="I177" i="3" s="1"/>
  <c r="J244" i="1"/>
  <c r="I178" i="3" s="1"/>
  <c r="J245" i="1"/>
  <c r="I181" i="3" s="1"/>
  <c r="I180" i="3" s="1"/>
  <c r="J238" i="1"/>
  <c r="J231" i="1"/>
  <c r="I127" i="3" s="1"/>
  <c r="I126" i="3" s="1"/>
  <c r="J232" i="1"/>
  <c r="J233" i="1"/>
  <c r="I155" i="3" s="1"/>
  <c r="J234" i="1"/>
  <c r="I156" i="3" s="1"/>
  <c r="J235" i="1"/>
  <c r="J230" i="1"/>
  <c r="J227" i="1"/>
  <c r="J208" i="1"/>
  <c r="J209" i="1"/>
  <c r="I120" i="3" s="1"/>
  <c r="J210" i="1"/>
  <c r="J211" i="1"/>
  <c r="I131" i="3" s="1"/>
  <c r="J212" i="1"/>
  <c r="I132" i="3" s="1"/>
  <c r="J214" i="1"/>
  <c r="J222" i="1"/>
  <c r="J223" i="1"/>
  <c r="J224" i="1"/>
  <c r="J207" i="1"/>
  <c r="J203" i="1"/>
  <c r="J177" i="1"/>
  <c r="J178" i="1"/>
  <c r="J179" i="1"/>
  <c r="I115" i="3" s="1"/>
  <c r="J180" i="1"/>
  <c r="I116" i="3" s="1"/>
  <c r="J181" i="1"/>
  <c r="I117" i="3" s="1"/>
  <c r="J182" i="1"/>
  <c r="J183" i="1"/>
  <c r="J184" i="1"/>
  <c r="J185" i="1"/>
  <c r="J186" i="1"/>
  <c r="J189" i="1"/>
  <c r="I138" i="3" s="1"/>
  <c r="J194" i="1"/>
  <c r="J195" i="1"/>
  <c r="J199" i="1"/>
  <c r="J200" i="1"/>
  <c r="J176" i="1"/>
  <c r="J166" i="1"/>
  <c r="I102" i="3" s="1"/>
  <c r="J167" i="1"/>
  <c r="J168" i="1"/>
  <c r="J169" i="1"/>
  <c r="J170" i="1"/>
  <c r="J164" i="1"/>
  <c r="J160" i="1"/>
  <c r="I83" i="3" s="1"/>
  <c r="J161" i="1"/>
  <c r="I84" i="3" s="1"/>
  <c r="J159" i="1"/>
  <c r="J132" i="1"/>
  <c r="J133" i="1"/>
  <c r="J135" i="1"/>
  <c r="I76" i="3" s="1"/>
  <c r="J136" i="1"/>
  <c r="J137" i="1"/>
  <c r="I78" i="3" s="1"/>
  <c r="J139" i="1"/>
  <c r="I80" i="3" s="1"/>
  <c r="J141" i="1"/>
  <c r="I82" i="3" s="1"/>
  <c r="J142" i="1"/>
  <c r="I88" i="3" s="1"/>
  <c r="J143" i="1"/>
  <c r="I89" i="3" s="1"/>
  <c r="J145" i="1"/>
  <c r="I91" i="3" s="1"/>
  <c r="J147" i="1"/>
  <c r="I93" i="3" s="1"/>
  <c r="J148" i="1"/>
  <c r="I94" i="3" s="1"/>
  <c r="J149" i="1"/>
  <c r="I95" i="3" s="1"/>
  <c r="J150" i="1"/>
  <c r="I96" i="3" s="1"/>
  <c r="J151" i="1"/>
  <c r="J152" i="1"/>
  <c r="J153" i="1"/>
  <c r="J156" i="1"/>
  <c r="J130" i="1"/>
  <c r="J107" i="1"/>
  <c r="J111" i="1"/>
  <c r="J113" i="1"/>
  <c r="I61" i="3" s="1"/>
  <c r="J115" i="1"/>
  <c r="I63" i="3" s="1"/>
  <c r="J117" i="1"/>
  <c r="I65" i="3" s="1"/>
  <c r="J120" i="1"/>
  <c r="I68" i="3" s="1"/>
  <c r="J121" i="1"/>
  <c r="I69" i="3" s="1"/>
  <c r="J106" i="1"/>
  <c r="J76" i="1"/>
  <c r="J79" i="1"/>
  <c r="J80" i="1"/>
  <c r="J82" i="1"/>
  <c r="I45" i="3" s="1"/>
  <c r="J83" i="1"/>
  <c r="I46" i="3" s="1"/>
  <c r="J84" i="1"/>
  <c r="I47" i="3" s="1"/>
  <c r="J85" i="1"/>
  <c r="J87" i="1"/>
  <c r="J88" i="1"/>
  <c r="J89" i="1"/>
  <c r="J93" i="1"/>
  <c r="J94" i="1"/>
  <c r="J66" i="1"/>
  <c r="J22" i="1"/>
  <c r="J23" i="1"/>
  <c r="J24" i="1"/>
  <c r="J25" i="1"/>
  <c r="I85" i="3" s="1"/>
  <c r="J26" i="1"/>
  <c r="I86" i="3" s="1"/>
  <c r="J27" i="1"/>
  <c r="J28" i="1"/>
  <c r="J29" i="1"/>
  <c r="J30" i="1"/>
  <c r="J31" i="1"/>
  <c r="J32" i="1"/>
  <c r="J33" i="1"/>
  <c r="I107" i="3" s="1"/>
  <c r="J34" i="1"/>
  <c r="I108" i="3" s="1"/>
  <c r="J35" i="1"/>
  <c r="J36" i="1"/>
  <c r="I110" i="3" s="1"/>
  <c r="J37" i="1"/>
  <c r="I111" i="3" s="1"/>
  <c r="J38" i="1"/>
  <c r="I112" i="3" s="1"/>
  <c r="I143" i="3"/>
  <c r="I141" i="3" s="1"/>
  <c r="J44" i="1"/>
  <c r="I149" i="3" s="1"/>
  <c r="I148" i="3" s="1"/>
  <c r="J45" i="1"/>
  <c r="J46" i="1"/>
  <c r="J47" i="1"/>
  <c r="I158" i="3" s="1"/>
  <c r="J48" i="1"/>
  <c r="J49" i="1"/>
  <c r="J50" i="1"/>
  <c r="I167" i="3" s="1"/>
  <c r="J51" i="1"/>
  <c r="I168" i="3" s="1"/>
  <c r="J53" i="1"/>
  <c r="J54" i="1"/>
  <c r="J55" i="1"/>
  <c r="I176" i="3" s="1"/>
  <c r="I175" i="3" s="1"/>
  <c r="J21" i="1"/>
  <c r="I187" i="3" l="1"/>
  <c r="I186" i="3" s="1"/>
  <c r="I179" i="3" s="1"/>
  <c r="M179" i="3"/>
  <c r="K179" i="3"/>
  <c r="H179" i="3"/>
  <c r="F179" i="3"/>
  <c r="I135" i="3"/>
  <c r="N128" i="3"/>
  <c r="L128" i="3"/>
  <c r="J128" i="3"/>
  <c r="G128" i="3"/>
  <c r="E128" i="3"/>
  <c r="J19" i="1"/>
  <c r="I48" i="3"/>
  <c r="I55" i="3"/>
  <c r="M253" i="1"/>
  <c r="K253" i="1"/>
  <c r="F253" i="1"/>
  <c r="I73" i="3"/>
  <c r="I59" i="3"/>
  <c r="I41" i="3"/>
  <c r="I38" i="3"/>
  <c r="I29" i="3"/>
  <c r="I43" i="3"/>
  <c r="I171" i="3"/>
  <c r="I170" i="3" s="1"/>
  <c r="I118" i="3"/>
  <c r="I21" i="3"/>
  <c r="I114" i="3"/>
  <c r="I121" i="3"/>
  <c r="J237" i="1"/>
  <c r="I20" i="3"/>
  <c r="I160" i="3"/>
  <c r="K150" i="3"/>
  <c r="N113" i="3"/>
  <c r="L113" i="3"/>
  <c r="J113" i="3"/>
  <c r="G113" i="3"/>
  <c r="M113" i="3"/>
  <c r="K113" i="3"/>
  <c r="H113" i="3"/>
  <c r="F113" i="3"/>
  <c r="L70" i="3"/>
  <c r="H70" i="3"/>
  <c r="F70" i="3"/>
  <c r="M70" i="3"/>
  <c r="K70" i="3"/>
  <c r="G70" i="3"/>
  <c r="N50" i="3"/>
  <c r="L50" i="3"/>
  <c r="J50" i="3"/>
  <c r="G50" i="3"/>
  <c r="E50" i="3"/>
  <c r="M50" i="3"/>
  <c r="K50" i="3"/>
  <c r="H50" i="3"/>
  <c r="F50" i="3"/>
  <c r="L22" i="3"/>
  <c r="H22" i="3"/>
  <c r="F22" i="3"/>
  <c r="M22" i="3"/>
  <c r="K22" i="3"/>
  <c r="G22" i="3"/>
  <c r="E22" i="3"/>
  <c r="J229" i="1"/>
  <c r="J221" i="1"/>
  <c r="J220" i="1" s="1"/>
  <c r="J217" i="1"/>
  <c r="J205" i="1" s="1"/>
  <c r="J158" i="1"/>
  <c r="I105" i="3"/>
  <c r="I103" i="3"/>
  <c r="I157" i="3"/>
  <c r="I104" i="3"/>
  <c r="E111" i="3"/>
  <c r="E106" i="3" s="1"/>
  <c r="I130" i="3"/>
  <c r="L165" i="3"/>
  <c r="J165" i="3"/>
  <c r="G165" i="3"/>
  <c r="I99" i="3"/>
  <c r="I74" i="3"/>
  <c r="I174" i="3"/>
  <c r="I172" i="3" s="1"/>
  <c r="I152" i="3"/>
  <c r="I109" i="3"/>
  <c r="I106" i="3" s="1"/>
  <c r="I87" i="3"/>
  <c r="I97" i="3"/>
  <c r="N153" i="3"/>
  <c r="N150" i="3" s="1"/>
  <c r="N165" i="3"/>
  <c r="H165" i="3"/>
  <c r="M165" i="3"/>
  <c r="M163" i="3" s="1"/>
  <c r="K165" i="3"/>
  <c r="K163" i="3" s="1"/>
  <c r="F165" i="3"/>
  <c r="F163" i="3" s="1"/>
  <c r="E165" i="3"/>
  <c r="E163" i="3" s="1"/>
  <c r="L19" i="3"/>
  <c r="I119" i="3"/>
  <c r="I165" i="3"/>
  <c r="M106" i="3"/>
  <c r="N255" i="1" s="1"/>
  <c r="F106" i="3"/>
  <c r="G255" i="1" s="1"/>
  <c r="I98" i="3"/>
  <c r="I77" i="3"/>
  <c r="N172" i="3"/>
  <c r="L172" i="3"/>
  <c r="J172" i="3"/>
  <c r="H172" i="3"/>
  <c r="G172" i="3"/>
  <c r="M150" i="3"/>
  <c r="F150" i="3"/>
  <c r="K106" i="3"/>
  <c r="L255" i="1" s="1"/>
  <c r="L101" i="3"/>
  <c r="H101" i="3"/>
  <c r="N19" i="3"/>
  <c r="J19" i="3"/>
  <c r="H19" i="3"/>
  <c r="G19" i="3"/>
  <c r="M19" i="3"/>
  <c r="K19" i="3"/>
  <c r="F19" i="3"/>
  <c r="E19" i="3"/>
  <c r="L150" i="3"/>
  <c r="H150" i="3"/>
  <c r="G150" i="3"/>
  <c r="N101" i="3"/>
  <c r="J101" i="3"/>
  <c r="G101" i="3"/>
  <c r="M101" i="3"/>
  <c r="K101" i="3"/>
  <c r="F101" i="3"/>
  <c r="E101" i="3"/>
  <c r="N106" i="3"/>
  <c r="L106" i="3"/>
  <c r="M255" i="1" s="1"/>
  <c r="J106" i="3"/>
  <c r="H106" i="3"/>
  <c r="I255" i="1" s="1"/>
  <c r="G106" i="3"/>
  <c r="H255" i="1" s="1"/>
  <c r="J196" i="1"/>
  <c r="J173" i="1" s="1"/>
  <c r="I128" i="3" l="1"/>
  <c r="O253" i="1"/>
  <c r="G253" i="1"/>
  <c r="L253" i="1"/>
  <c r="H253" i="1"/>
  <c r="I253" i="1"/>
  <c r="N253" i="1"/>
  <c r="I50" i="3"/>
  <c r="I19" i="3"/>
  <c r="I159" i="3"/>
  <c r="I113" i="3"/>
  <c r="K122" i="3"/>
  <c r="K189" i="3" s="1"/>
  <c r="H122" i="3"/>
  <c r="M122" i="3"/>
  <c r="M189" i="3" s="1"/>
  <c r="G122" i="3"/>
  <c r="L122" i="3"/>
  <c r="F122" i="3"/>
  <c r="F189" i="3" s="1"/>
  <c r="N122" i="3"/>
  <c r="I101" i="3"/>
  <c r="L163" i="3"/>
  <c r="G163" i="3"/>
  <c r="N163" i="3"/>
  <c r="J163" i="3"/>
  <c r="I163" i="3"/>
  <c r="H163" i="3"/>
  <c r="E241" i="1"/>
  <c r="D173" i="3" s="1"/>
  <c r="D241" i="1"/>
  <c r="B241" i="1"/>
  <c r="E121" i="3" l="1"/>
  <c r="E113" i="3" s="1"/>
  <c r="G189" i="3"/>
  <c r="L189" i="3"/>
  <c r="H189" i="3"/>
  <c r="E158" i="3"/>
  <c r="E150" i="3" s="1"/>
  <c r="E122" i="3" s="1"/>
  <c r="J124" i="1"/>
  <c r="J100" i="1" s="1"/>
  <c r="P241" i="1"/>
  <c r="O173" i="3" s="1"/>
  <c r="I153" i="3" l="1"/>
  <c r="I150" i="3" s="1"/>
  <c r="I122" i="3" s="1"/>
  <c r="J99" i="1"/>
  <c r="E189" i="1" l="1"/>
  <c r="C189" i="1"/>
  <c r="D189" i="1"/>
  <c r="B189" i="1"/>
  <c r="D138" i="3" l="1"/>
  <c r="P189" i="1"/>
  <c r="O138" i="3" s="1"/>
  <c r="F147" i="1"/>
  <c r="F128" i="1" s="1"/>
  <c r="E93" i="3" l="1"/>
  <c r="E70" i="3"/>
  <c r="J29" i="3"/>
  <c r="E189" i="3" l="1"/>
  <c r="N31" i="3"/>
  <c r="J31" i="3"/>
  <c r="J69" i="1"/>
  <c r="J58" i="1" s="1"/>
  <c r="J22" i="3" l="1"/>
  <c r="I31" i="3"/>
  <c r="N42" i="3"/>
  <c r="N22" i="3" s="1"/>
  <c r="J165" i="1"/>
  <c r="J163" i="1" s="1"/>
  <c r="D48" i="1"/>
  <c r="D224" i="1"/>
  <c r="D196" i="1"/>
  <c r="C167" i="1"/>
  <c r="D167" i="1"/>
  <c r="B167" i="1"/>
  <c r="D160" i="1"/>
  <c r="D83" i="1"/>
  <c r="P244" i="1"/>
  <c r="O178" i="3" s="1"/>
  <c r="E239" i="1"/>
  <c r="E240" i="1"/>
  <c r="E242" i="1"/>
  <c r="E243" i="1"/>
  <c r="D177" i="3" s="1"/>
  <c r="E245" i="1"/>
  <c r="D181" i="3" s="1"/>
  <c r="D180" i="3" s="1"/>
  <c r="E238" i="1"/>
  <c r="K236" i="1"/>
  <c r="L236" i="1"/>
  <c r="M236" i="1"/>
  <c r="N236" i="1"/>
  <c r="O236" i="1"/>
  <c r="F236" i="1"/>
  <c r="G236" i="1"/>
  <c r="H236" i="1"/>
  <c r="I236" i="1"/>
  <c r="E231" i="1"/>
  <c r="D127" i="3" s="1"/>
  <c r="D126" i="3" s="1"/>
  <c r="E232" i="1"/>
  <c r="E233" i="1"/>
  <c r="D155" i="3" s="1"/>
  <c r="E234" i="1"/>
  <c r="D156" i="3" s="1"/>
  <c r="E235" i="1"/>
  <c r="E230" i="1"/>
  <c r="K228" i="1"/>
  <c r="L228" i="1"/>
  <c r="M228" i="1"/>
  <c r="N228" i="1"/>
  <c r="O228" i="1"/>
  <c r="F228" i="1"/>
  <c r="G228" i="1"/>
  <c r="H228" i="1"/>
  <c r="I228" i="1"/>
  <c r="J226" i="1"/>
  <c r="J225" i="1" s="1"/>
  <c r="E227" i="1"/>
  <c r="K226" i="1"/>
  <c r="K225" i="1" s="1"/>
  <c r="L226" i="1"/>
  <c r="L225" i="1" s="1"/>
  <c r="M226" i="1"/>
  <c r="M225" i="1" s="1"/>
  <c r="N226" i="1"/>
  <c r="N225" i="1" s="1"/>
  <c r="O226" i="1"/>
  <c r="O225" i="1" s="1"/>
  <c r="F226" i="1"/>
  <c r="F225" i="1" s="1"/>
  <c r="G226" i="1"/>
  <c r="G225" i="1" s="1"/>
  <c r="H226" i="1"/>
  <c r="H225" i="1" s="1"/>
  <c r="I226" i="1"/>
  <c r="I225" i="1" s="1"/>
  <c r="E226" i="1"/>
  <c r="E225" i="1" s="1"/>
  <c r="E223" i="1"/>
  <c r="E224" i="1"/>
  <c r="E222" i="1"/>
  <c r="K220" i="1"/>
  <c r="L220" i="1"/>
  <c r="M220" i="1"/>
  <c r="N220" i="1"/>
  <c r="O220" i="1"/>
  <c r="F220" i="1"/>
  <c r="G220" i="1"/>
  <c r="H220" i="1"/>
  <c r="I220" i="1"/>
  <c r="E208" i="1"/>
  <c r="E209" i="1"/>
  <c r="D120" i="3" s="1"/>
  <c r="E210" i="1"/>
  <c r="E211" i="1"/>
  <c r="D131" i="3" s="1"/>
  <c r="E212" i="1"/>
  <c r="D132" i="3" s="1"/>
  <c r="E214" i="1"/>
  <c r="E217" i="1"/>
  <c r="E207" i="1"/>
  <c r="K204" i="1"/>
  <c r="M204" i="1"/>
  <c r="N204" i="1"/>
  <c r="O204" i="1"/>
  <c r="F204" i="1"/>
  <c r="G204" i="1"/>
  <c r="H204" i="1"/>
  <c r="I204" i="1"/>
  <c r="J202" i="1"/>
  <c r="J201" i="1" s="1"/>
  <c r="E203" i="1"/>
  <c r="E202" i="1" s="1"/>
  <c r="E201" i="1" s="1"/>
  <c r="K202" i="1"/>
  <c r="K201" i="1" s="1"/>
  <c r="L202" i="1"/>
  <c r="L201" i="1" s="1"/>
  <c r="M202" i="1"/>
  <c r="M201" i="1" s="1"/>
  <c r="N202" i="1"/>
  <c r="N201" i="1" s="1"/>
  <c r="O202" i="1"/>
  <c r="O201" i="1" s="1"/>
  <c r="F202" i="1"/>
  <c r="F201" i="1" s="1"/>
  <c r="G202" i="1"/>
  <c r="G201" i="1" s="1"/>
  <c r="H202" i="1"/>
  <c r="H201" i="1" s="1"/>
  <c r="I202" i="1"/>
  <c r="I201" i="1" s="1"/>
  <c r="E177" i="1"/>
  <c r="E178" i="1"/>
  <c r="D114" i="3" s="1"/>
  <c r="E179" i="1"/>
  <c r="E180" i="1"/>
  <c r="D116" i="3" s="1"/>
  <c r="E181" i="1"/>
  <c r="E182" i="1"/>
  <c r="E183" i="1"/>
  <c r="E184" i="1"/>
  <c r="E185" i="1"/>
  <c r="E186" i="1"/>
  <c r="P186" i="1" s="1"/>
  <c r="E194" i="1"/>
  <c r="E195" i="1"/>
  <c r="P195" i="1" s="1"/>
  <c r="E196" i="1"/>
  <c r="P196" i="1" s="1"/>
  <c r="E199" i="1"/>
  <c r="P199" i="1" s="1"/>
  <c r="E200" i="1"/>
  <c r="E176" i="1"/>
  <c r="K172" i="1"/>
  <c r="L172" i="1"/>
  <c r="M172" i="1"/>
  <c r="N172" i="1"/>
  <c r="O172" i="1"/>
  <c r="F172" i="1"/>
  <c r="G172" i="1"/>
  <c r="H172" i="1"/>
  <c r="I172" i="1"/>
  <c r="E165" i="1"/>
  <c r="D42" i="3" s="1"/>
  <c r="E166" i="1"/>
  <c r="D102" i="3" s="1"/>
  <c r="E167" i="1"/>
  <c r="E168" i="1"/>
  <c r="E169" i="1"/>
  <c r="E170" i="1"/>
  <c r="E164" i="1"/>
  <c r="K162" i="1"/>
  <c r="L162" i="1"/>
  <c r="M162" i="1"/>
  <c r="N162" i="1"/>
  <c r="F162" i="1"/>
  <c r="G162" i="1"/>
  <c r="H162" i="1"/>
  <c r="I162" i="1"/>
  <c r="E160" i="1"/>
  <c r="D83" i="3" s="1"/>
  <c r="E161" i="1"/>
  <c r="D84" i="3" s="1"/>
  <c r="E159" i="1"/>
  <c r="K157" i="1"/>
  <c r="L157" i="1"/>
  <c r="M157" i="1"/>
  <c r="N157" i="1"/>
  <c r="O157" i="1"/>
  <c r="F157" i="1"/>
  <c r="G157" i="1"/>
  <c r="H157" i="1"/>
  <c r="I157" i="1"/>
  <c r="E131" i="1"/>
  <c r="D72" i="3" s="1"/>
  <c r="E132" i="1"/>
  <c r="E133" i="1"/>
  <c r="E135" i="1"/>
  <c r="D76" i="3" s="1"/>
  <c r="E136" i="1"/>
  <c r="E137" i="1"/>
  <c r="D78" i="3" s="1"/>
  <c r="E139" i="1"/>
  <c r="D80" i="3" s="1"/>
  <c r="E141" i="1"/>
  <c r="D82" i="3" s="1"/>
  <c r="E142" i="1"/>
  <c r="D88" i="3" s="1"/>
  <c r="E143" i="1"/>
  <c r="E145" i="1"/>
  <c r="D91" i="3" s="1"/>
  <c r="E147" i="1"/>
  <c r="D93" i="3" s="1"/>
  <c r="E148" i="1"/>
  <c r="D94" i="3" s="1"/>
  <c r="E149" i="1"/>
  <c r="D95" i="3" s="1"/>
  <c r="E150" i="1"/>
  <c r="D96" i="3" s="1"/>
  <c r="E151" i="1"/>
  <c r="E152" i="1"/>
  <c r="E153" i="1"/>
  <c r="E156" i="1"/>
  <c r="E130" i="1"/>
  <c r="L127" i="1"/>
  <c r="M127" i="1"/>
  <c r="N127" i="1"/>
  <c r="F127" i="1"/>
  <c r="G127" i="1"/>
  <c r="H127" i="1"/>
  <c r="I127" i="1"/>
  <c r="E107" i="1"/>
  <c r="E111" i="1"/>
  <c r="E113" i="1"/>
  <c r="D61" i="3" s="1"/>
  <c r="E115" i="1"/>
  <c r="D63" i="3" s="1"/>
  <c r="E117" i="1"/>
  <c r="D65" i="3" s="1"/>
  <c r="E120" i="1"/>
  <c r="D68" i="3" s="1"/>
  <c r="D69" i="3"/>
  <c r="E124" i="1"/>
  <c r="E106" i="1"/>
  <c r="K57" i="1"/>
  <c r="L57" i="1"/>
  <c r="M57" i="1"/>
  <c r="N57" i="1"/>
  <c r="O57" i="1"/>
  <c r="F57" i="1"/>
  <c r="G57" i="1"/>
  <c r="H57" i="1"/>
  <c r="I57" i="1"/>
  <c r="E67" i="1"/>
  <c r="E69" i="1"/>
  <c r="E76" i="1"/>
  <c r="E79" i="1"/>
  <c r="E80" i="1"/>
  <c r="E82" i="1"/>
  <c r="D45" i="3" s="1"/>
  <c r="E83" i="1"/>
  <c r="D46" i="3" s="1"/>
  <c r="E84" i="1"/>
  <c r="D47" i="3" s="1"/>
  <c r="E85" i="1"/>
  <c r="E87" i="1"/>
  <c r="E88" i="1"/>
  <c r="E89" i="1"/>
  <c r="E93" i="1"/>
  <c r="E94" i="1"/>
  <c r="P94" i="1" s="1"/>
  <c r="E66" i="1"/>
  <c r="E58" i="1" s="1"/>
  <c r="E22" i="1"/>
  <c r="D21" i="3" s="1"/>
  <c r="E23" i="1"/>
  <c r="E24" i="1"/>
  <c r="E25" i="1"/>
  <c r="D85" i="3" s="1"/>
  <c r="E26" i="1"/>
  <c r="D86" i="3" s="1"/>
  <c r="E27" i="1"/>
  <c r="E28" i="1"/>
  <c r="E29" i="1"/>
  <c r="E30" i="1"/>
  <c r="E31" i="1"/>
  <c r="E32" i="1"/>
  <c r="E33" i="1"/>
  <c r="D107" i="3" s="1"/>
  <c r="E34" i="1"/>
  <c r="D108" i="3" s="1"/>
  <c r="E35" i="1"/>
  <c r="E36" i="1"/>
  <c r="D110" i="3" s="1"/>
  <c r="E37" i="1"/>
  <c r="D111" i="3" s="1"/>
  <c r="E38" i="1"/>
  <c r="D112" i="3" s="1"/>
  <c r="E41" i="1"/>
  <c r="D143" i="3" s="1"/>
  <c r="D141" i="3" s="1"/>
  <c r="E44" i="1"/>
  <c r="D149" i="3" s="1"/>
  <c r="D148" i="3" s="1"/>
  <c r="E45" i="1"/>
  <c r="E46" i="1"/>
  <c r="E47" i="1"/>
  <c r="D158" i="3" s="1"/>
  <c r="E48" i="1"/>
  <c r="E49" i="1"/>
  <c r="E50" i="1"/>
  <c r="D167" i="3" s="1"/>
  <c r="E51" i="1"/>
  <c r="D168" i="3" s="1"/>
  <c r="E53" i="1"/>
  <c r="E54" i="1"/>
  <c r="E55" i="1"/>
  <c r="D176" i="3" s="1"/>
  <c r="D175" i="3" s="1"/>
  <c r="E21" i="1"/>
  <c r="E19" i="1" s="1"/>
  <c r="K18" i="1"/>
  <c r="M18" i="1"/>
  <c r="N18" i="1"/>
  <c r="O18" i="1"/>
  <c r="F18" i="1"/>
  <c r="G18" i="1"/>
  <c r="H18" i="1"/>
  <c r="I18" i="1"/>
  <c r="L18" i="1"/>
  <c r="D187" i="3" l="1"/>
  <c r="D186" i="3" s="1"/>
  <c r="D179" i="3" s="1"/>
  <c r="E205" i="1"/>
  <c r="E204" i="1" s="1"/>
  <c r="D135" i="3"/>
  <c r="P153" i="1"/>
  <c r="E128" i="1"/>
  <c r="E100" i="1"/>
  <c r="E18" i="1"/>
  <c r="D48" i="3"/>
  <c r="D55" i="3"/>
  <c r="P177" i="1"/>
  <c r="D73" i="3"/>
  <c r="D59" i="3"/>
  <c r="D43" i="3"/>
  <c r="D29" i="3"/>
  <c r="E173" i="1"/>
  <c r="E172" i="1" s="1"/>
  <c r="D41" i="3"/>
  <c r="D38" i="3"/>
  <c r="E57" i="1"/>
  <c r="D117" i="3"/>
  <c r="D171" i="3"/>
  <c r="D170" i="3" s="1"/>
  <c r="D118" i="3"/>
  <c r="E99" i="1"/>
  <c r="D159" i="3"/>
  <c r="D31" i="3"/>
  <c r="D121" i="3"/>
  <c r="E237" i="1"/>
  <c r="E236" i="1" s="1"/>
  <c r="H246" i="1"/>
  <c r="H252" i="1" s="1"/>
  <c r="N246" i="1"/>
  <c r="N252" i="1" s="1"/>
  <c r="D160" i="3"/>
  <c r="I246" i="1"/>
  <c r="I252" i="1" s="1"/>
  <c r="M246" i="1"/>
  <c r="M252" i="1" s="1"/>
  <c r="P200" i="1"/>
  <c r="E127" i="1"/>
  <c r="G246" i="1"/>
  <c r="G252" i="1" s="1"/>
  <c r="F246" i="1"/>
  <c r="F252" i="1" s="1"/>
  <c r="D20" i="3"/>
  <c r="D19" i="3" s="1"/>
  <c r="D115" i="3"/>
  <c r="E221" i="1"/>
  <c r="E220" i="1" s="1"/>
  <c r="E229" i="1"/>
  <c r="E228" i="1" s="1"/>
  <c r="D119" i="3"/>
  <c r="E163" i="1"/>
  <c r="E162" i="1" s="1"/>
  <c r="E158" i="1"/>
  <c r="E157" i="1" s="1"/>
  <c r="D157" i="3"/>
  <c r="D89" i="3"/>
  <c r="D152" i="3"/>
  <c r="P176" i="1"/>
  <c r="O162" i="1"/>
  <c r="D104" i="3"/>
  <c r="D153" i="3"/>
  <c r="D97" i="3"/>
  <c r="D130" i="3"/>
  <c r="D128" i="3" s="1"/>
  <c r="D174" i="3"/>
  <c r="D172" i="3" s="1"/>
  <c r="D105" i="3"/>
  <c r="D103" i="3"/>
  <c r="I42" i="3"/>
  <c r="I22" i="3" s="1"/>
  <c r="J162" i="1"/>
  <c r="D165" i="3"/>
  <c r="D99" i="3"/>
  <c r="D109" i="3"/>
  <c r="D106" i="3" s="1"/>
  <c r="D87" i="3"/>
  <c r="P156" i="1"/>
  <c r="D98" i="3"/>
  <c r="D77" i="3"/>
  <c r="D74" i="3"/>
  <c r="P21" i="1"/>
  <c r="P54" i="1"/>
  <c r="P51" i="1"/>
  <c r="O168" i="3" s="1"/>
  <c r="P49" i="1"/>
  <c r="P47" i="1"/>
  <c r="O158" i="3" s="1"/>
  <c r="P45" i="1"/>
  <c r="P89" i="1"/>
  <c r="P87" i="1"/>
  <c r="P85" i="1"/>
  <c r="P84" i="1"/>
  <c r="O47" i="3" s="1"/>
  <c r="P83" i="1"/>
  <c r="O46" i="3" s="1"/>
  <c r="P79" i="1"/>
  <c r="P76" i="1"/>
  <c r="O38" i="3" s="1"/>
  <c r="P69" i="1"/>
  <c r="O31" i="3" s="1"/>
  <c r="P106" i="1"/>
  <c r="P150" i="1"/>
  <c r="O96" i="3" s="1"/>
  <c r="P148" i="1"/>
  <c r="O94" i="3" s="1"/>
  <c r="P145" i="1"/>
  <c r="O91" i="3" s="1"/>
  <c r="P142" i="1"/>
  <c r="O88" i="3" s="1"/>
  <c r="P139" i="1"/>
  <c r="O80" i="3" s="1"/>
  <c r="P136" i="1"/>
  <c r="P133" i="1"/>
  <c r="P184" i="1"/>
  <c r="P182" i="1"/>
  <c r="P179" i="1"/>
  <c r="O115" i="3" s="1"/>
  <c r="P211" i="1"/>
  <c r="O131" i="3" s="1"/>
  <c r="P245" i="1"/>
  <c r="O181" i="3" s="1"/>
  <c r="O180" i="3" s="1"/>
  <c r="P55" i="1"/>
  <c r="O176" i="3" s="1"/>
  <c r="O175" i="3" s="1"/>
  <c r="P53" i="1"/>
  <c r="P50" i="1"/>
  <c r="O167" i="3" s="1"/>
  <c r="P48" i="1"/>
  <c r="J150" i="3" s="1"/>
  <c r="J122" i="3" s="1"/>
  <c r="P46" i="1"/>
  <c r="O157" i="3" s="1"/>
  <c r="P44" i="1"/>
  <c r="O149" i="3" s="1"/>
  <c r="O148" i="3" s="1"/>
  <c r="P93" i="1"/>
  <c r="P88" i="1"/>
  <c r="P82" i="1"/>
  <c r="O45" i="3" s="1"/>
  <c r="P80" i="1"/>
  <c r="O43" i="3" s="1"/>
  <c r="P130" i="1"/>
  <c r="P151" i="1"/>
  <c r="P149" i="1"/>
  <c r="O95" i="3" s="1"/>
  <c r="P147" i="1"/>
  <c r="O93" i="3" s="1"/>
  <c r="P143" i="1"/>
  <c r="O89" i="3" s="1"/>
  <c r="P141" i="1"/>
  <c r="O82" i="3" s="1"/>
  <c r="P137" i="1"/>
  <c r="O78" i="3" s="1"/>
  <c r="P135" i="1"/>
  <c r="O76" i="3" s="1"/>
  <c r="P132" i="1"/>
  <c r="P183" i="1"/>
  <c r="P181" i="1"/>
  <c r="P180" i="1"/>
  <c r="O116" i="3" s="1"/>
  <c r="P212" i="1"/>
  <c r="O132" i="3" s="1"/>
  <c r="P238" i="1"/>
  <c r="J172" i="1"/>
  <c r="P194" i="1"/>
  <c r="P222" i="1"/>
  <c r="P223" i="1"/>
  <c r="P233" i="1"/>
  <c r="O155" i="3" s="1"/>
  <c r="J228" i="1"/>
  <c r="P242" i="1"/>
  <c r="P239" i="1"/>
  <c r="P161" i="1"/>
  <c r="O84" i="3" s="1"/>
  <c r="P160" i="1"/>
  <c r="O83" i="3" s="1"/>
  <c r="P41" i="1"/>
  <c r="O143" i="3" s="1"/>
  <c r="O141" i="3" s="1"/>
  <c r="P35" i="1"/>
  <c r="P33" i="1"/>
  <c r="O107" i="3" s="1"/>
  <c r="P31" i="1"/>
  <c r="P29" i="1"/>
  <c r="P27" i="1"/>
  <c r="P25" i="1"/>
  <c r="O85" i="3" s="1"/>
  <c r="P23" i="1"/>
  <c r="P164" i="1"/>
  <c r="P217" i="1"/>
  <c r="P227" i="1"/>
  <c r="P226" i="1" s="1"/>
  <c r="P225" i="1" s="1"/>
  <c r="P234" i="1"/>
  <c r="O156" i="3" s="1"/>
  <c r="P232" i="1"/>
  <c r="P231" i="1"/>
  <c r="O127" i="3" s="1"/>
  <c r="O126" i="3" s="1"/>
  <c r="P235" i="1"/>
  <c r="P185" i="1"/>
  <c r="P38" i="1"/>
  <c r="O112" i="3" s="1"/>
  <c r="P36" i="1"/>
  <c r="O110" i="3" s="1"/>
  <c r="P34" i="1"/>
  <c r="O108" i="3" s="1"/>
  <c r="P32" i="1"/>
  <c r="P28" i="1"/>
  <c r="P26" i="1"/>
  <c r="O86" i="3" s="1"/>
  <c r="P24" i="1"/>
  <c r="P124" i="1"/>
  <c r="P121" i="1"/>
  <c r="O69" i="3" s="1"/>
  <c r="P120" i="1"/>
  <c r="O68" i="3" s="1"/>
  <c r="P117" i="1"/>
  <c r="O65" i="3" s="1"/>
  <c r="P115" i="1"/>
  <c r="O63" i="3" s="1"/>
  <c r="P113" i="1"/>
  <c r="O61" i="3" s="1"/>
  <c r="P111" i="1"/>
  <c r="P107" i="1"/>
  <c r="J157" i="1"/>
  <c r="P169" i="1"/>
  <c r="P170" i="1"/>
  <c r="P166" i="1"/>
  <c r="O102" i="3" s="1"/>
  <c r="P214" i="1"/>
  <c r="O135" i="3" s="1"/>
  <c r="P210" i="1"/>
  <c r="P22" i="1"/>
  <c r="O21" i="3" s="1"/>
  <c r="P30" i="1"/>
  <c r="P178" i="1"/>
  <c r="O114" i="3" s="1"/>
  <c r="P224" i="1"/>
  <c r="P37" i="1"/>
  <c r="O111" i="3" s="1"/>
  <c r="P67" i="1"/>
  <c r="O29" i="3" s="1"/>
  <c r="P159" i="1"/>
  <c r="P168" i="1"/>
  <c r="P167" i="1"/>
  <c r="P240" i="1"/>
  <c r="P207" i="1"/>
  <c r="P208" i="1"/>
  <c r="P243" i="1"/>
  <c r="O177" i="3" s="1"/>
  <c r="J236" i="1"/>
  <c r="J57" i="1"/>
  <c r="P230" i="1"/>
  <c r="P203" i="1"/>
  <c r="P202" i="1" s="1"/>
  <c r="P201" i="1" s="1"/>
  <c r="P66" i="1"/>
  <c r="J18" i="1"/>
  <c r="P152" i="1"/>
  <c r="P165" i="1"/>
  <c r="O42" i="3" s="1"/>
  <c r="O187" i="3" l="1"/>
  <c r="O186" i="3" s="1"/>
  <c r="O179" i="3" s="1"/>
  <c r="P58" i="1"/>
  <c r="P100" i="1"/>
  <c r="P99" i="1" s="1"/>
  <c r="P19" i="1"/>
  <c r="O48" i="3"/>
  <c r="O97" i="3"/>
  <c r="O55" i="3"/>
  <c r="D22" i="3"/>
  <c r="D50" i="3"/>
  <c r="O73" i="3"/>
  <c r="O59" i="3"/>
  <c r="O41" i="3"/>
  <c r="P173" i="1"/>
  <c r="P57" i="1"/>
  <c r="O117" i="3"/>
  <c r="O171" i="3"/>
  <c r="O170" i="3" s="1"/>
  <c r="O118" i="3"/>
  <c r="O159" i="3"/>
  <c r="O160" i="3"/>
  <c r="O20" i="3"/>
  <c r="O19" i="3" s="1"/>
  <c r="O121" i="3"/>
  <c r="D113" i="3"/>
  <c r="E246" i="1"/>
  <c r="D70" i="3"/>
  <c r="P237" i="1"/>
  <c r="P229" i="1"/>
  <c r="P221" i="1"/>
  <c r="P163" i="1"/>
  <c r="P158" i="1"/>
  <c r="O130" i="3"/>
  <c r="O128" i="3" s="1"/>
  <c r="D150" i="3"/>
  <c r="D122" i="3" s="1"/>
  <c r="O98" i="3"/>
  <c r="D163" i="3"/>
  <c r="D101" i="3"/>
  <c r="O152" i="3"/>
  <c r="O174" i="3"/>
  <c r="O172" i="3" s="1"/>
  <c r="O165" i="3"/>
  <c r="O119" i="3"/>
  <c r="O105" i="3"/>
  <c r="O104" i="3"/>
  <c r="O99" i="3"/>
  <c r="O77" i="3"/>
  <c r="O109" i="3"/>
  <c r="O106" i="3" s="1"/>
  <c r="O103" i="3"/>
  <c r="O153" i="3"/>
  <c r="O74" i="3"/>
  <c r="O87" i="3"/>
  <c r="L204" i="1"/>
  <c r="L246" i="1" s="1"/>
  <c r="L252" i="1" s="1"/>
  <c r="O50" i="3" l="1"/>
  <c r="O22" i="3"/>
  <c r="D189" i="3"/>
  <c r="E252" i="1" s="1"/>
  <c r="O163" i="3"/>
  <c r="O150" i="3"/>
  <c r="O101" i="3"/>
  <c r="P209" i="1"/>
  <c r="P205" i="1" s="1"/>
  <c r="J204" i="1"/>
  <c r="O122" i="3" l="1"/>
  <c r="O120" i="3"/>
  <c r="O113" i="3" s="1"/>
  <c r="O131" i="1" l="1"/>
  <c r="O128" i="1" s="1"/>
  <c r="K131" i="1"/>
  <c r="K128" i="1" s="1"/>
  <c r="J72" i="3" l="1"/>
  <c r="J70" i="3" s="1"/>
  <c r="K127" i="1"/>
  <c r="K246" i="1" s="1"/>
  <c r="N72" i="3"/>
  <c r="N70" i="3" s="1"/>
  <c r="O127" i="1"/>
  <c r="O246" i="1" s="1"/>
  <c r="J131" i="1"/>
  <c r="J128" i="1" s="1"/>
  <c r="N189" i="3" l="1"/>
  <c r="O252" i="1" s="1"/>
  <c r="O255" i="1"/>
  <c r="J189" i="3"/>
  <c r="K252" i="1" s="1"/>
  <c r="K255" i="1"/>
  <c r="I72" i="3"/>
  <c r="I70" i="3" s="1"/>
  <c r="P131" i="1"/>
  <c r="P128" i="1" s="1"/>
  <c r="P18" i="1"/>
  <c r="P220" i="1"/>
  <c r="P236" i="1"/>
  <c r="I189" i="3" l="1"/>
  <c r="O72" i="3"/>
  <c r="P127" i="1"/>
  <c r="O70" i="3"/>
  <c r="J127" i="1"/>
  <c r="J246" i="1" s="1"/>
  <c r="P228" i="1"/>
  <c r="P204" i="1"/>
  <c r="P172" i="1"/>
  <c r="P162" i="1"/>
  <c r="P157" i="1"/>
  <c r="J252" i="1" l="1"/>
  <c r="O189" i="3"/>
  <c r="P246" i="1"/>
  <c r="P252" i="1" l="1"/>
  <c r="C51" i="1"/>
  <c r="C240" i="1" l="1"/>
  <c r="D240" i="1"/>
  <c r="B240" i="1"/>
  <c r="C195" i="1"/>
  <c r="D195" i="1"/>
  <c r="B195" i="1"/>
  <c r="C135" i="1" l="1"/>
  <c r="D135" i="1"/>
  <c r="B135" i="1"/>
  <c r="C30" i="1"/>
  <c r="D30" i="1"/>
  <c r="B30" i="1"/>
  <c r="C88" i="1"/>
  <c r="B88" i="1"/>
  <c r="B117" i="1"/>
  <c r="C117" i="1"/>
  <c r="D117" i="1"/>
  <c r="B143" i="1"/>
  <c r="C143" i="1"/>
  <c r="D143" i="1"/>
  <c r="B145" i="1"/>
  <c r="C145" i="1"/>
  <c r="D145" i="1"/>
  <c r="C139" i="1"/>
  <c r="D139" i="1"/>
  <c r="B139" i="1"/>
  <c r="C224" i="1"/>
  <c r="B224" i="1"/>
  <c r="C223" i="1"/>
  <c r="D223" i="1"/>
  <c r="B223" i="1"/>
  <c r="D121" i="1"/>
  <c r="C121" i="1"/>
  <c r="B121" i="1"/>
  <c r="C120" i="1"/>
  <c r="D120" i="1"/>
  <c r="B120" i="1"/>
  <c r="C48" i="1"/>
  <c r="B48" i="1"/>
  <c r="C156" i="1"/>
  <c r="B156" i="1"/>
  <c r="C152" i="1"/>
  <c r="D152" i="1"/>
  <c r="C153" i="1"/>
  <c r="B153" i="1"/>
  <c r="B152" i="1"/>
  <c r="C151" i="1"/>
  <c r="D151" i="1"/>
  <c r="B151" i="1"/>
  <c r="C150" i="1"/>
  <c r="D150" i="1"/>
  <c r="B150" i="1"/>
  <c r="C149" i="1"/>
  <c r="D149" i="1"/>
  <c r="B149" i="1"/>
  <c r="C148" i="1"/>
  <c r="D148" i="1"/>
  <c r="B148" i="1"/>
  <c r="C147" i="1"/>
  <c r="D147" i="1"/>
  <c r="B147" i="1"/>
  <c r="C142" i="1"/>
  <c r="D142" i="1"/>
  <c r="B142" i="1"/>
  <c r="C141" i="1"/>
  <c r="D141" i="1"/>
  <c r="B141" i="1"/>
  <c r="C137" i="1"/>
  <c r="D137" i="1"/>
  <c r="B137" i="1"/>
  <c r="C136" i="1"/>
  <c r="D136" i="1"/>
  <c r="B136" i="1"/>
  <c r="C133" i="1"/>
  <c r="D133" i="1"/>
  <c r="B133" i="1"/>
  <c r="C132" i="1"/>
  <c r="B132" i="1"/>
  <c r="C131" i="1"/>
  <c r="D131" i="1"/>
  <c r="B131" i="1"/>
  <c r="C124" i="1"/>
  <c r="B124" i="1"/>
  <c r="C115" i="1"/>
  <c r="D115" i="1"/>
  <c r="B115" i="1"/>
  <c r="C113" i="1"/>
  <c r="D113" i="1"/>
  <c r="B113" i="1"/>
  <c r="C111" i="1"/>
  <c r="B111" i="1"/>
  <c r="C107" i="1"/>
  <c r="B107" i="1"/>
  <c r="C94" i="1"/>
  <c r="D94" i="1"/>
  <c r="B94" i="1"/>
  <c r="C93" i="1"/>
  <c r="B93" i="1"/>
  <c r="C89" i="1"/>
  <c r="D89" i="1"/>
  <c r="B89" i="1"/>
  <c r="D87" i="1"/>
  <c r="C87" i="1"/>
  <c r="B87" i="1"/>
  <c r="C83" i="1"/>
  <c r="C84" i="1"/>
  <c r="D84" i="1"/>
  <c r="B84" i="1"/>
  <c r="B83" i="1"/>
  <c r="C82" i="1"/>
  <c r="D82" i="1"/>
  <c r="B82" i="1"/>
  <c r="C80" i="1"/>
  <c r="D80" i="1"/>
  <c r="B80" i="1"/>
  <c r="C79" i="1"/>
  <c r="D79" i="1"/>
  <c r="B79" i="1"/>
  <c r="C76" i="1"/>
  <c r="D76" i="1"/>
  <c r="B76" i="1"/>
  <c r="C69" i="1"/>
  <c r="D69" i="1"/>
  <c r="B69" i="1"/>
  <c r="C67" i="1"/>
  <c r="B67" i="1"/>
  <c r="C55" i="1"/>
  <c r="D55" i="1"/>
  <c r="B55" i="1"/>
  <c r="C54" i="1"/>
  <c r="D54" i="1"/>
  <c r="B54" i="1"/>
  <c r="C53" i="1"/>
  <c r="D53" i="1"/>
  <c r="B53" i="1"/>
  <c r="D51" i="1"/>
  <c r="B51" i="1"/>
  <c r="C50" i="1"/>
  <c r="D50" i="1"/>
  <c r="B50" i="1"/>
  <c r="C49" i="1"/>
  <c r="D49" i="1"/>
  <c r="B49" i="1"/>
  <c r="C47" i="1"/>
  <c r="D47" i="1"/>
  <c r="B47" i="1"/>
  <c r="C46" i="1"/>
  <c r="D46" i="1"/>
  <c r="B46" i="1"/>
  <c r="C45" i="1"/>
  <c r="D45" i="1"/>
  <c r="B45" i="1"/>
  <c r="C44" i="1"/>
  <c r="B44" i="1"/>
  <c r="C41" i="1"/>
  <c r="D41" i="1"/>
  <c r="B41" i="1"/>
  <c r="C28" i="1"/>
  <c r="D28" i="1"/>
  <c r="C29" i="1"/>
  <c r="B29" i="1"/>
  <c r="B28" i="1"/>
  <c r="C31" i="1"/>
  <c r="D31" i="1"/>
  <c r="C32" i="1"/>
  <c r="D32" i="1"/>
  <c r="B32" i="1"/>
  <c r="B31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7" i="1"/>
  <c r="B27" i="1"/>
  <c r="C26" i="1"/>
  <c r="D26" i="1"/>
  <c r="B26" i="1"/>
  <c r="C25" i="1"/>
  <c r="D25" i="1"/>
  <c r="B25" i="1"/>
  <c r="C24" i="1"/>
  <c r="D24" i="1"/>
  <c r="B24" i="1"/>
  <c r="C23" i="1"/>
  <c r="B23" i="1"/>
  <c r="C22" i="1"/>
  <c r="D22" i="1"/>
  <c r="B22" i="1"/>
  <c r="D161" i="1"/>
  <c r="C161" i="1"/>
  <c r="B161" i="1"/>
  <c r="C165" i="1"/>
  <c r="D165" i="1"/>
  <c r="B165" i="1"/>
  <c r="C166" i="1"/>
  <c r="D166" i="1"/>
  <c r="B166" i="1"/>
  <c r="C168" i="1"/>
  <c r="D168" i="1"/>
  <c r="C169" i="1"/>
  <c r="D169" i="1"/>
  <c r="B169" i="1"/>
  <c r="B168" i="1"/>
  <c r="C170" i="1"/>
  <c r="B170" i="1"/>
  <c r="C177" i="1"/>
  <c r="D177" i="1"/>
  <c r="B177" i="1"/>
  <c r="C181" i="1"/>
  <c r="D181" i="1"/>
  <c r="B181" i="1"/>
  <c r="C180" i="1"/>
  <c r="D180" i="1"/>
  <c r="B180" i="1"/>
  <c r="C179" i="1"/>
  <c r="D179" i="1"/>
  <c r="B179" i="1"/>
  <c r="C178" i="1"/>
  <c r="D178" i="1"/>
  <c r="B178" i="1"/>
  <c r="C182" i="1"/>
  <c r="D182" i="1"/>
  <c r="B182" i="1"/>
  <c r="C183" i="1"/>
  <c r="D183" i="1"/>
  <c r="B183" i="1"/>
  <c r="C184" i="1"/>
  <c r="D184" i="1"/>
  <c r="B184" i="1"/>
  <c r="C185" i="1"/>
  <c r="D185" i="1"/>
  <c r="B185" i="1"/>
  <c r="C186" i="1"/>
  <c r="D186" i="1"/>
  <c r="B186" i="1"/>
  <c r="C194" i="1"/>
  <c r="B194" i="1"/>
  <c r="C199" i="1"/>
  <c r="D199" i="1"/>
  <c r="B199" i="1"/>
  <c r="C200" i="1"/>
  <c r="B200" i="1"/>
  <c r="C208" i="1"/>
  <c r="D208" i="1"/>
  <c r="B208" i="1"/>
  <c r="C209" i="1"/>
  <c r="D209" i="1"/>
  <c r="B209" i="1"/>
  <c r="C210" i="1"/>
  <c r="D210" i="1"/>
  <c r="B210" i="1"/>
  <c r="C212" i="1"/>
  <c r="D212" i="1"/>
  <c r="B212" i="1"/>
  <c r="C211" i="1"/>
  <c r="D211" i="1"/>
  <c r="B211" i="1"/>
  <c r="C214" i="1"/>
  <c r="D214" i="1"/>
  <c r="B214" i="1"/>
  <c r="C217" i="1"/>
  <c r="B217" i="1"/>
  <c r="C231" i="1"/>
  <c r="D231" i="1"/>
  <c r="B231" i="1"/>
  <c r="C232" i="1"/>
  <c r="D232" i="1"/>
  <c r="B232" i="1"/>
  <c r="C233" i="1"/>
  <c r="D233" i="1"/>
  <c r="B233" i="1"/>
  <c r="C234" i="1"/>
  <c r="D234" i="1"/>
  <c r="B234" i="1"/>
  <c r="C235" i="1"/>
  <c r="D235" i="1"/>
  <c r="B235" i="1"/>
  <c r="C239" i="1"/>
  <c r="B239" i="1"/>
  <c r="C242" i="1"/>
  <c r="D242" i="1"/>
  <c r="B242" i="1"/>
  <c r="C243" i="1"/>
  <c r="D243" i="1"/>
  <c r="B243" i="1"/>
  <c r="C244" i="1"/>
  <c r="D244" i="1"/>
  <c r="B244" i="1"/>
  <c r="C245" i="1"/>
  <c r="D245" i="1"/>
  <c r="B245" i="1"/>
  <c r="C238" i="1"/>
  <c r="B238" i="1"/>
  <c r="C230" i="1"/>
  <c r="B230" i="1"/>
  <c r="C227" i="1"/>
  <c r="B227" i="1"/>
  <c r="C222" i="1"/>
  <c r="B222" i="1"/>
  <c r="C207" i="1"/>
  <c r="B207" i="1"/>
  <c r="C203" i="1"/>
  <c r="B203" i="1"/>
  <c r="C176" i="1"/>
  <c r="B176" i="1"/>
  <c r="C164" i="1"/>
  <c r="B164" i="1"/>
  <c r="C159" i="1"/>
  <c r="B159" i="1"/>
  <c r="C130" i="1"/>
  <c r="B130" i="1"/>
  <c r="C106" i="1"/>
  <c r="B106" i="1"/>
  <c r="C66" i="1"/>
  <c r="B66" i="1"/>
  <c r="C21" i="1"/>
  <c r="B21" i="1"/>
  <c r="D238" i="1"/>
  <c r="D230" i="1"/>
  <c r="D227" i="1"/>
  <c r="D222" i="1"/>
  <c r="D207" i="1"/>
  <c r="D203" i="1"/>
  <c r="D176" i="1"/>
  <c r="D164" i="1"/>
  <c r="D159" i="1"/>
  <c r="D130" i="1"/>
  <c r="D106" i="1"/>
  <c r="D66" i="1"/>
  <c r="D21" i="1"/>
  <c r="E52" i="3" l="1"/>
  <c r="E71" i="3" l="1"/>
  <c r="E192" i="3" s="1"/>
  <c r="F255" i="1" l="1"/>
  <c r="J254" i="1"/>
  <c r="I23" i="3"/>
  <c r="D52" i="3"/>
  <c r="D23" i="3"/>
  <c r="I52" i="3"/>
  <c r="E254" i="1" l="1"/>
  <c r="P254" i="1"/>
  <c r="O23" i="3"/>
  <c r="O52" i="3"/>
  <c r="D53" i="3" l="1"/>
  <c r="D54" i="3"/>
  <c r="D51" i="3" l="1"/>
  <c r="I54" i="3"/>
  <c r="I53" i="3"/>
  <c r="O54" i="3"/>
  <c r="D71" i="3" l="1"/>
  <c r="O53" i="3"/>
  <c r="I51" i="3"/>
  <c r="O51" i="3" l="1"/>
  <c r="I71" i="3"/>
  <c r="O71" i="3" l="1"/>
  <c r="I142" i="3"/>
  <c r="I124" i="3" s="1"/>
  <c r="I192" i="3" s="1"/>
  <c r="D142" i="3"/>
  <c r="D124" i="3" s="1"/>
  <c r="D192" i="3" l="1"/>
  <c r="E255" i="1" s="1"/>
  <c r="J255" i="1"/>
  <c r="O142" i="3"/>
  <c r="O124" i="3" s="1"/>
  <c r="O192" i="3" s="1"/>
  <c r="P255" i="1" l="1"/>
  <c r="D129" i="3"/>
  <c r="D123" i="3" s="1"/>
  <c r="E253" i="1" l="1"/>
  <c r="I129" i="3"/>
  <c r="I123" i="3" s="1"/>
  <c r="O129" i="3"/>
  <c r="O123" i="3" s="1"/>
  <c r="J253" i="1" l="1"/>
  <c r="P253" i="1"/>
</calcChain>
</file>

<file path=xl/sharedStrings.xml><?xml version="1.0" encoding="utf-8"?>
<sst xmlns="http://schemas.openxmlformats.org/spreadsheetml/2006/main" count="739" uniqueCount="516">
  <si>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</si>
  <si>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</si>
  <si>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</si>
  <si>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</si>
  <si>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</si>
  <si>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</si>
  <si>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</si>
  <si>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</si>
  <si>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</si>
  <si>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</si>
  <si>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</si>
  <si>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</si>
  <si>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</si>
  <si>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</si>
  <si>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</si>
  <si>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</si>
  <si>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</si>
  <si>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</si>
  <si>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</si>
  <si>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</si>
  <si>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</si>
  <si>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</si>
  <si>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</si>
  <si>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</si>
  <si>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</si>
  <si>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</si>
  <si>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</si>
  <si>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</si>
  <si>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</si>
  <si>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</si>
  <si>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</si>
  <si>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</si>
  <si>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</si>
  <si>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</si>
  <si>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</si>
  <si>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</si>
  <si>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</si>
  <si>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</si>
  <si>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</si>
  <si>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</si>
  <si>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</si>
  <si>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</si>
  <si>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</si>
  <si>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</si>
  <si>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</si>
  <si>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</si>
  <si>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</si>
  <si>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</si>
  <si>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</si>
  <si>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</si>
  <si>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</si>
  <si>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</si>
  <si>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</si>
  <si>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</si>
  <si>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</si>
  <si>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</si>
  <si>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</si>
  <si>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</si>
  <si>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</si>
  <si>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</si>
  <si>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</si>
  <si>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</si>
  <si>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</si>
  <si>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</si>
  <si>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</si>
  <si>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</si>
  <si>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</si>
  <si>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</si>
  <si>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</si>
  <si>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</si>
  <si>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</si>
  <si>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</si>
  <si>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</si>
  <si>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</si>
  <si>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</si>
  <si>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</si>
  <si>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</si>
  <si>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</si>
  <si>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</si>
  <si>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</si>
  <si>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</si>
  <si>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</si>
  <si>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</si>
  <si>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</si>
  <si>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</si>
  <si>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</si>
  <si>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</si>
  <si>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</si>
  <si>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</si>
  <si>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</si>
  <si>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</si>
  <si>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</si>
  <si>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</si>
  <si>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</si>
  <si>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</si>
  <si>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</si>
  <si>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</si>
  <si>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</si>
  <si>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</si>
  <si>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</si>
  <si>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</si>
  <si>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</si>
  <si>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</si>
  <si>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</si>
  <si>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</si>
  <si>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</si>
  <si>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</si>
  <si>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</si>
  <si>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</si>
  <si>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</si>
  <si>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</si>
  <si>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</si>
  <si>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</si>
  <si>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</si>
  <si>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</si>
  <si>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</si>
  <si>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</si>
  <si>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</si>
  <si>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</si>
  <si>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</si>
  <si>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</si>
  <si>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</si>
  <si>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</si>
  <si>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</si>
  <si>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</si>
  <si>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</si>
  <si>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</si>
  <si>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</si>
  <si>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</si>
  <si>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</si>
  <si>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</si>
  <si>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</si>
  <si>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</si>
  <si>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</si>
  <si>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</si>
  <si>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</si>
  <si>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</si>
  <si>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</si>
  <si>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</si>
  <si>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</si>
  <si>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</si>
  <si>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</si>
  <si>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</si>
  <si>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</si>
  <si>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</si>
  <si>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</si>
  <si>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</si>
  <si>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</si>
  <si>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</si>
  <si>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</si>
  <si>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</si>
  <si>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</si>
  <si>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</si>
  <si>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</si>
  <si>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</si>
  <si>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</si>
  <si>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</si>
  <si>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</si>
  <si>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</si>
  <si>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</si>
  <si>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</si>
  <si>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</si>
  <si>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</si>
  <si>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</si>
  <si>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</si>
  <si>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</si>
  <si>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</si>
  <si>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</si>
  <si>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</si>
  <si>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</si>
  <si>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</si>
  <si>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</si>
  <si>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</si>
  <si>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</si>
  <si>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</si>
  <si>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</si>
  <si>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</si>
  <si>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</si>
  <si>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</si>
  <si>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</si>
  <si>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</si>
  <si>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</si>
  <si>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</si>
  <si>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</si>
  <si>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</si>
  <si>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</si>
  <si>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</si>
  <si>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</si>
  <si>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</si>
  <si>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</si>
  <si>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</si>
  <si>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</si>
  <si>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</si>
  <si>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</si>
  <si>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</si>
  <si>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</si>
  <si>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</si>
  <si>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</si>
  <si>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</si>
  <si>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</si>
  <si>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</si>
  <si>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</si>
  <si>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</si>
  <si>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</si>
  <si>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</si>
  <si>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</si>
  <si>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</si>
  <si>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</si>
  <si>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</si>
  <si>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</si>
  <si>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</si>
  <si>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</si>
  <si>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</si>
  <si>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</si>
  <si>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</si>
  <si>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</si>
  <si>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</si>
  <si>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</si>
  <si>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</si>
  <si>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</si>
  <si>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</si>
  <si>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</si>
  <si>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</si>
  <si>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</si>
  <si>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</si>
  <si>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</si>
  <si>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</si>
  <si>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</si>
  <si>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</si>
  <si>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</si>
  <si>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</si>
  <si>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</si>
  <si>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</si>
  <si>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</si>
  <si>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</si>
  <si>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</si>
  <si>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</si>
  <si>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</si>
  <si>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</si>
  <si>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</si>
  <si>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</si>
  <si>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</si>
  <si>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</si>
  <si>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</si>
  <si>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</si>
  <si>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</si>
  <si>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</si>
  <si>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</si>
  <si>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</si>
  <si>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</si>
  <si>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</si>
  <si>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</si>
  <si>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</si>
  <si>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</si>
  <si>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</si>
  <si>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</si>
  <si>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</si>
  <si>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</si>
  <si>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</si>
  <si>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</si>
  <si>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</si>
  <si>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</si>
  <si>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</si>
  <si>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</si>
  <si>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</si>
  <si>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</si>
  <si>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</si>
  <si>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</si>
  <si>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</si>
  <si>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</si>
  <si>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</si>
  <si>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</si>
  <si>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</si>
  <si>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</si>
  <si>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</si>
  <si>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</si>
  <si>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</si>
  <si>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</si>
  <si>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</si>
  <si>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</si>
  <si>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</si>
  <si>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</si>
  <si>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</si>
  <si>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</si>
  <si>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</si>
  <si>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</si>
  <si>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</si>
  <si>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</si>
  <si>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</si>
  <si>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</si>
  <si>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</si>
  <si>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</si>
  <si>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</si>
  <si>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</si>
  <si>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</si>
  <si>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</si>
  <si>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</si>
  <si>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</si>
  <si>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</si>
  <si>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</si>
  <si>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</si>
  <si>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</si>
  <si>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</si>
  <si>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</si>
  <si>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</si>
  <si>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</si>
  <si>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</si>
  <si>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</si>
  <si>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</si>
  <si>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</si>
  <si>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</si>
  <si>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</si>
  <si>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</si>
  <si>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</si>
  <si>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</si>
  <si>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</si>
  <si>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</si>
  <si>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</si>
  <si>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</si>
  <si>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</si>
  <si>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</si>
  <si>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</si>
  <si>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</si>
  <si>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</si>
  <si>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</si>
  <si>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</si>
  <si>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</si>
  <si>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</si>
  <si>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</si>
  <si>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</si>
  <si>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</si>
  <si>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</si>
  <si>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</si>
  <si>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</si>
  <si>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</si>
  <si>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</si>
  <si>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</si>
  <si>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</si>
  <si>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</si>
  <si>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</si>
  <si>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</si>
  <si>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</si>
  <si>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</si>
  <si>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</si>
  <si>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</si>
  <si>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</si>
  <si>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</si>
  <si>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</si>
  <si>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</si>
  <si>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</si>
  <si>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</si>
  <si>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</si>
  <si>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</si>
  <si>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</si>
  <si>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</si>
  <si>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</si>
  <si>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</si>
  <si>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</si>
  <si>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</si>
  <si>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</si>
  <si>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</si>
  <si>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</si>
  <si>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</si>
  <si>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</si>
  <si>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</si>
  <si>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</si>
  <si>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</si>
  <si>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</si>
  <si>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</si>
  <si>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</si>
  <si>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</si>
  <si>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</si>
  <si>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</si>
  <si>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</si>
  <si>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</si>
  <si>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</si>
  <si>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</si>
  <si>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</si>
  <si>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</si>
  <si>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</si>
  <si>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</si>
  <si>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</si>
  <si>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</si>
  <si>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</si>
  <si>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</si>
  <si>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</si>
  <si>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</si>
  <si>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</si>
  <si>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</si>
  <si>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</si>
  <si>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</si>
  <si>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</si>
  <si>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</si>
  <si>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</si>
  <si>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</si>
  <si>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</si>
  <si>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</si>
  <si>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</si>
  <si>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</si>
  <si>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</si>
  <si>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</si>
  <si>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</si>
  <si>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</si>
  <si>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</si>
  <si>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</si>
  <si>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</si>
  <si>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</si>
  <si>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</si>
  <si>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</si>
  <si>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</si>
  <si>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</si>
  <si>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</si>
  <si>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</si>
  <si>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</si>
  <si>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</si>
  <si>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</si>
  <si>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</si>
  <si>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</si>
  <si>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</si>
  <si>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</si>
  <si>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</si>
  <si>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</si>
  <si>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</si>
  <si>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</si>
  <si>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</si>
  <si>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</si>
  <si>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>Сумський міський голова</t>
  </si>
  <si>
    <t>О.М. Лисенко</t>
  </si>
  <si>
    <t xml:space="preserve"> __________________</t>
  </si>
  <si>
    <t>(зі змінами)»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</si>
  <si>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</si>
  <si>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</si>
  <si>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</si>
  <si>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</si>
  <si>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</si>
  <si>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</si>
  <si>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 xml:space="preserve">                        Додаток № 3</t>
  </si>
  <si>
    <t>1218110</t>
  </si>
  <si>
    <t xml:space="preserve">територіальної   громади    на   2020   рік»  </t>
  </si>
  <si>
    <t>0617321</t>
  </si>
  <si>
    <t xml:space="preserve">територіальної   громади    на    2020   рік» </t>
  </si>
  <si>
    <t xml:space="preserve">    код бюджету</t>
  </si>
  <si>
    <t>0219800</t>
  </si>
  <si>
    <t xml:space="preserve">від  24   грудня   2019   року  №  6248 - МР           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</si>
  <si>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</si>
  <si>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</si>
  <si>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</si>
  <si>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</si>
  <si>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</si>
  <si>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</si>
  <si>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</si>
  <si>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</si>
  <si>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</si>
  <si>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</si>
  <si>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</si>
  <si>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</si>
  <si>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</si>
  <si>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</si>
  <si>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</si>
  <si>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</si>
  <si>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</si>
  <si>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</si>
  <si>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</si>
  <si>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</si>
  <si>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</si>
  <si>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</si>
  <si>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</si>
  <si>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</si>
  <si>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</si>
  <si>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</si>
  <si>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</si>
  <si>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</si>
  <si>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</si>
  <si>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</si>
  <si>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</si>
  <si>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</si>
  <si>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</si>
  <si>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</si>
  <si>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</si>
  <si>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</si>
  <si>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</si>
  <si>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</si>
  <si>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</si>
  <si>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</si>
  <si>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</si>
  <si>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</si>
  <si>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</si>
  <si>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</si>
  <si>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</si>
  <si>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</si>
  <si>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</si>
  <si>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</si>
  <si>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</si>
  <si>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</si>
  <si>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Виконавець: Липова С.А.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</si>
  <si>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</si>
  <si>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</si>
  <si>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</si>
  <si>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</si>
  <si>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</si>
  <si>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</si>
  <si>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</si>
  <si>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</si>
  <si>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</si>
  <si>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</si>
  <si>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</si>
  <si>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</si>
  <si>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від  24  червня   2020   року   № 7073 -  МР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</si>
  <si>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</si>
  <si>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</si>
  <si>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</si>
  <si>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</si>
  <si>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 xml:space="preserve">                        Додаток № 4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</si>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</sst>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0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94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34" fillId="0" borderId="0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vertical="center" wrapText="1"/>
    </xf>
    <xf numFmtId="49" fontId="44" fillId="0" borderId="0" xfId="0" applyNumberFormat="1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top"/>
    </xf>
    <xf numFmtId="0" fontId="47" fillId="0" borderId="0" xfId="0" applyNumberFormat="1" applyFont="1" applyFill="1" applyAlignment="1" applyProtection="1"/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1" fontId="23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wrapText="1"/>
    </xf>
    <xf numFmtId="3" fontId="42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9" fontId="23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4" fontId="25" fillId="0" borderId="7" xfId="0" applyNumberFormat="1" applyFont="1" applyFill="1" applyBorder="1" applyAlignment="1">
      <alignment horizontal="right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" fontId="48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 shrinkToFit="1"/>
    </xf>
    <xf numFmtId="49" fontId="49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Alignment="1" applyProtection="1">
      <alignment horizontal="center" vertical="top"/>
    </xf>
    <xf numFmtId="3" fontId="40" fillId="0" borderId="0" xfId="0" applyNumberFormat="1" applyFont="1" applyFill="1" applyBorder="1" applyAlignment="1">
      <alignment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752"/>
  <sheetViews>
    <sheetView showGridLines="0" showZeros="0" tabSelected="1" view="pageBreakPreview" topLeftCell="G1" zoomScale="98" zoomScaleNormal="71" zoomScaleSheetLayoutView="98" workbookViewId="0">
      <selection activeCell="E254" sqref="E254"/>
    </sheetView>
  </sheetViews>
  <sheetFormatPr defaultColWidth="9.1640625" defaultRowHeight="15" x14ac:dyDescent="0.25"/>
  <cols>
    <col min="1" max="1" width="16.6640625" style="89" customWidth="1"/>
    <col min="2" max="2" width="17.5" style="18" hidden="1" customWidth="1"/>
    <col min="3" max="3" width="18" style="18" hidden="1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78" customWidth="1"/>
    <col min="17" max="529" width="9.1640625" style="34"/>
    <col min="530" max="16384" width="9.1640625" style="20"/>
  </cols>
  <sheetData>
    <row r="1" spans="1:529" ht="26.25" customHeight="1" x14ac:dyDescent="0.25">
      <c r="K1" s="121" t="s">
        <v>420</v>
      </c>
      <c r="L1" s="182" t="s">
        <v>436</v>
      </c>
      <c r="M1" s="182"/>
      <c r="N1" s="182"/>
      <c r="O1" s="182"/>
      <c r="P1" s="153"/>
    </row>
    <row r="2" spans="1:529" ht="26.25" customHeight="1" x14ac:dyDescent="0.25">
      <c r="K2" s="121"/>
      <c r="L2" s="153" t="s">
        <v>422</v>
      </c>
      <c r="M2" s="153"/>
      <c r="N2" s="153"/>
      <c r="O2" s="153"/>
      <c r="P2" s="91"/>
    </row>
    <row r="3" spans="1:529" ht="26.25" customHeight="1" x14ac:dyDescent="0.25">
      <c r="K3" s="121"/>
      <c r="L3" s="184" t="s">
        <v>423</v>
      </c>
      <c r="M3" s="184"/>
      <c r="N3" s="184"/>
      <c r="O3" s="184"/>
      <c r="P3" s="184"/>
    </row>
    <row r="4" spans="1:529" ht="26.25" customHeight="1" x14ac:dyDescent="0.25">
      <c r="K4" s="121"/>
      <c r="L4" s="183" t="s">
        <v>424</v>
      </c>
      <c r="M4" s="183"/>
      <c r="N4" s="183"/>
      <c r="O4" s="183"/>
      <c r="P4" s="183"/>
    </row>
    <row r="5" spans="1:529" ht="26.25" customHeight="1" x14ac:dyDescent="0.25">
      <c r="K5" s="121"/>
      <c r="L5" s="153" t="s">
        <v>425</v>
      </c>
      <c r="M5" s="153"/>
      <c r="N5" s="153"/>
      <c r="O5" s="153"/>
      <c r="P5" s="153"/>
    </row>
    <row r="6" spans="1:529" ht="23.25" customHeight="1" x14ac:dyDescent="0.25">
      <c r="K6" s="122"/>
      <c r="L6" s="153" t="s">
        <v>430</v>
      </c>
      <c r="M6" s="153"/>
      <c r="N6" s="153"/>
      <c r="O6" s="153"/>
      <c r="P6" s="153"/>
    </row>
    <row r="7" spans="1:529" ht="26.25" customHeight="1" x14ac:dyDescent="0.25">
      <c r="K7" s="153"/>
      <c r="L7" s="153" t="s">
        <v>440</v>
      </c>
      <c r="M7" s="153"/>
      <c r="N7" s="153"/>
      <c r="O7" s="153"/>
      <c r="P7" s="153"/>
      <c r="Q7" s="153"/>
    </row>
    <row r="8" spans="1:529" ht="26.25" customHeight="1" x14ac:dyDescent="0.25">
      <c r="K8" s="153"/>
      <c r="L8" s="153" t="s">
        <v>429</v>
      </c>
      <c r="M8" s="153"/>
      <c r="N8" s="153"/>
      <c r="O8" s="153"/>
      <c r="P8" s="153"/>
      <c r="Q8" s="153"/>
    </row>
    <row r="9" spans="1:529" ht="26.25" x14ac:dyDescent="0.4">
      <c r="L9" s="108" t="s">
        <v>507</v>
      </c>
      <c r="M9" s="108"/>
      <c r="N9" s="108"/>
      <c r="O9" s="108"/>
      <c r="P9" s="108"/>
    </row>
    <row r="10" spans="1:529" ht="26.25" x14ac:dyDescent="0.4">
      <c r="L10" s="108"/>
      <c r="M10" s="108"/>
      <c r="N10" s="108"/>
      <c r="O10" s="108"/>
      <c r="P10" s="108"/>
    </row>
    <row r="11" spans="1:529" s="56" customFormat="1" ht="59.25" customHeight="1" x14ac:dyDescent="0.3">
      <c r="A11" s="187" t="s">
        <v>392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</row>
    <row r="12" spans="1:529" s="56" customFormat="1" ht="42" customHeight="1" x14ac:dyDescent="0.3">
      <c r="A12" s="123" t="s">
        <v>398</v>
      </c>
      <c r="B12" s="123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</row>
    <row r="13" spans="1:529" s="56" customFormat="1" ht="31.5" customHeight="1" x14ac:dyDescent="0.3">
      <c r="A13" s="124" t="s">
        <v>441</v>
      </c>
      <c r="B13" s="124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</row>
    <row r="14" spans="1:529" s="58" customFormat="1" ht="14.25" customHeight="1" x14ac:dyDescent="0.3">
      <c r="A14" s="83"/>
      <c r="B14" s="63"/>
      <c r="C14" s="63"/>
      <c r="D14" s="19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13" t="s">
        <v>394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</row>
    <row r="15" spans="1:529" s="21" customFormat="1" ht="34.5" customHeight="1" x14ac:dyDescent="0.2">
      <c r="A15" s="188" t="s">
        <v>371</v>
      </c>
      <c r="B15" s="186" t="s">
        <v>372</v>
      </c>
      <c r="C15" s="186" t="s">
        <v>359</v>
      </c>
      <c r="D15" s="186" t="s">
        <v>373</v>
      </c>
      <c r="E15" s="186" t="s">
        <v>245</v>
      </c>
      <c r="F15" s="186"/>
      <c r="G15" s="186"/>
      <c r="H15" s="186"/>
      <c r="I15" s="186"/>
      <c r="J15" s="186" t="s">
        <v>246</v>
      </c>
      <c r="K15" s="186"/>
      <c r="L15" s="186"/>
      <c r="M15" s="186"/>
      <c r="N15" s="186"/>
      <c r="O15" s="186"/>
      <c r="P15" s="186" t="s">
        <v>247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88"/>
      <c r="B16" s="186"/>
      <c r="C16" s="186"/>
      <c r="D16" s="186"/>
      <c r="E16" s="186" t="s">
        <v>360</v>
      </c>
      <c r="F16" s="186" t="s">
        <v>248</v>
      </c>
      <c r="G16" s="186" t="s">
        <v>249</v>
      </c>
      <c r="H16" s="186"/>
      <c r="I16" s="186" t="s">
        <v>250</v>
      </c>
      <c r="J16" s="186" t="s">
        <v>360</v>
      </c>
      <c r="K16" s="186" t="s">
        <v>361</v>
      </c>
      <c r="L16" s="186" t="s">
        <v>248</v>
      </c>
      <c r="M16" s="186" t="s">
        <v>249</v>
      </c>
      <c r="N16" s="186"/>
      <c r="O16" s="186" t="s">
        <v>250</v>
      </c>
      <c r="P16" s="186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54" customHeight="1" x14ac:dyDescent="0.2">
      <c r="A17" s="188"/>
      <c r="B17" s="186"/>
      <c r="C17" s="186"/>
      <c r="D17" s="186"/>
      <c r="E17" s="186"/>
      <c r="F17" s="186"/>
      <c r="G17" s="155" t="s">
        <v>251</v>
      </c>
      <c r="H17" s="155" t="s">
        <v>252</v>
      </c>
      <c r="I17" s="186"/>
      <c r="J17" s="186"/>
      <c r="K17" s="186"/>
      <c r="L17" s="186"/>
      <c r="M17" s="155" t="s">
        <v>251</v>
      </c>
      <c r="N17" s="155" t="s">
        <v>252</v>
      </c>
      <c r="O17" s="186"/>
      <c r="P17" s="186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84" t="s">
        <v>160</v>
      </c>
      <c r="B18" s="65"/>
      <c r="C18" s="65"/>
      <c r="D18" s="32" t="s">
        <v>39</v>
      </c>
      <c r="E18" s="66">
        <f>E19</f>
        <v>199875165</v>
      </c>
      <c r="F18" s="66">
        <f t="shared" ref="F18:J18" si="0">F19</f>
        <v>171875165</v>
      </c>
      <c r="G18" s="66">
        <f t="shared" si="0"/>
        <v>93154796</v>
      </c>
      <c r="H18" s="66">
        <f t="shared" si="0"/>
        <v>4360400</v>
      </c>
      <c r="I18" s="66">
        <f t="shared" si="0"/>
        <v>28000000</v>
      </c>
      <c r="J18" s="66">
        <f t="shared" si="0"/>
        <v>21491331.199999999</v>
      </c>
      <c r="K18" s="66">
        <f t="shared" ref="K18" si="1">K19</f>
        <v>20974488</v>
      </c>
      <c r="L18" s="66">
        <f t="shared" ref="L18" si="2">L19</f>
        <v>516843.2</v>
      </c>
      <c r="M18" s="66">
        <f t="shared" ref="M18" si="3">M19</f>
        <v>91105</v>
      </c>
      <c r="N18" s="66">
        <f t="shared" ref="N18" si="4">N19</f>
        <v>52450</v>
      </c>
      <c r="O18" s="66">
        <f t="shared" ref="O18:P18" si="5">O19</f>
        <v>20974488</v>
      </c>
      <c r="P18" s="66">
        <f t="shared" si="5"/>
        <v>221366496.19999999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36" customHeight="1" x14ac:dyDescent="0.25">
      <c r="A19" s="76" t="s">
        <v>161</v>
      </c>
      <c r="B19" s="67"/>
      <c r="C19" s="67"/>
      <c r="D19" s="33" t="s">
        <v>445</v>
      </c>
      <c r="E19" s="68">
        <f>E21+E22+E23+E24+E25+E26+E27+E28+E29+E30+E31+E32+E33+E34+E35+E36+E37+E38+E39+E40+E41+E44+E45+E46+E47+E48+E49+E50+E51+E53+E54+E55+E42+E43+E56</f>
        <v>199875165</v>
      </c>
      <c r="F19" s="68">
        <f t="shared" ref="F19:P19" si="6">F21+F22+F23+F24+F25+F26+F27+F28+F29+F30+F31+F32+F33+F34+F35+F36+F37+F38+F39+F40+F41+F44+F45+F46+F47+F48+F49+F50+F51+F53+F54+F55+F42+F43+F56</f>
        <v>171875165</v>
      </c>
      <c r="G19" s="68">
        <f t="shared" si="6"/>
        <v>93154796</v>
      </c>
      <c r="H19" s="68">
        <f t="shared" si="6"/>
        <v>4360400</v>
      </c>
      <c r="I19" s="68">
        <f t="shared" si="6"/>
        <v>28000000</v>
      </c>
      <c r="J19" s="68">
        <f t="shared" si="6"/>
        <v>21491331.199999999</v>
      </c>
      <c r="K19" s="68">
        <f t="shared" si="6"/>
        <v>20974488</v>
      </c>
      <c r="L19" s="68">
        <f t="shared" si="6"/>
        <v>516843.2</v>
      </c>
      <c r="M19" s="68">
        <f t="shared" si="6"/>
        <v>91105</v>
      </c>
      <c r="N19" s="68">
        <f t="shared" si="6"/>
        <v>52450</v>
      </c>
      <c r="O19" s="68">
        <f t="shared" si="6"/>
        <v>20974488</v>
      </c>
      <c r="P19" s="68">
        <f t="shared" si="6"/>
        <v>221366496.19999999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40" customFormat="1" ht="50.25" customHeight="1" x14ac:dyDescent="0.25">
      <c r="A20" s="76"/>
      <c r="B20" s="67"/>
      <c r="C20" s="67"/>
      <c r="D20" s="33" t="s">
        <v>444</v>
      </c>
      <c r="E20" s="68">
        <f>E52</f>
        <v>380580</v>
      </c>
      <c r="F20" s="68">
        <f t="shared" ref="F20:P20" si="7">F52</f>
        <v>380580</v>
      </c>
      <c r="G20" s="68">
        <f t="shared" si="7"/>
        <v>311950</v>
      </c>
      <c r="H20" s="68">
        <f t="shared" si="7"/>
        <v>0</v>
      </c>
      <c r="I20" s="68">
        <f t="shared" si="7"/>
        <v>0</v>
      </c>
      <c r="J20" s="68">
        <f t="shared" si="7"/>
        <v>0</v>
      </c>
      <c r="K20" s="68">
        <f t="shared" si="7"/>
        <v>0</v>
      </c>
      <c r="L20" s="68">
        <f t="shared" si="7"/>
        <v>0</v>
      </c>
      <c r="M20" s="68">
        <f t="shared" si="7"/>
        <v>0</v>
      </c>
      <c r="N20" s="68">
        <f t="shared" si="7"/>
        <v>0</v>
      </c>
      <c r="O20" s="68">
        <f t="shared" si="7"/>
        <v>0</v>
      </c>
      <c r="P20" s="68">
        <f t="shared" si="7"/>
        <v>380580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</row>
    <row r="21" spans="1:529" s="23" customFormat="1" ht="45.75" customHeight="1" x14ac:dyDescent="0.25">
      <c r="A21" s="43" t="s">
        <v>162</v>
      </c>
      <c r="B21" s="44" t="str">
        <f>'дод 4'!A20</f>
        <v>0160</v>
      </c>
      <c r="C21" s="44" t="str">
        <f>'дод 4'!B20</f>
        <v>0111</v>
      </c>
      <c r="D2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1" s="69">
        <f t="shared" ref="E21:E56" si="8">F21+I21</f>
        <v>99941282</v>
      </c>
      <c r="F21" s="69">
        <f>105070300+350000+405400-4697800+243482-1103300+14800-213000+230000+41400-400000</f>
        <v>99941282</v>
      </c>
      <c r="G21" s="69">
        <f>77144000-3850700+199575-174600+188526</f>
        <v>73506801</v>
      </c>
      <c r="H21" s="69">
        <f>2750400-400000</f>
        <v>2350400</v>
      </c>
      <c r="I21" s="69"/>
      <c r="J21" s="69">
        <f>L21+O21</f>
        <v>0</v>
      </c>
      <c r="K21" s="69">
        <f>1230200-1230200</f>
        <v>0</v>
      </c>
      <c r="L21" s="69"/>
      <c r="M21" s="69"/>
      <c r="N21" s="69"/>
      <c r="O21" s="69">
        <f>1230200-1230200</f>
        <v>0</v>
      </c>
      <c r="P21" s="69">
        <f t="shared" ref="P21:P56" si="9">E21+J21</f>
        <v>99941282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21.75" customHeight="1" x14ac:dyDescent="0.25">
      <c r="A22" s="43" t="s">
        <v>263</v>
      </c>
      <c r="B22" s="44" t="str">
        <f>'дод 4'!A21</f>
        <v>0180</v>
      </c>
      <c r="C22" s="44" t="str">
        <f>'дод 4'!B21</f>
        <v>0133</v>
      </c>
      <c r="D22" s="24" t="str">
        <f>'дод 4'!C21</f>
        <v>Інша діяльність у сфері державного управління</v>
      </c>
      <c r="E22" s="69">
        <f t="shared" si="8"/>
        <v>430300</v>
      </c>
      <c r="F22" s="69">
        <f>310000+34300+86000</f>
        <v>430300</v>
      </c>
      <c r="G22" s="69"/>
      <c r="H22" s="69"/>
      <c r="I22" s="69"/>
      <c r="J22" s="69">
        <f t="shared" ref="J22:J56" si="10">L22+O22</f>
        <v>0</v>
      </c>
      <c r="K22" s="69"/>
      <c r="L22" s="69"/>
      <c r="M22" s="69"/>
      <c r="N22" s="69"/>
      <c r="O22" s="69"/>
      <c r="P22" s="69">
        <f t="shared" si="9"/>
        <v>430300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8.25" customHeight="1" x14ac:dyDescent="0.25">
      <c r="A23" s="43" t="s">
        <v>279</v>
      </c>
      <c r="B23" s="44" t="str">
        <f>'дод 4'!A74</f>
        <v>3033</v>
      </c>
      <c r="C23" s="44" t="str">
        <f>'дод 4'!B74</f>
        <v>1070</v>
      </c>
      <c r="D23" s="24" t="s">
        <v>497</v>
      </c>
      <c r="E23" s="69">
        <f t="shared" si="8"/>
        <v>124200</v>
      </c>
      <c r="F23" s="69">
        <v>124200</v>
      </c>
      <c r="G23" s="69"/>
      <c r="H23" s="69"/>
      <c r="I23" s="69"/>
      <c r="J23" s="69">
        <f t="shared" si="10"/>
        <v>0</v>
      </c>
      <c r="K23" s="69"/>
      <c r="L23" s="69"/>
      <c r="M23" s="69"/>
      <c r="N23" s="69"/>
      <c r="O23" s="69"/>
      <c r="P23" s="69">
        <f t="shared" si="9"/>
        <v>124200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6.75" customHeight="1" x14ac:dyDescent="0.25">
      <c r="A24" s="43" t="s">
        <v>163</v>
      </c>
      <c r="B24" s="44" t="str">
        <f>'дод 4'!A77</f>
        <v>3036</v>
      </c>
      <c r="C24" s="44" t="str">
        <f>'дод 4'!B77</f>
        <v>1070</v>
      </c>
      <c r="D24" s="24" t="str">
        <f>'дод 4'!C77</f>
        <v>Компенсаційні виплати на пільговий проїзд електротранспортом окремим категоріям громадян</v>
      </c>
      <c r="E24" s="69">
        <f t="shared" si="8"/>
        <v>270325</v>
      </c>
      <c r="F24" s="69">
        <v>270325</v>
      </c>
      <c r="G24" s="69"/>
      <c r="H24" s="69"/>
      <c r="I24" s="69"/>
      <c r="J24" s="69">
        <f t="shared" si="10"/>
        <v>0</v>
      </c>
      <c r="K24" s="69"/>
      <c r="L24" s="69"/>
      <c r="M24" s="69"/>
      <c r="N24" s="69"/>
      <c r="O24" s="69"/>
      <c r="P24" s="69">
        <f t="shared" si="9"/>
        <v>270325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36" customHeight="1" x14ac:dyDescent="0.25">
      <c r="A25" s="43" t="s">
        <v>164</v>
      </c>
      <c r="B25" s="44" t="str">
        <f>'дод 4'!A85</f>
        <v>3121</v>
      </c>
      <c r="C25" s="44" t="str">
        <f>'дод 4'!B85</f>
        <v>1040</v>
      </c>
      <c r="D25" s="24" t="str">
        <f>'дод 4'!C85</f>
        <v>Утримання та забезпечення діяльності центрів соціальних служб для сім’ї, дітей та молоді</v>
      </c>
      <c r="E25" s="69">
        <f t="shared" si="8"/>
        <v>2529735</v>
      </c>
      <c r="F25" s="69">
        <f>2487735+42000</f>
        <v>2529735</v>
      </c>
      <c r="G25" s="69">
        <v>1883250</v>
      </c>
      <c r="H25" s="69">
        <v>50170</v>
      </c>
      <c r="I25" s="69"/>
      <c r="J25" s="69">
        <f t="shared" si="10"/>
        <v>0</v>
      </c>
      <c r="K25" s="69"/>
      <c r="L25" s="69"/>
      <c r="M25" s="69"/>
      <c r="N25" s="69"/>
      <c r="O25" s="69"/>
      <c r="P25" s="69">
        <f t="shared" si="9"/>
        <v>2529735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48.75" customHeight="1" x14ac:dyDescent="0.25">
      <c r="A26" s="43" t="s">
        <v>165</v>
      </c>
      <c r="B26" s="44" t="str">
        <f>'дод 4'!A86</f>
        <v>3131</v>
      </c>
      <c r="C26" s="44" t="str">
        <f>'дод 4'!B86</f>
        <v>1040</v>
      </c>
      <c r="D26" s="24" t="str">
        <f>'дод 4'!C86</f>
        <v>Здійснення заходів та реалізація проектів на виконання Державної цільової соціальної програми "Молодь України"</v>
      </c>
      <c r="E26" s="69">
        <f t="shared" si="8"/>
        <v>867000</v>
      </c>
      <c r="F26" s="69">
        <f>850000+17000</f>
        <v>867000</v>
      </c>
      <c r="G26" s="69"/>
      <c r="H26" s="69"/>
      <c r="I26" s="69"/>
      <c r="J26" s="69">
        <f t="shared" si="10"/>
        <v>0</v>
      </c>
      <c r="K26" s="69"/>
      <c r="L26" s="69"/>
      <c r="M26" s="69"/>
      <c r="N26" s="69"/>
      <c r="O26" s="69"/>
      <c r="P26" s="69">
        <f t="shared" si="9"/>
        <v>867000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60" customHeight="1" x14ac:dyDescent="0.25">
      <c r="A27" s="43" t="s">
        <v>166</v>
      </c>
      <c r="B27" s="44" t="str">
        <f>'дод 4'!A87</f>
        <v>3140</v>
      </c>
      <c r="C27" s="44" t="str">
        <f>'дод 4'!B87</f>
        <v>1040</v>
      </c>
      <c r="D27" s="24" t="s">
        <v>22</v>
      </c>
      <c r="E27" s="69">
        <f t="shared" si="8"/>
        <v>188000</v>
      </c>
      <c r="F27" s="69">
        <f>560000-372000</f>
        <v>188000</v>
      </c>
      <c r="G27" s="69"/>
      <c r="H27" s="69"/>
      <c r="I27" s="69"/>
      <c r="J27" s="69">
        <f t="shared" si="10"/>
        <v>0</v>
      </c>
      <c r="K27" s="69"/>
      <c r="L27" s="69"/>
      <c r="M27" s="69"/>
      <c r="N27" s="69"/>
      <c r="O27" s="69"/>
      <c r="P27" s="69">
        <f t="shared" si="9"/>
        <v>188000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7.5" customHeight="1" x14ac:dyDescent="0.25">
      <c r="A28" s="43" t="s">
        <v>333</v>
      </c>
      <c r="B28" s="44" t="str">
        <f>'дод 4'!A98</f>
        <v>3241</v>
      </c>
      <c r="C28" s="44" t="str">
        <f>'дод 4'!B98</f>
        <v>1090</v>
      </c>
      <c r="D28" s="24" t="str">
        <f>'дод 4'!C98</f>
        <v>Забезпечення діяльності інших закладів у сфері соціального захисту і соціального забезпечення</v>
      </c>
      <c r="E28" s="69">
        <f t="shared" si="8"/>
        <v>1198395</v>
      </c>
      <c r="F28" s="69">
        <v>1198395</v>
      </c>
      <c r="G28" s="69">
        <v>852910</v>
      </c>
      <c r="H28" s="69">
        <v>114300</v>
      </c>
      <c r="I28" s="69"/>
      <c r="J28" s="69">
        <f t="shared" si="10"/>
        <v>0</v>
      </c>
      <c r="K28" s="69"/>
      <c r="L28" s="69"/>
      <c r="M28" s="69"/>
      <c r="N28" s="69"/>
      <c r="O28" s="69"/>
      <c r="P28" s="69">
        <f t="shared" si="9"/>
        <v>1198395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334</v>
      </c>
      <c r="B29" s="44" t="str">
        <f>'дод 4'!A99</f>
        <v>3242</v>
      </c>
      <c r="C29" s="44" t="str">
        <f>'дод 4'!B99</f>
        <v>1090</v>
      </c>
      <c r="D29" s="24" t="s">
        <v>498</v>
      </c>
      <c r="E29" s="69">
        <f t="shared" si="8"/>
        <v>218310</v>
      </c>
      <c r="F29" s="69">
        <v>218310</v>
      </c>
      <c r="G29" s="69"/>
      <c r="H29" s="69"/>
      <c r="I29" s="69"/>
      <c r="J29" s="69">
        <f t="shared" si="10"/>
        <v>0</v>
      </c>
      <c r="K29" s="69"/>
      <c r="L29" s="69"/>
      <c r="M29" s="69"/>
      <c r="N29" s="69"/>
      <c r="O29" s="69"/>
      <c r="P29" s="69">
        <f t="shared" si="9"/>
        <v>218310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3.75" customHeight="1" x14ac:dyDescent="0.25">
      <c r="A30" s="43" t="s">
        <v>350</v>
      </c>
      <c r="B30" s="44" t="str">
        <f>'дод 4'!A103</f>
        <v>4060</v>
      </c>
      <c r="C30" s="44" t="str">
        <f>'дод 4'!B103</f>
        <v>0828</v>
      </c>
      <c r="D30" s="24" t="str">
        <f>'дод 4'!C103</f>
        <v>Забезпечення діяльності палаців i будинків культури, клубів, центрів дозвілля та iнших клубних закладів</v>
      </c>
      <c r="E30" s="69">
        <f t="shared" si="8"/>
        <v>5259162</v>
      </c>
      <c r="F30" s="70">
        <f>4745000-150000+49900+414262+200000</f>
        <v>5259162</v>
      </c>
      <c r="G30" s="69">
        <f>2098000-317585</f>
        <v>1780415</v>
      </c>
      <c r="H30" s="69">
        <f>727600-289200</f>
        <v>438400</v>
      </c>
      <c r="I30" s="69"/>
      <c r="J30" s="69">
        <f t="shared" si="10"/>
        <v>611238</v>
      </c>
      <c r="K30" s="69">
        <f>25500+585738</f>
        <v>611238</v>
      </c>
      <c r="L30" s="69"/>
      <c r="M30" s="69"/>
      <c r="N30" s="69"/>
      <c r="O30" s="69">
        <f>25500+585738</f>
        <v>611238</v>
      </c>
      <c r="P30" s="69">
        <f t="shared" si="9"/>
        <v>5870400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30.75" customHeight="1" x14ac:dyDescent="0.25">
      <c r="A31" s="43" t="s">
        <v>331</v>
      </c>
      <c r="B31" s="44" t="str">
        <f>'дод 4'!A104</f>
        <v>4081</v>
      </c>
      <c r="C31" s="44" t="str">
        <f>'дод 4'!B104</f>
        <v>0829</v>
      </c>
      <c r="D31" s="24" t="str">
        <f>'дод 4'!C104</f>
        <v>Забезпечення діяльності інших закладів в галузі культури і мистецтва</v>
      </c>
      <c r="E31" s="69">
        <f t="shared" si="8"/>
        <v>3581900</v>
      </c>
      <c r="F31" s="69">
        <f>2374900+300000+276000+150000+337000+144000</f>
        <v>3581900</v>
      </c>
      <c r="G31" s="69">
        <v>1389000</v>
      </c>
      <c r="H31" s="69">
        <v>91200</v>
      </c>
      <c r="I31" s="69"/>
      <c r="J31" s="69">
        <f t="shared" si="10"/>
        <v>224000</v>
      </c>
      <c r="K31" s="69">
        <v>224000</v>
      </c>
      <c r="L31" s="69"/>
      <c r="M31" s="69"/>
      <c r="N31" s="69"/>
      <c r="O31" s="69">
        <v>224000</v>
      </c>
      <c r="P31" s="69">
        <f t="shared" si="9"/>
        <v>3805900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25.5" customHeight="1" x14ac:dyDescent="0.25">
      <c r="A32" s="43" t="s">
        <v>332</v>
      </c>
      <c r="B32" s="44" t="str">
        <f>'дод 4'!A105</f>
        <v>4082</v>
      </c>
      <c r="C32" s="44" t="str">
        <f>'дод 4'!B105</f>
        <v>0829</v>
      </c>
      <c r="D32" s="24" t="str">
        <f>'дод 4'!C105</f>
        <v>Інші заходи в галузі культури і мистецтва</v>
      </c>
      <c r="E32" s="69">
        <f t="shared" si="8"/>
        <v>446424</v>
      </c>
      <c r="F32" s="69">
        <f>465000-18576</f>
        <v>446424</v>
      </c>
      <c r="G32" s="69"/>
      <c r="H32" s="69"/>
      <c r="I32" s="69"/>
      <c r="J32" s="69">
        <f t="shared" si="10"/>
        <v>0</v>
      </c>
      <c r="K32" s="69"/>
      <c r="L32" s="69"/>
      <c r="M32" s="69"/>
      <c r="N32" s="69"/>
      <c r="O32" s="69"/>
      <c r="P32" s="69">
        <f t="shared" si="9"/>
        <v>446424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6.75" customHeight="1" x14ac:dyDescent="0.25">
      <c r="A33" s="52" t="s">
        <v>167</v>
      </c>
      <c r="B33" s="45" t="str">
        <f>'дод 4'!A107</f>
        <v>5011</v>
      </c>
      <c r="C33" s="45" t="str">
        <f>'дод 4'!B107</f>
        <v>0810</v>
      </c>
      <c r="D33" s="22" t="str">
        <f>'дод 4'!C107</f>
        <v>Проведення навчально-тренувальних зборів і змагань з олімпійських видів спорту</v>
      </c>
      <c r="E33" s="69">
        <f t="shared" si="8"/>
        <v>551000</v>
      </c>
      <c r="F33" s="69">
        <f>750000+1000000+11000-1000000-210000</f>
        <v>551000</v>
      </c>
      <c r="G33" s="69"/>
      <c r="H33" s="69"/>
      <c r="I33" s="69"/>
      <c r="J33" s="69">
        <f t="shared" si="10"/>
        <v>0</v>
      </c>
      <c r="K33" s="69"/>
      <c r="L33" s="69"/>
      <c r="M33" s="69"/>
      <c r="N33" s="69"/>
      <c r="O33" s="69"/>
      <c r="P33" s="69">
        <f t="shared" si="9"/>
        <v>551000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4.5" customHeight="1" x14ac:dyDescent="0.25">
      <c r="A34" s="52" t="s">
        <v>168</v>
      </c>
      <c r="B34" s="45" t="str">
        <f>'дод 4'!A108</f>
        <v>5012</v>
      </c>
      <c r="C34" s="45" t="str">
        <f>'дод 4'!B108</f>
        <v>0810</v>
      </c>
      <c r="D34" s="22" t="str">
        <f>'дод 4'!C108</f>
        <v>Проведення навчально-тренувальних зборів і змагань з неолімпійських видів спорту</v>
      </c>
      <c r="E34" s="69">
        <f t="shared" si="8"/>
        <v>959400</v>
      </c>
      <c r="F34" s="69">
        <f>750000+1300000+127000+98000-1000000-315600</f>
        <v>959400</v>
      </c>
      <c r="G34" s="69"/>
      <c r="H34" s="69"/>
      <c r="I34" s="69"/>
      <c r="J34" s="69">
        <f t="shared" si="10"/>
        <v>0</v>
      </c>
      <c r="K34" s="69"/>
      <c r="L34" s="69"/>
      <c r="M34" s="69"/>
      <c r="N34" s="69"/>
      <c r="O34" s="69"/>
      <c r="P34" s="69">
        <f t="shared" si="9"/>
        <v>959400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9" customHeight="1" x14ac:dyDescent="0.25">
      <c r="A35" s="52" t="s">
        <v>169</v>
      </c>
      <c r="B35" s="45" t="str">
        <f>'дод 4'!A109</f>
        <v>5031</v>
      </c>
      <c r="C35" s="45" t="str">
        <f>'дод 4'!B109</f>
        <v>0810</v>
      </c>
      <c r="D35" s="22" t="str">
        <f>'дод 4'!C109</f>
        <v>Утримання та навчально-тренувальна робота комунальних дитячо-юнацьких спортивних шкіл</v>
      </c>
      <c r="E35" s="69">
        <f t="shared" si="8"/>
        <v>13504730</v>
      </c>
      <c r="F35" s="69">
        <f>13106830+37000+412000+25000-130000+53900</f>
        <v>13504730</v>
      </c>
      <c r="G35" s="69">
        <v>9753300</v>
      </c>
      <c r="H35" s="69">
        <f>819990-130000</f>
        <v>689990</v>
      </c>
      <c r="I35" s="69">
        <v>0</v>
      </c>
      <c r="J35" s="69">
        <f t="shared" si="10"/>
        <v>267000</v>
      </c>
      <c r="K35" s="69">
        <f>500000+228000-500000+39000</f>
        <v>267000</v>
      </c>
      <c r="L35" s="69"/>
      <c r="M35" s="69"/>
      <c r="N35" s="69"/>
      <c r="O35" s="69">
        <f>500000+228000-500000+39000</f>
        <v>267000</v>
      </c>
      <c r="P35" s="69">
        <f t="shared" si="9"/>
        <v>13771730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33.75" customHeight="1" x14ac:dyDescent="0.25">
      <c r="A36" s="52" t="s">
        <v>393</v>
      </c>
      <c r="B36" s="45" t="str">
        <f>'дод 4'!A110</f>
        <v>5032</v>
      </c>
      <c r="C36" s="45" t="str">
        <f>'дод 4'!B110</f>
        <v>0810</v>
      </c>
      <c r="D36" s="22" t="str">
        <f>'дод 4'!C110</f>
        <v>Фінансова підтримка дитячо-юнацьких спортивних шкіл фізкультурно-спортивних товариств</v>
      </c>
      <c r="E36" s="69">
        <f t="shared" si="8"/>
        <v>11357630</v>
      </c>
      <c r="F36" s="69">
        <f>11143630+20000+143000+40000-14000+25000</f>
        <v>11357630</v>
      </c>
      <c r="G36" s="69"/>
      <c r="H36" s="69"/>
      <c r="I36" s="69"/>
      <c r="J36" s="69">
        <f t="shared" si="10"/>
        <v>198000</v>
      </c>
      <c r="K36" s="69">
        <f>93000+7000+30000+68000</f>
        <v>198000</v>
      </c>
      <c r="L36" s="69"/>
      <c r="M36" s="69"/>
      <c r="N36" s="69"/>
      <c r="O36" s="69">
        <f>93000+7000+30000+68000</f>
        <v>198000</v>
      </c>
      <c r="P36" s="69">
        <f t="shared" si="9"/>
        <v>11555630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48" customHeight="1" x14ac:dyDescent="0.25">
      <c r="A37" s="52" t="s">
        <v>170</v>
      </c>
      <c r="B37" s="45" t="str">
        <f>'дод 4'!A111</f>
        <v>5061</v>
      </c>
      <c r="C37" s="45" t="str">
        <f>'дод 4'!B111</f>
        <v>0810</v>
      </c>
      <c r="D37" s="22" t="str">
        <f>'дод 4'!C111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69">
        <f t="shared" si="8"/>
        <v>3893120</v>
      </c>
      <c r="F37" s="69">
        <f>3728120+165000+50000-50000</f>
        <v>3893120</v>
      </c>
      <c r="G37" s="69">
        <v>2446900</v>
      </c>
      <c r="H37" s="69">
        <f>370100-50000</f>
        <v>320100</v>
      </c>
      <c r="I37" s="69"/>
      <c r="J37" s="69">
        <f t="shared" si="10"/>
        <v>179120</v>
      </c>
      <c r="K37" s="69">
        <f>900000-900000</f>
        <v>0</v>
      </c>
      <c r="L37" s="69">
        <v>179120</v>
      </c>
      <c r="M37" s="69">
        <v>91105</v>
      </c>
      <c r="N37" s="69">
        <v>51050</v>
      </c>
      <c r="O37" s="69">
        <f>900000-900000</f>
        <v>0</v>
      </c>
      <c r="P37" s="69">
        <f t="shared" si="9"/>
        <v>4072240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39" customHeight="1" x14ac:dyDescent="0.25">
      <c r="A38" s="52" t="s">
        <v>384</v>
      </c>
      <c r="B38" s="45" t="str">
        <f>'дод 4'!A112</f>
        <v>5062</v>
      </c>
      <c r="C38" s="45" t="str">
        <f>'дод 4'!B112</f>
        <v>0810</v>
      </c>
      <c r="D38" s="22" t="str">
        <f>'дод 4'!C112</f>
        <v>Підтримка спорту вищих досягнень та організацій, які здійснюють фізкультурно-спортивну діяльність в регіоні</v>
      </c>
      <c r="E38" s="69">
        <f t="shared" si="8"/>
        <v>9074590</v>
      </c>
      <c r="F38" s="69">
        <f>6608390+200000+215000+65000+5000+2000000-18800</f>
        <v>9074590</v>
      </c>
      <c r="G38" s="69"/>
      <c r="H38" s="69"/>
      <c r="I38" s="69"/>
      <c r="J38" s="69">
        <f t="shared" si="10"/>
        <v>43450</v>
      </c>
      <c r="K38" s="69">
        <v>43450</v>
      </c>
      <c r="L38" s="69"/>
      <c r="M38" s="69"/>
      <c r="N38" s="69"/>
      <c r="O38" s="69">
        <v>43450</v>
      </c>
      <c r="P38" s="69">
        <f t="shared" si="9"/>
        <v>9118040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39" customHeight="1" x14ac:dyDescent="0.25">
      <c r="A39" s="52" t="s">
        <v>500</v>
      </c>
      <c r="B39" s="45"/>
      <c r="C39" s="45"/>
      <c r="D39" s="22" t="s">
        <v>396</v>
      </c>
      <c r="E39" s="69">
        <f t="shared" si="8"/>
        <v>0</v>
      </c>
      <c r="F39" s="69"/>
      <c r="G39" s="69"/>
      <c r="H39" s="69"/>
      <c r="I39" s="69"/>
      <c r="J39" s="69">
        <f t="shared" si="10"/>
        <v>1400000</v>
      </c>
      <c r="K39" s="69">
        <v>1400000</v>
      </c>
      <c r="L39" s="69"/>
      <c r="M39" s="69"/>
      <c r="N39" s="69"/>
      <c r="O39" s="69">
        <v>1400000</v>
      </c>
      <c r="P39" s="69">
        <f t="shared" si="9"/>
        <v>1400000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39" customHeight="1" x14ac:dyDescent="0.25">
      <c r="A40" s="52" t="s">
        <v>501</v>
      </c>
      <c r="B40" s="45"/>
      <c r="C40" s="45"/>
      <c r="D40" s="22" t="s">
        <v>364</v>
      </c>
      <c r="E40" s="69">
        <f t="shared" si="8"/>
        <v>0</v>
      </c>
      <c r="F40" s="69"/>
      <c r="G40" s="69"/>
      <c r="H40" s="69"/>
      <c r="I40" s="69"/>
      <c r="J40" s="69">
        <f t="shared" si="10"/>
        <v>1230200</v>
      </c>
      <c r="K40" s="69">
        <v>1230200</v>
      </c>
      <c r="L40" s="69"/>
      <c r="M40" s="69"/>
      <c r="N40" s="69"/>
      <c r="O40" s="69">
        <v>1230200</v>
      </c>
      <c r="P40" s="69">
        <f t="shared" si="9"/>
        <v>1230200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24" customHeight="1" x14ac:dyDescent="0.25">
      <c r="A41" s="52" t="s">
        <v>171</v>
      </c>
      <c r="B41" s="45" t="str">
        <f>'дод 4'!A143</f>
        <v>7412</v>
      </c>
      <c r="C41" s="45" t="str">
        <f>'дод 4'!B143</f>
        <v>0451</v>
      </c>
      <c r="D41" s="22" t="str">
        <f>'дод 4'!C143</f>
        <v>Регулювання цін на послуги місцевого автотранспорту</v>
      </c>
      <c r="E41" s="69">
        <f t="shared" si="8"/>
        <v>10000000</v>
      </c>
      <c r="F41" s="69"/>
      <c r="G41" s="69"/>
      <c r="H41" s="69"/>
      <c r="I41" s="69">
        <v>10000000</v>
      </c>
      <c r="J41" s="69">
        <f t="shared" si="10"/>
        <v>0</v>
      </c>
      <c r="K41" s="69"/>
      <c r="L41" s="69"/>
      <c r="M41" s="69"/>
      <c r="N41" s="69"/>
      <c r="O41" s="69"/>
      <c r="P41" s="69">
        <f t="shared" si="9"/>
        <v>10000000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4" customHeight="1" x14ac:dyDescent="0.25">
      <c r="A42" s="52" t="s">
        <v>433</v>
      </c>
      <c r="B42" s="45">
        <f>'дод 4'!A144</f>
        <v>7413</v>
      </c>
      <c r="C42" s="45" t="str">
        <f>'дод 4'!B144</f>
        <v>0451</v>
      </c>
      <c r="D42" s="136" t="str">
        <f>'дод 4'!C144</f>
        <v>Інші заходи у сфері автотранспорту</v>
      </c>
      <c r="E42" s="69">
        <f t="shared" si="8"/>
        <v>2800000</v>
      </c>
      <c r="F42" s="69"/>
      <c r="G42" s="69"/>
      <c r="H42" s="69"/>
      <c r="I42" s="69">
        <v>2800000</v>
      </c>
      <c r="J42" s="69">
        <f t="shared" si="10"/>
        <v>0</v>
      </c>
      <c r="K42" s="69"/>
      <c r="L42" s="69"/>
      <c r="M42" s="69"/>
      <c r="N42" s="69"/>
      <c r="O42" s="69"/>
      <c r="P42" s="69">
        <f t="shared" si="9"/>
        <v>2800000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4" customHeight="1" x14ac:dyDescent="0.25">
      <c r="A43" s="52" t="s">
        <v>434</v>
      </c>
      <c r="B43" s="45">
        <f>'дод 4'!A145</f>
        <v>7426</v>
      </c>
      <c r="C43" s="52" t="s">
        <v>499</v>
      </c>
      <c r="D43" s="136" t="str">
        <f>'дод 4'!C145</f>
        <v>Інші заходи у сфері електротранспорту</v>
      </c>
      <c r="E43" s="69">
        <f t="shared" si="8"/>
        <v>15200000</v>
      </c>
      <c r="F43" s="69"/>
      <c r="G43" s="69"/>
      <c r="H43" s="69"/>
      <c r="I43" s="69">
        <v>15200000</v>
      </c>
      <c r="J43" s="69">
        <f t="shared" si="10"/>
        <v>0</v>
      </c>
      <c r="K43" s="69"/>
      <c r="L43" s="69"/>
      <c r="M43" s="69"/>
      <c r="N43" s="69"/>
      <c r="O43" s="69"/>
      <c r="P43" s="69">
        <f t="shared" si="9"/>
        <v>15200000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31.5" customHeight="1" x14ac:dyDescent="0.25">
      <c r="A44" s="52" t="s">
        <v>255</v>
      </c>
      <c r="B44" s="45" t="str">
        <f>'дод 4'!A149</f>
        <v>7530</v>
      </c>
      <c r="C44" s="45" t="str">
        <f>'дод 4'!B149</f>
        <v>0460</v>
      </c>
      <c r="D44" s="22" t="s">
        <v>256</v>
      </c>
      <c r="E44" s="69">
        <f t="shared" si="8"/>
        <v>11260300</v>
      </c>
      <c r="F44" s="69">
        <f>10000000+3450000-2189700</f>
        <v>11260300</v>
      </c>
      <c r="G44" s="69"/>
      <c r="H44" s="69"/>
      <c r="I44" s="69"/>
      <c r="J44" s="69">
        <f t="shared" si="10"/>
        <v>4660000</v>
      </c>
      <c r="K44" s="69">
        <f>5000000+1050000-1390000</f>
        <v>4660000</v>
      </c>
      <c r="L44" s="69"/>
      <c r="M44" s="69"/>
      <c r="N44" s="69"/>
      <c r="O44" s="69">
        <f>5000000+1050000-1390000</f>
        <v>4660000</v>
      </c>
      <c r="P44" s="69">
        <f t="shared" si="9"/>
        <v>15920300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20.25" customHeight="1" x14ac:dyDescent="0.25">
      <c r="A45" s="52" t="s">
        <v>172</v>
      </c>
      <c r="B45" s="45" t="str">
        <f>'дод 4'!A152</f>
        <v>7610</v>
      </c>
      <c r="C45" s="45" t="str">
        <f>'дод 4'!B152</f>
        <v>0411</v>
      </c>
      <c r="D45" s="22" t="str">
        <f>'дод 4'!C152</f>
        <v>Сприяння розвитку малого та середнього підприємництва</v>
      </c>
      <c r="E45" s="69">
        <f t="shared" si="8"/>
        <v>215000</v>
      </c>
      <c r="F45" s="69">
        <f>115000+100000</f>
        <v>215000</v>
      </c>
      <c r="G45" s="69"/>
      <c r="H45" s="69"/>
      <c r="I45" s="69"/>
      <c r="J45" s="69">
        <f t="shared" si="10"/>
        <v>0</v>
      </c>
      <c r="K45" s="69"/>
      <c r="L45" s="69"/>
      <c r="M45" s="69"/>
      <c r="N45" s="69"/>
      <c r="O45" s="69"/>
      <c r="P45" s="69">
        <f t="shared" si="9"/>
        <v>215000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3.25" customHeight="1" x14ac:dyDescent="0.25">
      <c r="A46" s="52" t="s">
        <v>173</v>
      </c>
      <c r="B46" s="45" t="str">
        <f>'дод 4'!A157</f>
        <v>7670</v>
      </c>
      <c r="C46" s="45" t="str">
        <f>'дод 4'!B157</f>
        <v>0490</v>
      </c>
      <c r="D46" s="22" t="str">
        <f>'дод 4'!C157</f>
        <v>Внески до статутного капіталу суб’єктів господарювання</v>
      </c>
      <c r="E46" s="69">
        <f t="shared" si="8"/>
        <v>0</v>
      </c>
      <c r="F46" s="69"/>
      <c r="G46" s="69"/>
      <c r="H46" s="69"/>
      <c r="I46" s="69"/>
      <c r="J46" s="69">
        <f t="shared" si="10"/>
        <v>9572000</v>
      </c>
      <c r="K46" s="69">
        <f>22572000-13000000</f>
        <v>9572000</v>
      </c>
      <c r="L46" s="69"/>
      <c r="M46" s="69"/>
      <c r="N46" s="69"/>
      <c r="O46" s="69">
        <f>22572000-13000000</f>
        <v>9572000</v>
      </c>
      <c r="P46" s="69">
        <f t="shared" si="9"/>
        <v>9572000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36.75" customHeight="1" x14ac:dyDescent="0.25">
      <c r="A47" s="52" t="s">
        <v>269</v>
      </c>
      <c r="B47" s="45" t="str">
        <f>'дод 4'!A158</f>
        <v>7680</v>
      </c>
      <c r="C47" s="45" t="str">
        <f>'дод 4'!B158</f>
        <v>0490</v>
      </c>
      <c r="D47" s="22" t="str">
        <f>'дод 4'!C158</f>
        <v>Членські внески до асоціацій органів місцевого самоврядування</v>
      </c>
      <c r="E47" s="69">
        <f t="shared" si="8"/>
        <v>221467</v>
      </c>
      <c r="F47" s="69">
        <f>158069+82000+1715-317-20000</f>
        <v>221467</v>
      </c>
      <c r="G47" s="69"/>
      <c r="H47" s="69"/>
      <c r="I47" s="69"/>
      <c r="J47" s="69">
        <f t="shared" si="10"/>
        <v>0</v>
      </c>
      <c r="K47" s="69"/>
      <c r="L47" s="69"/>
      <c r="M47" s="69"/>
      <c r="N47" s="69"/>
      <c r="O47" s="69"/>
      <c r="P47" s="69">
        <f t="shared" si="9"/>
        <v>221467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87" customHeight="1" x14ac:dyDescent="0.25">
      <c r="A48" s="52" t="s">
        <v>329</v>
      </c>
      <c r="B48" s="45" t="str">
        <f>'дод 4'!A159</f>
        <v>7691</v>
      </c>
      <c r="C48" s="45" t="str">
        <f>'дод 4'!B159</f>
        <v>0490</v>
      </c>
      <c r="D48" s="22" t="str">
        <f>'дод 4'!C159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8" s="69">
        <f t="shared" si="8"/>
        <v>0</v>
      </c>
      <c r="F48" s="69"/>
      <c r="G48" s="69"/>
      <c r="H48" s="69"/>
      <c r="I48" s="69"/>
      <c r="J48" s="69">
        <f t="shared" si="10"/>
        <v>68223.199999999997</v>
      </c>
      <c r="K48" s="69"/>
      <c r="L48" s="69">
        <f>64711+3512.2</f>
        <v>68223.199999999997</v>
      </c>
      <c r="M48" s="69"/>
      <c r="N48" s="69"/>
      <c r="O48" s="69"/>
      <c r="P48" s="69">
        <f t="shared" si="9"/>
        <v>68223.199999999997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3.25" customHeight="1" x14ac:dyDescent="0.25">
      <c r="A49" s="52" t="s">
        <v>262</v>
      </c>
      <c r="B49" s="45" t="str">
        <f>'дод 4'!A160</f>
        <v>7693</v>
      </c>
      <c r="C49" s="45" t="str">
        <f>'дод 4'!B160</f>
        <v>0490</v>
      </c>
      <c r="D49" s="22" t="str">
        <f>'дод 4'!C160</f>
        <v>Інші заходи, пов'язані з економічною діяльністю</v>
      </c>
      <c r="E49" s="69">
        <f t="shared" si="8"/>
        <v>1688465</v>
      </c>
      <c r="F49" s="69">
        <f>1617587+250000+3000-1398-34300-146424</f>
        <v>1688465</v>
      </c>
      <c r="G49" s="69"/>
      <c r="H49" s="69"/>
      <c r="I49" s="69"/>
      <c r="J49" s="69">
        <f t="shared" si="10"/>
        <v>0</v>
      </c>
      <c r="K49" s="69"/>
      <c r="L49" s="69"/>
      <c r="M49" s="69"/>
      <c r="N49" s="69"/>
      <c r="O49" s="69"/>
      <c r="P49" s="69">
        <f t="shared" si="9"/>
        <v>1688465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34.5" customHeight="1" x14ac:dyDescent="0.25">
      <c r="A50" s="52" t="s">
        <v>174</v>
      </c>
      <c r="B50" s="45" t="str">
        <f>'дод 4'!A167</f>
        <v>8110</v>
      </c>
      <c r="C50" s="45" t="str">
        <f>'дод 4'!B167</f>
        <v>0320</v>
      </c>
      <c r="D50" s="22" t="str">
        <f>'дод 4'!C167</f>
        <v>Заходи із запобігання та ліквідації надзвичайних ситуацій та наслідків стихійного лиха</v>
      </c>
      <c r="E50" s="69">
        <f t="shared" si="8"/>
        <v>584500</v>
      </c>
      <c r="F50" s="69">
        <f>284500+300000</f>
        <v>584500</v>
      </c>
      <c r="G50" s="69"/>
      <c r="H50" s="69">
        <v>7500</v>
      </c>
      <c r="I50" s="69"/>
      <c r="J50" s="69">
        <f t="shared" si="10"/>
        <v>2299600</v>
      </c>
      <c r="K50" s="69">
        <f>2159600+140000</f>
        <v>2299600</v>
      </c>
      <c r="L50" s="69"/>
      <c r="M50" s="69"/>
      <c r="N50" s="69"/>
      <c r="O50" s="69">
        <f>2159600+140000</f>
        <v>2299600</v>
      </c>
      <c r="P50" s="69">
        <f t="shared" si="9"/>
        <v>2884100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19.5" customHeight="1" x14ac:dyDescent="0.25">
      <c r="A51" s="52" t="s">
        <v>244</v>
      </c>
      <c r="B51" s="45" t="str">
        <f>'дод 4'!A168</f>
        <v>8120</v>
      </c>
      <c r="C51" s="45" t="str">
        <f>'дод 4'!B168</f>
        <v>0320</v>
      </c>
      <c r="D51" s="22" t="str">
        <f>'дод 4'!C168</f>
        <v>Заходи з організації рятування на водах, у т.ч. за рахунок:</v>
      </c>
      <c r="E51" s="69">
        <f t="shared" si="8"/>
        <v>2026570</v>
      </c>
      <c r="F51" s="69">
        <f>1892080+19210+32020+78970+7990-3700</f>
        <v>2026570</v>
      </c>
      <c r="G51" s="69">
        <v>1542220</v>
      </c>
      <c r="H51" s="69">
        <f>79880-3700</f>
        <v>76180</v>
      </c>
      <c r="I51" s="69"/>
      <c r="J51" s="69">
        <f t="shared" si="10"/>
        <v>5500</v>
      </c>
      <c r="K51" s="69"/>
      <c r="L51" s="69">
        <v>5500</v>
      </c>
      <c r="M51" s="69"/>
      <c r="N51" s="69">
        <v>1400</v>
      </c>
      <c r="O51" s="69"/>
      <c r="P51" s="69">
        <f t="shared" si="9"/>
        <v>2032070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27" customFormat="1" ht="51.75" customHeight="1" x14ac:dyDescent="0.25">
      <c r="A52" s="157"/>
      <c r="B52" s="158"/>
      <c r="C52" s="158"/>
      <c r="D52" s="159" t="str">
        <f>'дод 4'!C169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2" s="160">
        <f t="shared" si="8"/>
        <v>380580</v>
      </c>
      <c r="F52" s="160">
        <v>380580</v>
      </c>
      <c r="G52" s="160">
        <v>311950</v>
      </c>
      <c r="H52" s="160"/>
      <c r="I52" s="160"/>
      <c r="J52" s="160">
        <f t="shared" si="10"/>
        <v>0</v>
      </c>
      <c r="K52" s="160"/>
      <c r="L52" s="160"/>
      <c r="M52" s="160"/>
      <c r="N52" s="160"/>
      <c r="O52" s="160"/>
      <c r="P52" s="160">
        <f t="shared" si="9"/>
        <v>380580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</row>
    <row r="53" spans="1:529" s="23" customFormat="1" ht="21.75" customHeight="1" x14ac:dyDescent="0.25">
      <c r="A53" s="52" t="s">
        <v>265</v>
      </c>
      <c r="B53" s="45" t="str">
        <f>'дод 4'!A171</f>
        <v>8230</v>
      </c>
      <c r="C53" s="45" t="str">
        <f>'дод 4'!B171</f>
        <v>0380</v>
      </c>
      <c r="D53" s="22" t="str">
        <f>'дод 4'!C171</f>
        <v>Інші заходи громадського порядку та безпеки</v>
      </c>
      <c r="E53" s="69">
        <f t="shared" si="8"/>
        <v>627360</v>
      </c>
      <c r="F53" s="69">
        <f>683360-56000</f>
        <v>627360</v>
      </c>
      <c r="G53" s="69"/>
      <c r="H53" s="69">
        <f>278160-56000</f>
        <v>222160</v>
      </c>
      <c r="I53" s="69"/>
      <c r="J53" s="69">
        <f t="shared" si="10"/>
        <v>0</v>
      </c>
      <c r="K53" s="69"/>
      <c r="L53" s="69"/>
      <c r="M53" s="69"/>
      <c r="N53" s="69"/>
      <c r="O53" s="69"/>
      <c r="P53" s="69">
        <f t="shared" si="9"/>
        <v>627360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</row>
    <row r="54" spans="1:529" s="23" customFormat="1" ht="23.25" customHeight="1" x14ac:dyDescent="0.25">
      <c r="A54" s="43" t="s">
        <v>175</v>
      </c>
      <c r="B54" s="44" t="str">
        <f>'дод 4'!A174</f>
        <v>8340</v>
      </c>
      <c r="C54" s="44" t="str">
        <f>'дод 4'!B174</f>
        <v>0540</v>
      </c>
      <c r="D54" s="24" t="str">
        <f>'дод 4'!C174</f>
        <v>Природоохоронні заходи за рахунок цільових фондів</v>
      </c>
      <c r="E54" s="69">
        <f t="shared" si="8"/>
        <v>0</v>
      </c>
      <c r="F54" s="69"/>
      <c r="G54" s="69"/>
      <c r="H54" s="69"/>
      <c r="I54" s="69"/>
      <c r="J54" s="69">
        <f t="shared" si="10"/>
        <v>264000</v>
      </c>
      <c r="K54" s="69"/>
      <c r="L54" s="69">
        <v>264000</v>
      </c>
      <c r="M54" s="69"/>
      <c r="N54" s="69"/>
      <c r="O54" s="69"/>
      <c r="P54" s="69">
        <f t="shared" si="9"/>
        <v>264000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</row>
    <row r="55" spans="1:529" s="23" customFormat="1" ht="26.25" customHeight="1" x14ac:dyDescent="0.25">
      <c r="A55" s="52" t="s">
        <v>276</v>
      </c>
      <c r="B55" s="45" t="str">
        <f>'дод 4'!A176</f>
        <v>8420</v>
      </c>
      <c r="C55" s="45" t="str">
        <f>'дод 4'!B176</f>
        <v>0830</v>
      </c>
      <c r="D55" s="22" t="str">
        <f>'дод 4'!C176</f>
        <v>Інші заходи у сфері засобів масової інформації</v>
      </c>
      <c r="E55" s="69">
        <f t="shared" si="8"/>
        <v>100000</v>
      </c>
      <c r="F55" s="69">
        <v>100000</v>
      </c>
      <c r="G55" s="69"/>
      <c r="H55" s="69"/>
      <c r="I55" s="69"/>
      <c r="J55" s="69">
        <f t="shared" si="10"/>
        <v>0</v>
      </c>
      <c r="K55" s="69"/>
      <c r="L55" s="69"/>
      <c r="M55" s="69"/>
      <c r="N55" s="69"/>
      <c r="O55" s="69"/>
      <c r="P55" s="69">
        <f t="shared" si="9"/>
        <v>100000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42.75" customHeight="1" x14ac:dyDescent="0.25">
      <c r="A56" s="52" t="s">
        <v>442</v>
      </c>
      <c r="B56" s="45">
        <v>9800</v>
      </c>
      <c r="C56" s="52" t="s">
        <v>49</v>
      </c>
      <c r="D56" s="22" t="s">
        <v>411</v>
      </c>
      <c r="E56" s="69">
        <f t="shared" si="8"/>
        <v>756000</v>
      </c>
      <c r="F56" s="69">
        <f>50000+706000</f>
        <v>756000</v>
      </c>
      <c r="G56" s="69"/>
      <c r="H56" s="69"/>
      <c r="I56" s="69"/>
      <c r="J56" s="69">
        <f t="shared" si="10"/>
        <v>469000</v>
      </c>
      <c r="K56" s="69">
        <v>469000</v>
      </c>
      <c r="L56" s="69"/>
      <c r="M56" s="69"/>
      <c r="N56" s="69"/>
      <c r="O56" s="69">
        <v>469000</v>
      </c>
      <c r="P56" s="69">
        <f t="shared" si="9"/>
        <v>1225000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31" customFormat="1" ht="23.25" customHeight="1" x14ac:dyDescent="0.2">
      <c r="A57" s="85" t="s">
        <v>176</v>
      </c>
      <c r="B57" s="72"/>
      <c r="C57" s="72"/>
      <c r="D57" s="30" t="s">
        <v>28</v>
      </c>
      <c r="E57" s="66">
        <f>E58</f>
        <v>952439239.79999995</v>
      </c>
      <c r="F57" s="66">
        <f t="shared" ref="F57:J57" si="11">F58</f>
        <v>952439239.79999995</v>
      </c>
      <c r="G57" s="66">
        <f t="shared" si="11"/>
        <v>642833722</v>
      </c>
      <c r="H57" s="66">
        <f t="shared" si="11"/>
        <v>70995412</v>
      </c>
      <c r="I57" s="66">
        <f t="shared" si="11"/>
        <v>0</v>
      </c>
      <c r="J57" s="66">
        <f t="shared" si="11"/>
        <v>89164307.75</v>
      </c>
      <c r="K57" s="66">
        <f t="shared" ref="K57" si="12">K58</f>
        <v>35447799.75</v>
      </c>
      <c r="L57" s="66">
        <f t="shared" ref="L57" si="13">L58</f>
        <v>53527508</v>
      </c>
      <c r="M57" s="66">
        <f t="shared" ref="M57" si="14">M58</f>
        <v>4208876</v>
      </c>
      <c r="N57" s="66">
        <f t="shared" ref="N57" si="15">N58</f>
        <v>3124191</v>
      </c>
      <c r="O57" s="66">
        <f t="shared" ref="O57:P57" si="16">O58</f>
        <v>35636799.75</v>
      </c>
      <c r="P57" s="66">
        <f t="shared" si="16"/>
        <v>1041603547.55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</row>
    <row r="58" spans="1:529" s="40" customFormat="1" ht="30" customHeight="1" x14ac:dyDescent="0.25">
      <c r="A58" s="86" t="s">
        <v>177</v>
      </c>
      <c r="B58" s="73"/>
      <c r="C58" s="73"/>
      <c r="D58" s="33" t="s">
        <v>495</v>
      </c>
      <c r="E58" s="68">
        <f>E66+E67+E69+E76+E79+E80+E82+E83+E84+E85+E87+E88+E89+E90+E91+E93+E94+E95+E97+E98</f>
        <v>952439239.79999995</v>
      </c>
      <c r="F58" s="68">
        <f t="shared" ref="F58:P58" si="17">F66+F67+F69+F76+F79+F80+F82+F83+F84+F85+F87+F88+F89+F90+F91+F93+F94+F95+F97+F98</f>
        <v>952439239.79999995</v>
      </c>
      <c r="G58" s="68">
        <f t="shared" si="17"/>
        <v>642833722</v>
      </c>
      <c r="H58" s="68">
        <f t="shared" si="17"/>
        <v>70995412</v>
      </c>
      <c r="I58" s="68">
        <f t="shared" si="17"/>
        <v>0</v>
      </c>
      <c r="J58" s="68">
        <f t="shared" si="17"/>
        <v>89164307.75</v>
      </c>
      <c r="K58" s="68">
        <f t="shared" si="17"/>
        <v>35447799.75</v>
      </c>
      <c r="L58" s="68">
        <f t="shared" si="17"/>
        <v>53527508</v>
      </c>
      <c r="M58" s="68">
        <f t="shared" si="17"/>
        <v>4208876</v>
      </c>
      <c r="N58" s="68">
        <f t="shared" si="17"/>
        <v>3124191</v>
      </c>
      <c r="O58" s="68">
        <f t="shared" si="17"/>
        <v>35636799.75</v>
      </c>
      <c r="P58" s="68">
        <f t="shared" si="17"/>
        <v>1041603547.55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</row>
    <row r="59" spans="1:529" s="40" customFormat="1" ht="30" x14ac:dyDescent="0.25">
      <c r="A59" s="86"/>
      <c r="B59" s="73"/>
      <c r="C59" s="73"/>
      <c r="D59" s="33" t="s">
        <v>453</v>
      </c>
      <c r="E59" s="68">
        <f>E74+E77+E81+E96</f>
        <v>371188700</v>
      </c>
      <c r="F59" s="68">
        <f t="shared" ref="F59:P59" si="18">F74+F77+F81+F96</f>
        <v>371188700</v>
      </c>
      <c r="G59" s="68">
        <f t="shared" si="18"/>
        <v>304728600</v>
      </c>
      <c r="H59" s="68">
        <f t="shared" si="18"/>
        <v>0</v>
      </c>
      <c r="I59" s="68">
        <f t="shared" si="18"/>
        <v>0</v>
      </c>
      <c r="J59" s="68">
        <f t="shared" si="18"/>
        <v>0</v>
      </c>
      <c r="K59" s="68">
        <f t="shared" si="18"/>
        <v>0</v>
      </c>
      <c r="L59" s="68">
        <f t="shared" si="18"/>
        <v>0</v>
      </c>
      <c r="M59" s="68">
        <f t="shared" si="18"/>
        <v>0</v>
      </c>
      <c r="N59" s="68">
        <f t="shared" si="18"/>
        <v>0</v>
      </c>
      <c r="O59" s="68">
        <f t="shared" si="18"/>
        <v>0</v>
      </c>
      <c r="P59" s="68">
        <f t="shared" si="18"/>
        <v>371188700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</row>
    <row r="60" spans="1:529" s="40" customFormat="1" ht="45" x14ac:dyDescent="0.25">
      <c r="A60" s="86"/>
      <c r="B60" s="73"/>
      <c r="C60" s="73"/>
      <c r="D60" s="33" t="s">
        <v>452</v>
      </c>
      <c r="E60" s="68">
        <f>E92</f>
        <v>0</v>
      </c>
      <c r="F60" s="68">
        <f t="shared" ref="F60:P60" si="19">F92</f>
        <v>0</v>
      </c>
      <c r="G60" s="68">
        <f t="shared" si="19"/>
        <v>0</v>
      </c>
      <c r="H60" s="68">
        <f t="shared" si="19"/>
        <v>0</v>
      </c>
      <c r="I60" s="68">
        <f t="shared" si="19"/>
        <v>0</v>
      </c>
      <c r="J60" s="68">
        <f t="shared" si="19"/>
        <v>250078.55</v>
      </c>
      <c r="K60" s="68">
        <f t="shared" si="19"/>
        <v>250078.55</v>
      </c>
      <c r="L60" s="68">
        <f t="shared" si="19"/>
        <v>0</v>
      </c>
      <c r="M60" s="68">
        <f t="shared" si="19"/>
        <v>0</v>
      </c>
      <c r="N60" s="68">
        <f t="shared" si="19"/>
        <v>0</v>
      </c>
      <c r="O60" s="68">
        <f t="shared" si="19"/>
        <v>250078.55</v>
      </c>
      <c r="P60" s="68">
        <f t="shared" si="19"/>
        <v>250078.55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</row>
    <row r="61" spans="1:529" s="40" customFormat="1" ht="64.5" customHeight="1" x14ac:dyDescent="0.25">
      <c r="A61" s="86"/>
      <c r="B61" s="73"/>
      <c r="C61" s="73"/>
      <c r="D61" s="33" t="s">
        <v>451</v>
      </c>
      <c r="E61" s="68">
        <f>E70</f>
        <v>2739700</v>
      </c>
      <c r="F61" s="68">
        <f t="shared" ref="F61:P61" si="20">F70</f>
        <v>2739700</v>
      </c>
      <c r="G61" s="68">
        <f t="shared" si="20"/>
        <v>2249257</v>
      </c>
      <c r="H61" s="68">
        <f t="shared" si="20"/>
        <v>0</v>
      </c>
      <c r="I61" s="68">
        <f t="shared" si="20"/>
        <v>0</v>
      </c>
      <c r="J61" s="68">
        <f t="shared" si="20"/>
        <v>0</v>
      </c>
      <c r="K61" s="68">
        <f t="shared" si="20"/>
        <v>0</v>
      </c>
      <c r="L61" s="68">
        <f t="shared" si="20"/>
        <v>0</v>
      </c>
      <c r="M61" s="68">
        <f t="shared" si="20"/>
        <v>0</v>
      </c>
      <c r="N61" s="68">
        <f t="shared" si="20"/>
        <v>0</v>
      </c>
      <c r="O61" s="68">
        <f t="shared" si="20"/>
        <v>0</v>
      </c>
      <c r="P61" s="68">
        <f t="shared" si="20"/>
        <v>2739700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</row>
    <row r="62" spans="1:529" s="40" customFormat="1" ht="45" x14ac:dyDescent="0.25">
      <c r="A62" s="86"/>
      <c r="B62" s="73"/>
      <c r="C62" s="73"/>
      <c r="D62" s="33" t="s">
        <v>448</v>
      </c>
      <c r="E62" s="68">
        <f>E71+E86</f>
        <v>3303370</v>
      </c>
      <c r="F62" s="68">
        <f t="shared" ref="F62:P62" si="21">F71+F86</f>
        <v>3303370</v>
      </c>
      <c r="G62" s="68">
        <f t="shared" si="21"/>
        <v>1013420</v>
      </c>
      <c r="H62" s="68">
        <f t="shared" si="21"/>
        <v>0</v>
      </c>
      <c r="I62" s="68">
        <f t="shared" si="21"/>
        <v>0</v>
      </c>
      <c r="J62" s="68">
        <f t="shared" si="21"/>
        <v>0</v>
      </c>
      <c r="K62" s="68">
        <f t="shared" si="21"/>
        <v>0</v>
      </c>
      <c r="L62" s="68">
        <f t="shared" si="21"/>
        <v>0</v>
      </c>
      <c r="M62" s="68">
        <f t="shared" si="21"/>
        <v>0</v>
      </c>
      <c r="N62" s="68">
        <f t="shared" si="21"/>
        <v>0</v>
      </c>
      <c r="O62" s="68">
        <f t="shared" si="21"/>
        <v>0</v>
      </c>
      <c r="P62" s="68">
        <f t="shared" si="21"/>
        <v>3303370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</row>
    <row r="63" spans="1:529" s="40" customFormat="1" ht="45" x14ac:dyDescent="0.25">
      <c r="A63" s="86"/>
      <c r="B63" s="73"/>
      <c r="C63" s="73"/>
      <c r="D63" s="33" t="s">
        <v>450</v>
      </c>
      <c r="E63" s="68">
        <f>E72</f>
        <v>182274</v>
      </c>
      <c r="F63" s="68">
        <f t="shared" ref="F63:P63" si="22">F72</f>
        <v>182274</v>
      </c>
      <c r="G63" s="68">
        <f t="shared" si="22"/>
        <v>0</v>
      </c>
      <c r="H63" s="68">
        <f t="shared" si="22"/>
        <v>0</v>
      </c>
      <c r="I63" s="68">
        <f t="shared" si="22"/>
        <v>0</v>
      </c>
      <c r="J63" s="68">
        <f t="shared" si="22"/>
        <v>621926</v>
      </c>
      <c r="K63" s="68">
        <f t="shared" si="22"/>
        <v>621926</v>
      </c>
      <c r="L63" s="68">
        <f t="shared" si="22"/>
        <v>0</v>
      </c>
      <c r="M63" s="68">
        <f t="shared" si="22"/>
        <v>0</v>
      </c>
      <c r="N63" s="68">
        <f t="shared" si="22"/>
        <v>0</v>
      </c>
      <c r="O63" s="68">
        <f t="shared" si="22"/>
        <v>621926</v>
      </c>
      <c r="P63" s="68">
        <f t="shared" si="22"/>
        <v>804200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</row>
    <row r="64" spans="1:529" s="40" customFormat="1" ht="60" x14ac:dyDescent="0.25">
      <c r="A64" s="86"/>
      <c r="B64" s="73"/>
      <c r="C64" s="73"/>
      <c r="D64" s="33" t="s">
        <v>447</v>
      </c>
      <c r="E64" s="68">
        <f>E68+E73</f>
        <v>1767879</v>
      </c>
      <c r="F64" s="68">
        <f t="shared" ref="F64:P64" si="23">F68+F73</f>
        <v>1767879</v>
      </c>
      <c r="G64" s="68">
        <f t="shared" si="23"/>
        <v>1449080</v>
      </c>
      <c r="H64" s="68">
        <f t="shared" si="23"/>
        <v>0</v>
      </c>
      <c r="I64" s="68">
        <f t="shared" si="23"/>
        <v>0</v>
      </c>
      <c r="J64" s="68">
        <f t="shared" si="23"/>
        <v>744000</v>
      </c>
      <c r="K64" s="68">
        <f t="shared" si="23"/>
        <v>744000</v>
      </c>
      <c r="L64" s="68">
        <f t="shared" si="23"/>
        <v>0</v>
      </c>
      <c r="M64" s="68">
        <f t="shared" si="23"/>
        <v>0</v>
      </c>
      <c r="N64" s="68">
        <f t="shared" si="23"/>
        <v>0</v>
      </c>
      <c r="O64" s="68">
        <f t="shared" si="23"/>
        <v>744000</v>
      </c>
      <c r="P64" s="68">
        <f t="shared" si="23"/>
        <v>2511879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</row>
    <row r="65" spans="1:529" s="40" customFormat="1" ht="60" x14ac:dyDescent="0.25">
      <c r="A65" s="86"/>
      <c r="B65" s="73"/>
      <c r="C65" s="73"/>
      <c r="D65" s="33" t="s">
        <v>449</v>
      </c>
      <c r="E65" s="68">
        <f t="shared" ref="E65:P65" si="24">E75+E78</f>
        <v>4807997</v>
      </c>
      <c r="F65" s="68">
        <f t="shared" si="24"/>
        <v>4807997</v>
      </c>
      <c r="G65" s="68">
        <f t="shared" si="24"/>
        <v>0</v>
      </c>
      <c r="H65" s="68">
        <f t="shared" si="24"/>
        <v>0</v>
      </c>
      <c r="I65" s="68">
        <f t="shared" si="24"/>
        <v>0</v>
      </c>
      <c r="J65" s="68">
        <f t="shared" si="24"/>
        <v>742539</v>
      </c>
      <c r="K65" s="68">
        <f t="shared" si="24"/>
        <v>742539</v>
      </c>
      <c r="L65" s="68">
        <f t="shared" si="24"/>
        <v>0</v>
      </c>
      <c r="M65" s="68">
        <f t="shared" si="24"/>
        <v>0</v>
      </c>
      <c r="N65" s="68">
        <f t="shared" si="24"/>
        <v>0</v>
      </c>
      <c r="O65" s="68">
        <f t="shared" si="24"/>
        <v>742539</v>
      </c>
      <c r="P65" s="68">
        <f t="shared" si="24"/>
        <v>5550536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</row>
    <row r="66" spans="1:529" s="23" customFormat="1" ht="46.5" customHeight="1" x14ac:dyDescent="0.25">
      <c r="A66" s="43" t="s">
        <v>178</v>
      </c>
      <c r="B66" s="44" t="str">
        <f>'дод 4'!A20</f>
        <v>0160</v>
      </c>
      <c r="C66" s="44" t="str">
        <f>'дод 4'!B20</f>
        <v>0111</v>
      </c>
      <c r="D66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66" s="69">
        <f t="shared" ref="E66:E98" si="25">F66+I66</f>
        <v>3547900</v>
      </c>
      <c r="F66" s="69">
        <f>3470000+3900-161800+242800-7000</f>
        <v>3547900</v>
      </c>
      <c r="G66" s="69">
        <f>2711100-132600-5700</f>
        <v>2572800</v>
      </c>
      <c r="H66" s="69">
        <v>48700</v>
      </c>
      <c r="I66" s="69"/>
      <c r="J66" s="69">
        <f>L66+O66</f>
        <v>0</v>
      </c>
      <c r="K66" s="69"/>
      <c r="L66" s="69"/>
      <c r="M66" s="69"/>
      <c r="N66" s="69"/>
      <c r="O66" s="69"/>
      <c r="P66" s="69">
        <f t="shared" ref="P66:P98" si="26">E66+J66</f>
        <v>3547900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</row>
    <row r="67" spans="1:529" s="23" customFormat="1" ht="21.75" customHeight="1" x14ac:dyDescent="0.25">
      <c r="A67" s="43" t="s">
        <v>179</v>
      </c>
      <c r="B67" s="44" t="str">
        <f>'дод 4'!A29</f>
        <v>1010</v>
      </c>
      <c r="C67" s="44" t="str">
        <f>'дод 4'!B29</f>
        <v>0910</v>
      </c>
      <c r="D67" s="24" t="s">
        <v>470</v>
      </c>
      <c r="E67" s="69">
        <f t="shared" si="25"/>
        <v>237673232</v>
      </c>
      <c r="F67" s="69">
        <f>244339090+176336+1322957+112300-3000000-13457+307406+40000-2221900-3389500</f>
        <v>237673232</v>
      </c>
      <c r="G67" s="69">
        <f>159350000+144540-11030</f>
        <v>159483510</v>
      </c>
      <c r="H67" s="69">
        <f>26923940-3389500</f>
        <v>23534440</v>
      </c>
      <c r="I67" s="69"/>
      <c r="J67" s="69">
        <f>L67+O67</f>
        <v>17977603</v>
      </c>
      <c r="K67" s="69">
        <f>4200000+500000+88136+760000+703043+347304-7536-5089000+150000</f>
        <v>1651947</v>
      </c>
      <c r="L67" s="69">
        <v>16325656</v>
      </c>
      <c r="M67" s="69"/>
      <c r="N67" s="69"/>
      <c r="O67" s="69">
        <f>4200000+500000+88136+760000+703043+347304-7536-5089000+150000</f>
        <v>1651947</v>
      </c>
      <c r="P67" s="69">
        <f t="shared" si="26"/>
        <v>255650835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7" customFormat="1" ht="51" customHeight="1" x14ac:dyDescent="0.25">
      <c r="A68" s="161"/>
      <c r="B68" s="162"/>
      <c r="C68" s="162"/>
      <c r="D68" s="159" t="s">
        <v>447</v>
      </c>
      <c r="E68" s="160">
        <f t="shared" si="25"/>
        <v>162879</v>
      </c>
      <c r="F68" s="160">
        <v>162879</v>
      </c>
      <c r="G68" s="160">
        <v>133510</v>
      </c>
      <c r="H68" s="160"/>
      <c r="I68" s="160"/>
      <c r="J68" s="160">
        <f>L68+O68</f>
        <v>80600</v>
      </c>
      <c r="K68" s="160">
        <v>80600</v>
      </c>
      <c r="L68" s="160"/>
      <c r="M68" s="160"/>
      <c r="N68" s="160"/>
      <c r="O68" s="160">
        <v>80600</v>
      </c>
      <c r="P68" s="160">
        <f t="shared" si="26"/>
        <v>243479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6"/>
      <c r="MA68" s="36"/>
      <c r="MB68" s="36"/>
      <c r="MC68" s="36"/>
      <c r="MD68" s="36"/>
      <c r="ME68" s="36"/>
      <c r="MF68" s="36"/>
      <c r="MG68" s="36"/>
      <c r="MH68" s="36"/>
      <c r="MI68" s="36"/>
      <c r="MJ68" s="36"/>
      <c r="MK68" s="36"/>
      <c r="ML68" s="36"/>
      <c r="MM68" s="36"/>
      <c r="MN68" s="36"/>
      <c r="MO68" s="36"/>
      <c r="MP68" s="36"/>
      <c r="MQ68" s="36"/>
      <c r="MR68" s="36"/>
      <c r="MS68" s="36"/>
      <c r="MT68" s="36"/>
      <c r="MU68" s="36"/>
      <c r="MV68" s="36"/>
      <c r="MW68" s="36"/>
      <c r="MX68" s="36"/>
      <c r="MY68" s="36"/>
      <c r="MZ68" s="36"/>
      <c r="NA68" s="36"/>
      <c r="NB68" s="36"/>
      <c r="NC68" s="36"/>
      <c r="ND68" s="36"/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  <c r="NW68" s="36"/>
      <c r="NX68" s="36"/>
      <c r="NY68" s="36"/>
      <c r="NZ68" s="36"/>
      <c r="OA68" s="36"/>
      <c r="OB68" s="36"/>
      <c r="OC68" s="36"/>
      <c r="OD68" s="36"/>
      <c r="OE68" s="36"/>
      <c r="OF68" s="36"/>
      <c r="OG68" s="36"/>
      <c r="OH68" s="36"/>
      <c r="OI68" s="36"/>
      <c r="OJ68" s="36"/>
      <c r="OK68" s="36"/>
      <c r="OL68" s="36"/>
      <c r="OM68" s="36"/>
      <c r="ON68" s="36"/>
      <c r="OO68" s="36"/>
      <c r="OP68" s="36"/>
      <c r="OQ68" s="36"/>
      <c r="OR68" s="36"/>
      <c r="OS68" s="36"/>
      <c r="OT68" s="36"/>
      <c r="OU68" s="36"/>
      <c r="OV68" s="36"/>
      <c r="OW68" s="36"/>
      <c r="OX68" s="36"/>
      <c r="OY68" s="36"/>
      <c r="OZ68" s="36"/>
      <c r="PA68" s="36"/>
      <c r="PB68" s="36"/>
      <c r="PC68" s="36"/>
      <c r="PD68" s="36"/>
      <c r="PE68" s="36"/>
      <c r="PF68" s="36"/>
      <c r="PG68" s="36"/>
      <c r="PH68" s="36"/>
      <c r="PI68" s="36"/>
      <c r="PJ68" s="36"/>
      <c r="PK68" s="36"/>
      <c r="PL68" s="36"/>
      <c r="PM68" s="36"/>
      <c r="PN68" s="36"/>
      <c r="PO68" s="36"/>
      <c r="PP68" s="36"/>
      <c r="PQ68" s="36"/>
      <c r="PR68" s="36"/>
      <c r="PS68" s="36"/>
      <c r="PT68" s="36"/>
      <c r="PU68" s="36"/>
      <c r="PV68" s="36"/>
      <c r="PW68" s="36"/>
      <c r="PX68" s="36"/>
      <c r="PY68" s="36"/>
      <c r="PZ68" s="36"/>
      <c r="QA68" s="36"/>
      <c r="QB68" s="36"/>
      <c r="QC68" s="36"/>
      <c r="QD68" s="36"/>
      <c r="QE68" s="36"/>
      <c r="QF68" s="36"/>
      <c r="QG68" s="36"/>
      <c r="QH68" s="36"/>
      <c r="QI68" s="36"/>
      <c r="QJ68" s="36"/>
      <c r="QK68" s="36"/>
      <c r="QL68" s="36"/>
      <c r="QM68" s="36"/>
      <c r="QN68" s="36"/>
      <c r="QO68" s="36"/>
      <c r="QP68" s="36"/>
      <c r="QQ68" s="36"/>
      <c r="QR68" s="36"/>
      <c r="QS68" s="36"/>
      <c r="QT68" s="36"/>
      <c r="QU68" s="36"/>
      <c r="QV68" s="36"/>
      <c r="QW68" s="36"/>
      <c r="QX68" s="36"/>
      <c r="QY68" s="36"/>
      <c r="QZ68" s="36"/>
      <c r="RA68" s="36"/>
      <c r="RB68" s="36"/>
      <c r="RC68" s="36"/>
      <c r="RD68" s="36"/>
      <c r="RE68" s="36"/>
      <c r="RF68" s="36"/>
      <c r="RG68" s="36"/>
      <c r="RH68" s="36"/>
      <c r="RI68" s="36"/>
      <c r="RJ68" s="36"/>
      <c r="RK68" s="36"/>
      <c r="RL68" s="36"/>
      <c r="RM68" s="36"/>
      <c r="RN68" s="36"/>
      <c r="RO68" s="36"/>
      <c r="RP68" s="36"/>
      <c r="RQ68" s="36"/>
      <c r="RR68" s="36"/>
      <c r="RS68" s="36"/>
      <c r="RT68" s="36"/>
      <c r="RU68" s="36"/>
      <c r="RV68" s="36"/>
      <c r="RW68" s="36"/>
      <c r="RX68" s="36"/>
      <c r="RY68" s="36"/>
      <c r="RZ68" s="36"/>
      <c r="SA68" s="36"/>
      <c r="SB68" s="36"/>
      <c r="SC68" s="36"/>
      <c r="SD68" s="36"/>
      <c r="SE68" s="36"/>
      <c r="SF68" s="36"/>
      <c r="SG68" s="36"/>
      <c r="SH68" s="36"/>
      <c r="SI68" s="36"/>
      <c r="SJ68" s="36"/>
      <c r="SK68" s="36"/>
      <c r="SL68" s="36"/>
      <c r="SM68" s="36"/>
      <c r="SN68" s="36"/>
      <c r="SO68" s="36"/>
      <c r="SP68" s="36"/>
      <c r="SQ68" s="36"/>
      <c r="SR68" s="36"/>
      <c r="SS68" s="36"/>
      <c r="ST68" s="36"/>
      <c r="SU68" s="36"/>
      <c r="SV68" s="36"/>
      <c r="SW68" s="36"/>
      <c r="SX68" s="36"/>
      <c r="SY68" s="36"/>
      <c r="SZ68" s="36"/>
      <c r="TA68" s="36"/>
      <c r="TB68" s="36"/>
      <c r="TC68" s="36"/>
      <c r="TD68" s="36"/>
      <c r="TE68" s="36"/>
      <c r="TF68" s="36"/>
      <c r="TG68" s="36"/>
      <c r="TH68" s="36"/>
      <c r="TI68" s="36"/>
    </row>
    <row r="69" spans="1:529" s="23" customFormat="1" ht="54" customHeight="1" x14ac:dyDescent="0.25">
      <c r="A69" s="43" t="s">
        <v>180</v>
      </c>
      <c r="B69" s="44" t="str">
        <f>'дод 4'!A31</f>
        <v>1020</v>
      </c>
      <c r="C69" s="44" t="str">
        <f>'дод 4'!B31</f>
        <v>0921</v>
      </c>
      <c r="D69" s="24" t="str">
        <f>'дод 4'!C31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69" s="69">
        <f t="shared" si="25"/>
        <v>536744807</v>
      </c>
      <c r="F69" s="69">
        <f>533365430-2738900+2738900-50000+2067000+1396248+800+1533444+15313000-11301200+106000+50000+70000+213600-7000000+208752+5996529+274015-25839-2303876+50000+154000-1188532+182274-344700+77900+1974569+38000-1339900-2777707+5000</f>
        <v>536744807</v>
      </c>
      <c r="G69" s="69">
        <f>373446500+1144470+657+12572250-9278430+171100</f>
        <v>378056547</v>
      </c>
      <c r="H69" s="69">
        <f>40458440-2303876-2777707</f>
        <v>35376857</v>
      </c>
      <c r="I69" s="69"/>
      <c r="J69" s="69">
        <f t="shared" ref="J69:J98" si="27">L69+O69</f>
        <v>34281295.640000001</v>
      </c>
      <c r="K69" s="69">
        <f>11599400+2199897+739872+3050000+2916586+700000-106000-7502.36+202738-76472+742539+19558-21229+2283702-50000+234000+621926+266800-1974569-18026697+25000+30000</f>
        <v>5369548.6400000006</v>
      </c>
      <c r="L69" s="69">
        <v>28911747</v>
      </c>
      <c r="M69" s="69">
        <v>1713303</v>
      </c>
      <c r="N69" s="69">
        <v>147329</v>
      </c>
      <c r="O69" s="69">
        <f>11599400+2199897+739872+3050000+2916586+700000-106000-7502.36+202738-76472+742539+19558-21229+2283702-50000+234000+621926+266800-1974569-18026697+25000+30000</f>
        <v>5369548.6400000006</v>
      </c>
      <c r="P69" s="69">
        <f t="shared" si="26"/>
        <v>571026102.63999999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7" customFormat="1" ht="69" customHeight="1" x14ac:dyDescent="0.25">
      <c r="A70" s="161"/>
      <c r="B70" s="162"/>
      <c r="C70" s="162"/>
      <c r="D70" s="159" t="s">
        <v>451</v>
      </c>
      <c r="E70" s="160">
        <f t="shared" ref="E70:E73" si="28">F70+I70</f>
        <v>2739700</v>
      </c>
      <c r="F70" s="160">
        <v>2739700</v>
      </c>
      <c r="G70" s="160">
        <v>2249257</v>
      </c>
      <c r="H70" s="160"/>
      <c r="I70" s="160"/>
      <c r="J70" s="160">
        <f t="shared" ref="J70:J73" si="29">L70+O70</f>
        <v>0</v>
      </c>
      <c r="K70" s="160"/>
      <c r="L70" s="160"/>
      <c r="M70" s="160"/>
      <c r="N70" s="160"/>
      <c r="O70" s="160"/>
      <c r="P70" s="160">
        <f t="shared" ref="P70:P73" si="30">E70+J70</f>
        <v>2739700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36"/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6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6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36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36"/>
      <c r="OK70" s="36"/>
      <c r="OL70" s="36"/>
      <c r="OM70" s="36"/>
      <c r="ON70" s="36"/>
      <c r="OO70" s="36"/>
      <c r="OP70" s="36"/>
      <c r="OQ70" s="36"/>
      <c r="OR70" s="36"/>
      <c r="OS70" s="36"/>
      <c r="OT70" s="36"/>
      <c r="OU70" s="36"/>
      <c r="OV70" s="36"/>
      <c r="OW70" s="36"/>
      <c r="OX70" s="36"/>
      <c r="OY70" s="36"/>
      <c r="OZ70" s="36"/>
      <c r="PA70" s="36"/>
      <c r="PB70" s="36"/>
      <c r="PC70" s="36"/>
      <c r="PD70" s="36"/>
      <c r="PE70" s="36"/>
      <c r="PF70" s="36"/>
      <c r="PG70" s="36"/>
      <c r="PH70" s="36"/>
      <c r="PI70" s="36"/>
      <c r="PJ70" s="36"/>
      <c r="PK70" s="36"/>
      <c r="PL70" s="36"/>
      <c r="PM70" s="36"/>
      <c r="PN70" s="36"/>
      <c r="PO70" s="36"/>
      <c r="PP70" s="36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36"/>
      <c r="QF70" s="36"/>
      <c r="QG70" s="36"/>
      <c r="QH70" s="36"/>
      <c r="QI70" s="36"/>
      <c r="QJ70" s="36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6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  <c r="RM70" s="36"/>
      <c r="RN70" s="36"/>
      <c r="RO70" s="36"/>
      <c r="RP70" s="36"/>
      <c r="RQ70" s="36"/>
      <c r="RR70" s="36"/>
      <c r="RS70" s="36"/>
      <c r="RT70" s="36"/>
      <c r="RU70" s="36"/>
      <c r="RV70" s="36"/>
      <c r="RW70" s="36"/>
      <c r="RX70" s="36"/>
      <c r="RY70" s="36"/>
      <c r="RZ70" s="36"/>
      <c r="SA70" s="36"/>
      <c r="SB70" s="36"/>
      <c r="SC70" s="36"/>
      <c r="SD70" s="36"/>
      <c r="SE70" s="36"/>
      <c r="SF70" s="36"/>
      <c r="SG70" s="36"/>
      <c r="SH70" s="36"/>
      <c r="SI70" s="36"/>
      <c r="SJ70" s="36"/>
      <c r="SK70" s="36"/>
      <c r="SL70" s="36"/>
      <c r="SM70" s="36"/>
      <c r="SN70" s="36"/>
      <c r="SO70" s="36"/>
      <c r="SP70" s="36"/>
      <c r="SQ70" s="36"/>
      <c r="SR70" s="36"/>
      <c r="SS70" s="36"/>
      <c r="ST70" s="36"/>
      <c r="SU70" s="36"/>
      <c r="SV70" s="36"/>
      <c r="SW70" s="36"/>
      <c r="SX70" s="36"/>
      <c r="SY70" s="36"/>
      <c r="SZ70" s="36"/>
      <c r="TA70" s="36"/>
      <c r="TB70" s="36"/>
      <c r="TC70" s="36"/>
      <c r="TD70" s="36"/>
      <c r="TE70" s="36"/>
      <c r="TF70" s="36"/>
      <c r="TG70" s="36"/>
      <c r="TH70" s="36"/>
      <c r="TI70" s="36"/>
    </row>
    <row r="71" spans="1:529" s="27" customFormat="1" ht="45" x14ac:dyDescent="0.25">
      <c r="A71" s="161"/>
      <c r="B71" s="162"/>
      <c r="C71" s="162"/>
      <c r="D71" s="159" t="s">
        <v>448</v>
      </c>
      <c r="E71" s="160">
        <f t="shared" si="28"/>
        <v>2067000</v>
      </c>
      <c r="F71" s="160">
        <v>2067000</v>
      </c>
      <c r="G71" s="160"/>
      <c r="H71" s="160"/>
      <c r="I71" s="160"/>
      <c r="J71" s="160">
        <f t="shared" si="29"/>
        <v>0</v>
      </c>
      <c r="K71" s="160"/>
      <c r="L71" s="160"/>
      <c r="M71" s="160"/>
      <c r="N71" s="160"/>
      <c r="O71" s="160"/>
      <c r="P71" s="160">
        <f t="shared" si="30"/>
        <v>2067000</v>
      </c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36"/>
      <c r="IX71" s="36"/>
      <c r="IY71" s="36"/>
      <c r="IZ71" s="36"/>
      <c r="JA71" s="36"/>
      <c r="JB71" s="36"/>
      <c r="JC71" s="36"/>
      <c r="JD71" s="36"/>
      <c r="JE71" s="36"/>
      <c r="JF71" s="36"/>
      <c r="JG71" s="36"/>
      <c r="JH71" s="36"/>
      <c r="JI71" s="36"/>
      <c r="JJ71" s="36"/>
      <c r="JK71" s="36"/>
      <c r="JL71" s="36"/>
      <c r="JM71" s="36"/>
      <c r="JN71" s="36"/>
      <c r="JO71" s="36"/>
      <c r="JP71" s="36"/>
      <c r="JQ71" s="36"/>
      <c r="JR71" s="36"/>
      <c r="JS71" s="36"/>
      <c r="JT71" s="36"/>
      <c r="JU71" s="36"/>
      <c r="JV71" s="36"/>
      <c r="JW71" s="36"/>
      <c r="JX71" s="36"/>
      <c r="JY71" s="36"/>
      <c r="JZ71" s="36"/>
      <c r="KA71" s="36"/>
      <c r="KB71" s="36"/>
      <c r="KC71" s="36"/>
      <c r="KD71" s="36"/>
      <c r="KE71" s="36"/>
      <c r="KF71" s="36"/>
      <c r="KG71" s="36"/>
      <c r="KH71" s="36"/>
      <c r="KI71" s="36"/>
      <c r="KJ71" s="36"/>
      <c r="KK71" s="36"/>
      <c r="KL71" s="36"/>
      <c r="KM71" s="36"/>
      <c r="KN71" s="36"/>
      <c r="KO71" s="36"/>
      <c r="KP71" s="36"/>
      <c r="KQ71" s="36"/>
      <c r="KR71" s="36"/>
      <c r="KS71" s="36"/>
      <c r="KT71" s="36"/>
      <c r="KU71" s="36"/>
      <c r="KV71" s="36"/>
      <c r="KW71" s="36"/>
      <c r="KX71" s="36"/>
      <c r="KY71" s="36"/>
      <c r="KZ71" s="36"/>
      <c r="LA71" s="36"/>
      <c r="LB71" s="36"/>
      <c r="LC71" s="36"/>
      <c r="LD71" s="36"/>
      <c r="LE71" s="36"/>
      <c r="LF71" s="36"/>
      <c r="LG71" s="36"/>
      <c r="LH71" s="36"/>
      <c r="LI71" s="36"/>
      <c r="LJ71" s="36"/>
      <c r="LK71" s="36"/>
      <c r="LL71" s="36"/>
      <c r="LM71" s="36"/>
      <c r="LN71" s="36"/>
      <c r="LO71" s="36"/>
      <c r="LP71" s="36"/>
      <c r="LQ71" s="36"/>
      <c r="LR71" s="36"/>
      <c r="LS71" s="36"/>
      <c r="LT71" s="36"/>
      <c r="LU71" s="36"/>
      <c r="LV71" s="36"/>
      <c r="LW71" s="36"/>
      <c r="LX71" s="36"/>
      <c r="LY71" s="36"/>
      <c r="LZ71" s="36"/>
      <c r="MA71" s="36"/>
      <c r="MB71" s="36"/>
      <c r="MC71" s="36"/>
      <c r="MD71" s="36"/>
      <c r="ME71" s="36"/>
      <c r="MF71" s="36"/>
      <c r="MG71" s="36"/>
      <c r="MH71" s="36"/>
      <c r="MI71" s="36"/>
      <c r="MJ71" s="36"/>
      <c r="MK71" s="36"/>
      <c r="ML71" s="36"/>
      <c r="MM71" s="36"/>
      <c r="MN71" s="36"/>
      <c r="MO71" s="36"/>
      <c r="MP71" s="36"/>
      <c r="MQ71" s="36"/>
      <c r="MR71" s="36"/>
      <c r="MS71" s="36"/>
      <c r="MT71" s="36"/>
      <c r="MU71" s="36"/>
      <c r="MV71" s="36"/>
      <c r="MW71" s="36"/>
      <c r="MX71" s="36"/>
      <c r="MY71" s="36"/>
      <c r="MZ71" s="36"/>
      <c r="NA71" s="36"/>
      <c r="NB71" s="36"/>
      <c r="NC71" s="36"/>
      <c r="ND71" s="36"/>
      <c r="NE71" s="36"/>
      <c r="NF71" s="36"/>
      <c r="NG71" s="36"/>
      <c r="NH71" s="36"/>
      <c r="NI71" s="36"/>
      <c r="NJ71" s="36"/>
      <c r="NK71" s="36"/>
      <c r="NL71" s="36"/>
      <c r="NM71" s="36"/>
      <c r="NN71" s="36"/>
      <c r="NO71" s="36"/>
      <c r="NP71" s="36"/>
      <c r="NQ71" s="36"/>
      <c r="NR71" s="36"/>
      <c r="NS71" s="36"/>
      <c r="NT71" s="36"/>
      <c r="NU71" s="36"/>
      <c r="NV71" s="36"/>
      <c r="NW71" s="36"/>
      <c r="NX71" s="36"/>
      <c r="NY71" s="36"/>
      <c r="NZ71" s="36"/>
      <c r="OA71" s="36"/>
      <c r="OB71" s="36"/>
      <c r="OC71" s="36"/>
      <c r="OD71" s="36"/>
      <c r="OE71" s="36"/>
      <c r="OF71" s="36"/>
      <c r="OG71" s="36"/>
      <c r="OH71" s="36"/>
      <c r="OI71" s="36"/>
      <c r="OJ71" s="36"/>
      <c r="OK71" s="36"/>
      <c r="OL71" s="36"/>
      <c r="OM71" s="36"/>
      <c r="ON71" s="36"/>
      <c r="OO71" s="36"/>
      <c r="OP71" s="36"/>
      <c r="OQ71" s="36"/>
      <c r="OR71" s="36"/>
      <c r="OS71" s="36"/>
      <c r="OT71" s="36"/>
      <c r="OU71" s="36"/>
      <c r="OV71" s="36"/>
      <c r="OW71" s="36"/>
      <c r="OX71" s="36"/>
      <c r="OY71" s="36"/>
      <c r="OZ71" s="36"/>
      <c r="PA71" s="36"/>
      <c r="PB71" s="36"/>
      <c r="PC71" s="36"/>
      <c r="PD71" s="36"/>
      <c r="PE71" s="36"/>
      <c r="PF71" s="36"/>
      <c r="PG71" s="36"/>
      <c r="PH71" s="36"/>
      <c r="PI71" s="36"/>
      <c r="PJ71" s="36"/>
      <c r="PK71" s="36"/>
      <c r="PL71" s="36"/>
      <c r="PM71" s="36"/>
      <c r="PN71" s="36"/>
      <c r="PO71" s="36"/>
      <c r="PP71" s="36"/>
      <c r="PQ71" s="36"/>
      <c r="PR71" s="36"/>
      <c r="PS71" s="36"/>
      <c r="PT71" s="36"/>
      <c r="PU71" s="36"/>
      <c r="PV71" s="36"/>
      <c r="PW71" s="36"/>
      <c r="PX71" s="36"/>
      <c r="PY71" s="36"/>
      <c r="PZ71" s="36"/>
      <c r="QA71" s="36"/>
      <c r="QB71" s="36"/>
      <c r="QC71" s="36"/>
      <c r="QD71" s="36"/>
      <c r="QE71" s="36"/>
      <c r="QF71" s="36"/>
      <c r="QG71" s="36"/>
      <c r="QH71" s="36"/>
      <c r="QI71" s="36"/>
      <c r="QJ71" s="36"/>
      <c r="QK71" s="36"/>
      <c r="QL71" s="36"/>
      <c r="QM71" s="36"/>
      <c r="QN71" s="36"/>
      <c r="QO71" s="36"/>
      <c r="QP71" s="36"/>
      <c r="QQ71" s="36"/>
      <c r="QR71" s="36"/>
      <c r="QS71" s="36"/>
      <c r="QT71" s="36"/>
      <c r="QU71" s="36"/>
      <c r="QV71" s="36"/>
      <c r="QW71" s="36"/>
      <c r="QX71" s="36"/>
      <c r="QY71" s="36"/>
      <c r="QZ71" s="36"/>
      <c r="RA71" s="36"/>
      <c r="RB71" s="36"/>
      <c r="RC71" s="36"/>
      <c r="RD71" s="36"/>
      <c r="RE71" s="36"/>
      <c r="RF71" s="36"/>
      <c r="RG71" s="36"/>
      <c r="RH71" s="36"/>
      <c r="RI71" s="36"/>
      <c r="RJ71" s="36"/>
      <c r="RK71" s="36"/>
      <c r="RL71" s="36"/>
      <c r="RM71" s="36"/>
      <c r="RN71" s="36"/>
      <c r="RO71" s="36"/>
      <c r="RP71" s="36"/>
      <c r="RQ71" s="36"/>
      <c r="RR71" s="36"/>
      <c r="RS71" s="36"/>
      <c r="RT71" s="36"/>
      <c r="RU71" s="36"/>
      <c r="RV71" s="36"/>
      <c r="RW71" s="36"/>
      <c r="RX71" s="36"/>
      <c r="RY71" s="36"/>
      <c r="RZ71" s="36"/>
      <c r="SA71" s="36"/>
      <c r="SB71" s="36"/>
      <c r="SC71" s="36"/>
      <c r="SD71" s="36"/>
      <c r="SE71" s="36"/>
      <c r="SF71" s="36"/>
      <c r="SG71" s="36"/>
      <c r="SH71" s="36"/>
      <c r="SI71" s="36"/>
      <c r="SJ71" s="36"/>
      <c r="SK71" s="36"/>
      <c r="SL71" s="36"/>
      <c r="SM71" s="36"/>
      <c r="SN71" s="36"/>
      <c r="SO71" s="36"/>
      <c r="SP71" s="36"/>
      <c r="SQ71" s="36"/>
      <c r="SR71" s="36"/>
      <c r="SS71" s="36"/>
      <c r="ST71" s="36"/>
      <c r="SU71" s="36"/>
      <c r="SV71" s="36"/>
      <c r="SW71" s="36"/>
      <c r="SX71" s="36"/>
      <c r="SY71" s="36"/>
      <c r="SZ71" s="36"/>
      <c r="TA71" s="36"/>
      <c r="TB71" s="36"/>
      <c r="TC71" s="36"/>
      <c r="TD71" s="36"/>
      <c r="TE71" s="36"/>
      <c r="TF71" s="36"/>
      <c r="TG71" s="36"/>
      <c r="TH71" s="36"/>
      <c r="TI71" s="36"/>
    </row>
    <row r="72" spans="1:529" s="27" customFormat="1" ht="45" x14ac:dyDescent="0.25">
      <c r="A72" s="161"/>
      <c r="B72" s="162"/>
      <c r="C72" s="162"/>
      <c r="D72" s="159" t="s">
        <v>450</v>
      </c>
      <c r="E72" s="160">
        <f t="shared" si="28"/>
        <v>182274</v>
      </c>
      <c r="F72" s="160">
        <v>182274</v>
      </c>
      <c r="G72" s="160"/>
      <c r="H72" s="160"/>
      <c r="I72" s="160"/>
      <c r="J72" s="160">
        <f t="shared" si="29"/>
        <v>621926</v>
      </c>
      <c r="K72" s="160">
        <v>621926</v>
      </c>
      <c r="L72" s="160"/>
      <c r="M72" s="160"/>
      <c r="N72" s="160"/>
      <c r="O72" s="160">
        <v>621926</v>
      </c>
      <c r="P72" s="160">
        <f t="shared" si="30"/>
        <v>804200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</row>
    <row r="73" spans="1:529" s="27" customFormat="1" ht="52.5" customHeight="1" x14ac:dyDescent="0.25">
      <c r="A73" s="161"/>
      <c r="B73" s="162"/>
      <c r="C73" s="162"/>
      <c r="D73" s="159" t="s">
        <v>447</v>
      </c>
      <c r="E73" s="160">
        <f t="shared" si="28"/>
        <v>1605000</v>
      </c>
      <c r="F73" s="160">
        <v>1605000</v>
      </c>
      <c r="G73" s="160">
        <v>1315570</v>
      </c>
      <c r="H73" s="160"/>
      <c r="I73" s="160"/>
      <c r="J73" s="160">
        <f t="shared" si="29"/>
        <v>663400</v>
      </c>
      <c r="K73" s="160">
        <v>663400</v>
      </c>
      <c r="L73" s="160"/>
      <c r="M73" s="160"/>
      <c r="N73" s="160"/>
      <c r="O73" s="160">
        <v>663400</v>
      </c>
      <c r="P73" s="160">
        <f t="shared" si="30"/>
        <v>2268400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36"/>
      <c r="QU73" s="36"/>
      <c r="QV73" s="36"/>
      <c r="QW73" s="36"/>
      <c r="QX73" s="36"/>
      <c r="QY73" s="36"/>
      <c r="QZ73" s="36"/>
      <c r="RA73" s="36"/>
      <c r="RB73" s="36"/>
      <c r="RC73" s="36"/>
      <c r="RD73" s="36"/>
      <c r="RE73" s="36"/>
      <c r="RF73" s="36"/>
      <c r="RG73" s="36"/>
      <c r="RH73" s="36"/>
      <c r="RI73" s="36"/>
      <c r="RJ73" s="36"/>
      <c r="RK73" s="36"/>
      <c r="RL73" s="36"/>
      <c r="RM73" s="36"/>
      <c r="RN73" s="36"/>
      <c r="RO73" s="36"/>
      <c r="RP73" s="36"/>
      <c r="RQ73" s="36"/>
      <c r="RR73" s="36"/>
      <c r="RS73" s="36"/>
      <c r="RT73" s="36"/>
      <c r="RU73" s="36"/>
      <c r="RV73" s="36"/>
      <c r="RW73" s="36"/>
      <c r="RX73" s="36"/>
      <c r="RY73" s="36"/>
      <c r="RZ73" s="36"/>
      <c r="SA73" s="36"/>
      <c r="SB73" s="36"/>
      <c r="SC73" s="36"/>
      <c r="SD73" s="36"/>
      <c r="SE73" s="36"/>
      <c r="SF73" s="36"/>
      <c r="SG73" s="36"/>
      <c r="SH73" s="36"/>
      <c r="SI73" s="36"/>
      <c r="SJ73" s="36"/>
      <c r="SK73" s="36"/>
      <c r="SL73" s="36"/>
      <c r="SM73" s="36"/>
      <c r="SN73" s="36"/>
      <c r="SO73" s="36"/>
      <c r="SP73" s="36"/>
      <c r="SQ73" s="36"/>
      <c r="SR73" s="36"/>
      <c r="SS73" s="36"/>
      <c r="ST73" s="36"/>
      <c r="SU73" s="36"/>
      <c r="SV73" s="36"/>
      <c r="SW73" s="36"/>
      <c r="SX73" s="36"/>
      <c r="SY73" s="36"/>
      <c r="SZ73" s="36"/>
      <c r="TA73" s="36"/>
      <c r="TB73" s="36"/>
      <c r="TC73" s="36"/>
      <c r="TD73" s="36"/>
      <c r="TE73" s="36"/>
      <c r="TF73" s="36"/>
      <c r="TG73" s="36"/>
      <c r="TH73" s="36"/>
      <c r="TI73" s="36"/>
    </row>
    <row r="74" spans="1:529" s="27" customFormat="1" ht="30" x14ac:dyDescent="0.25">
      <c r="A74" s="161"/>
      <c r="B74" s="162"/>
      <c r="C74" s="162"/>
      <c r="D74" s="159" t="s">
        <v>453</v>
      </c>
      <c r="E74" s="160">
        <f t="shared" si="25"/>
        <v>347149400</v>
      </c>
      <c r="F74" s="160">
        <v>347149400</v>
      </c>
      <c r="G74" s="160">
        <v>285015950</v>
      </c>
      <c r="H74" s="160"/>
      <c r="I74" s="160"/>
      <c r="J74" s="160">
        <f t="shared" si="27"/>
        <v>0</v>
      </c>
      <c r="K74" s="160"/>
      <c r="L74" s="160"/>
      <c r="M74" s="160"/>
      <c r="N74" s="160"/>
      <c r="O74" s="160"/>
      <c r="P74" s="160">
        <f t="shared" si="26"/>
        <v>347149400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</row>
    <row r="75" spans="1:529" s="27" customFormat="1" ht="60" x14ac:dyDescent="0.25">
      <c r="A75" s="161"/>
      <c r="B75" s="162"/>
      <c r="C75" s="162"/>
      <c r="D75" s="159" t="s">
        <v>449</v>
      </c>
      <c r="E75" s="160">
        <f t="shared" si="25"/>
        <v>4782158</v>
      </c>
      <c r="F75" s="160">
        <f>5970690-1188532</f>
        <v>4782158</v>
      </c>
      <c r="G75" s="160"/>
      <c r="H75" s="160"/>
      <c r="I75" s="160"/>
      <c r="J75" s="160">
        <f t="shared" si="27"/>
        <v>721310</v>
      </c>
      <c r="K75" s="160">
        <v>721310</v>
      </c>
      <c r="L75" s="160"/>
      <c r="M75" s="160"/>
      <c r="N75" s="160"/>
      <c r="O75" s="160">
        <v>721310</v>
      </c>
      <c r="P75" s="160">
        <f t="shared" si="26"/>
        <v>5503468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</row>
    <row r="76" spans="1:529" s="23" customFormat="1" ht="63.75" customHeight="1" x14ac:dyDescent="0.25">
      <c r="A76" s="43" t="s">
        <v>403</v>
      </c>
      <c r="B76" s="44">
        <f>'дод 4'!A38</f>
        <v>1030</v>
      </c>
      <c r="C76" s="44" t="str">
        <f>'дод 4'!B38</f>
        <v>0922</v>
      </c>
      <c r="D76" s="24" t="str">
        <f>'дод 4'!C38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6" s="69">
        <f t="shared" si="25"/>
        <v>9244995</v>
      </c>
      <c r="F76" s="69">
        <f>9152880+50000+110000+106000+25839+11076-150800-60000</f>
        <v>9244995</v>
      </c>
      <c r="G76" s="69">
        <v>6532300</v>
      </c>
      <c r="H76" s="69">
        <f>709270-60000</f>
        <v>649270</v>
      </c>
      <c r="I76" s="69">
        <v>0</v>
      </c>
      <c r="J76" s="69">
        <f t="shared" si="27"/>
        <v>52327</v>
      </c>
      <c r="K76" s="69">
        <f>150000+22000+20174+21229-11076-150000</f>
        <v>52327</v>
      </c>
      <c r="L76" s="69"/>
      <c r="M76" s="69"/>
      <c r="N76" s="69"/>
      <c r="O76" s="69">
        <f>150000+22000+20174+21229-11076-150000</f>
        <v>52327</v>
      </c>
      <c r="P76" s="69">
        <f t="shared" si="26"/>
        <v>9297322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</row>
    <row r="77" spans="1:529" s="27" customFormat="1" ht="30" x14ac:dyDescent="0.25">
      <c r="A77" s="161"/>
      <c r="B77" s="162"/>
      <c r="C77" s="162"/>
      <c r="D77" s="159" t="s">
        <v>453</v>
      </c>
      <c r="E77" s="160">
        <f t="shared" si="25"/>
        <v>6214300</v>
      </c>
      <c r="F77" s="160">
        <v>6214300</v>
      </c>
      <c r="G77" s="160">
        <v>5102000</v>
      </c>
      <c r="H77" s="160"/>
      <c r="I77" s="160"/>
      <c r="J77" s="160">
        <f t="shared" si="27"/>
        <v>0</v>
      </c>
      <c r="K77" s="160"/>
      <c r="L77" s="160"/>
      <c r="M77" s="160"/>
      <c r="N77" s="160"/>
      <c r="O77" s="160"/>
      <c r="P77" s="160">
        <f t="shared" si="26"/>
        <v>6214300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</row>
    <row r="78" spans="1:529" s="27" customFormat="1" ht="60" x14ac:dyDescent="0.25">
      <c r="A78" s="161"/>
      <c r="B78" s="162"/>
      <c r="C78" s="162"/>
      <c r="D78" s="159" t="s">
        <v>449</v>
      </c>
      <c r="E78" s="160">
        <f t="shared" si="25"/>
        <v>25839</v>
      </c>
      <c r="F78" s="160">
        <v>25839</v>
      </c>
      <c r="G78" s="160"/>
      <c r="H78" s="160"/>
      <c r="I78" s="160"/>
      <c r="J78" s="160">
        <f t="shared" si="27"/>
        <v>21229</v>
      </c>
      <c r="K78" s="160">
        <v>21229</v>
      </c>
      <c r="L78" s="160"/>
      <c r="M78" s="160"/>
      <c r="N78" s="160"/>
      <c r="O78" s="160">
        <v>21229</v>
      </c>
      <c r="P78" s="160">
        <f t="shared" si="26"/>
        <v>47068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</row>
    <row r="79" spans="1:529" s="23" customFormat="1" ht="32.25" customHeight="1" x14ac:dyDescent="0.25">
      <c r="A79" s="43" t="s">
        <v>243</v>
      </c>
      <c r="B79" s="44" t="str">
        <f>'дод 4'!A41</f>
        <v>1090</v>
      </c>
      <c r="C79" s="44" t="str">
        <f>'дод 4'!B41</f>
        <v>0960</v>
      </c>
      <c r="D79" s="24" t="str">
        <f>'дод 4'!C41</f>
        <v>Надання позашкільної освіти закладами позашкільної освіти, заходи із позашкільної роботи з дітьми</v>
      </c>
      <c r="E79" s="69">
        <f t="shared" si="25"/>
        <v>27668440</v>
      </c>
      <c r="F79" s="69">
        <f>27792840+230600+25000-380000</f>
        <v>27668440</v>
      </c>
      <c r="G79" s="69">
        <v>19715700</v>
      </c>
      <c r="H79" s="69">
        <f>3358190-380000</f>
        <v>2978190</v>
      </c>
      <c r="I79" s="69">
        <v>0</v>
      </c>
      <c r="J79" s="69">
        <f t="shared" si="27"/>
        <v>15000</v>
      </c>
      <c r="K79" s="69">
        <f>300000-300000+15000</f>
        <v>15000</v>
      </c>
      <c r="L79" s="69"/>
      <c r="M79" s="69"/>
      <c r="N79" s="69"/>
      <c r="O79" s="69">
        <f>300000-300000+15000</f>
        <v>15000</v>
      </c>
      <c r="P79" s="69">
        <f t="shared" si="26"/>
        <v>27683440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</row>
    <row r="80" spans="1:529" s="23" customFormat="1" ht="43.5" customHeight="1" x14ac:dyDescent="0.25">
      <c r="A80" s="43" t="s">
        <v>242</v>
      </c>
      <c r="B80" s="44" t="str">
        <f>'дод 4'!A43</f>
        <v>1110</v>
      </c>
      <c r="C80" s="44" t="str">
        <f>'дод 4'!B43</f>
        <v>0930</v>
      </c>
      <c r="D80" s="24" t="str">
        <f>'дод 4'!C43</f>
        <v>Підготовка кадрів закладами професійної (професійно-технічної) освіти та іншими закладами освіти, у т.ч. за рахунок:</v>
      </c>
      <c r="E80" s="69">
        <f t="shared" si="25"/>
        <v>88301846</v>
      </c>
      <c r="F80" s="69">
        <f>116310900-341000+217000+621000+200000-850000-2040100-25815954</f>
        <v>88301846</v>
      </c>
      <c r="G80" s="69">
        <f>69744500-16628791</f>
        <v>53115709</v>
      </c>
      <c r="H80" s="69">
        <f>11348217-341000-2040100-1469012</f>
        <v>7498105</v>
      </c>
      <c r="I80" s="69"/>
      <c r="J80" s="69">
        <f t="shared" si="27"/>
        <v>8079105</v>
      </c>
      <c r="K80" s="69"/>
      <c r="L80" s="69">
        <v>7974105</v>
      </c>
      <c r="M80" s="69">
        <v>2495573</v>
      </c>
      <c r="N80" s="69">
        <v>2976862</v>
      </c>
      <c r="O80" s="69">
        <v>105000</v>
      </c>
      <c r="P80" s="69">
        <f t="shared" si="26"/>
        <v>96380951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</row>
    <row r="81" spans="1:529" s="27" customFormat="1" ht="30" x14ac:dyDescent="0.25">
      <c r="A81" s="161"/>
      <c r="B81" s="162"/>
      <c r="C81" s="162"/>
      <c r="D81" s="159" t="s">
        <v>453</v>
      </c>
      <c r="E81" s="160">
        <f t="shared" si="25"/>
        <v>8033046</v>
      </c>
      <c r="F81" s="160">
        <f>17825000-9791954</f>
        <v>8033046</v>
      </c>
      <c r="G81" s="160">
        <f>14610650-8026186</f>
        <v>6584464</v>
      </c>
      <c r="H81" s="160"/>
      <c r="I81" s="160"/>
      <c r="J81" s="160">
        <f t="shared" si="27"/>
        <v>0</v>
      </c>
      <c r="K81" s="160"/>
      <c r="L81" s="160"/>
      <c r="M81" s="160"/>
      <c r="N81" s="160"/>
      <c r="O81" s="160"/>
      <c r="P81" s="160">
        <f t="shared" si="26"/>
        <v>8033046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  <c r="RM81" s="36"/>
      <c r="RN81" s="36"/>
      <c r="RO81" s="36"/>
      <c r="RP81" s="36"/>
      <c r="RQ81" s="36"/>
      <c r="RR81" s="36"/>
      <c r="RS81" s="36"/>
      <c r="RT81" s="36"/>
      <c r="RU81" s="36"/>
      <c r="RV81" s="36"/>
      <c r="RW81" s="36"/>
      <c r="RX81" s="36"/>
      <c r="RY81" s="36"/>
      <c r="RZ81" s="36"/>
      <c r="SA81" s="36"/>
      <c r="SB81" s="36"/>
      <c r="SC81" s="36"/>
      <c r="SD81" s="36"/>
      <c r="SE81" s="36"/>
      <c r="SF81" s="36"/>
      <c r="SG81" s="36"/>
      <c r="SH81" s="36"/>
      <c r="SI81" s="36"/>
      <c r="SJ81" s="36"/>
      <c r="SK81" s="36"/>
      <c r="SL81" s="36"/>
      <c r="SM81" s="36"/>
      <c r="SN81" s="36"/>
      <c r="SO81" s="36"/>
      <c r="SP81" s="36"/>
      <c r="SQ81" s="36"/>
      <c r="SR81" s="36"/>
      <c r="SS81" s="36"/>
      <c r="ST81" s="36"/>
      <c r="SU81" s="36"/>
      <c r="SV81" s="36"/>
      <c r="SW81" s="36"/>
      <c r="SX81" s="36"/>
      <c r="SY81" s="36"/>
      <c r="SZ81" s="36"/>
      <c r="TA81" s="36"/>
      <c r="TB81" s="36"/>
      <c r="TC81" s="36"/>
      <c r="TD81" s="36"/>
      <c r="TE81" s="36"/>
      <c r="TF81" s="36"/>
      <c r="TG81" s="36"/>
      <c r="TH81" s="36"/>
      <c r="TI81" s="36"/>
    </row>
    <row r="82" spans="1:529" s="23" customFormat="1" ht="21.75" customHeight="1" x14ac:dyDescent="0.25">
      <c r="A82" s="43" t="s">
        <v>181</v>
      </c>
      <c r="B82" s="44" t="str">
        <f>'дод 4'!A45</f>
        <v>1150</v>
      </c>
      <c r="C82" s="44" t="str">
        <f>'дод 4'!B45</f>
        <v>0990</v>
      </c>
      <c r="D82" s="24" t="str">
        <f>'дод 4'!C45</f>
        <v>Методичне забезпечення діяльності закладів освіти</v>
      </c>
      <c r="E82" s="69">
        <f t="shared" si="25"/>
        <v>2878530</v>
      </c>
      <c r="F82" s="69">
        <f>2893730+15000-30200</f>
        <v>2878530</v>
      </c>
      <c r="G82" s="69">
        <v>2237500</v>
      </c>
      <c r="H82" s="69">
        <f>120380-30200</f>
        <v>90180</v>
      </c>
      <c r="I82" s="69"/>
      <c r="J82" s="69">
        <f t="shared" si="27"/>
        <v>0</v>
      </c>
      <c r="K82" s="69"/>
      <c r="L82" s="69"/>
      <c r="M82" s="69"/>
      <c r="N82" s="69"/>
      <c r="O82" s="69"/>
      <c r="P82" s="69">
        <f t="shared" si="26"/>
        <v>2878530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16.5" customHeight="1" x14ac:dyDescent="0.25">
      <c r="A83" s="43" t="s">
        <v>335</v>
      </c>
      <c r="B83" s="44" t="str">
        <f>'дод 4'!A46</f>
        <v>1161</v>
      </c>
      <c r="C83" s="44" t="str">
        <f>'дод 4'!B46</f>
        <v>0990</v>
      </c>
      <c r="D83" s="24" t="str">
        <f>'дод 4'!C46</f>
        <v>Забезпечення діяльності інших закладів у сфері освіти</v>
      </c>
      <c r="E83" s="69">
        <f t="shared" si="25"/>
        <v>9312520</v>
      </c>
      <c r="F83" s="69">
        <f>9333170+12000+43350-76000</f>
        <v>9312520</v>
      </c>
      <c r="G83" s="69">
        <v>6782550</v>
      </c>
      <c r="H83" s="69">
        <f>613500-76000</f>
        <v>537500</v>
      </c>
      <c r="I83" s="69"/>
      <c r="J83" s="69">
        <f t="shared" si="27"/>
        <v>132000</v>
      </c>
      <c r="K83" s="69">
        <f>100000+200000+132000-300000</f>
        <v>132000</v>
      </c>
      <c r="L83" s="69"/>
      <c r="M83" s="69"/>
      <c r="N83" s="69"/>
      <c r="O83" s="69">
        <f>100000+200000+132000-300000</f>
        <v>132000</v>
      </c>
      <c r="P83" s="69">
        <f t="shared" si="26"/>
        <v>9444520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3" customFormat="1" ht="20.25" customHeight="1" x14ac:dyDescent="0.25">
      <c r="A84" s="43" t="s">
        <v>336</v>
      </c>
      <c r="B84" s="44" t="str">
        <f>'дод 4'!A47</f>
        <v>1162</v>
      </c>
      <c r="C84" s="44" t="str">
        <f>'дод 4'!B47</f>
        <v>0990</v>
      </c>
      <c r="D84" s="24" t="str">
        <f>'дод 4'!C47</f>
        <v>Інші програми та заходи у сфері освіти</v>
      </c>
      <c r="E84" s="69">
        <f t="shared" si="25"/>
        <v>107400</v>
      </c>
      <c r="F84" s="69">
        <v>107400</v>
      </c>
      <c r="G84" s="69"/>
      <c r="H84" s="69"/>
      <c r="I84" s="69"/>
      <c r="J84" s="69">
        <f t="shared" si="27"/>
        <v>0</v>
      </c>
      <c r="K84" s="69"/>
      <c r="L84" s="69"/>
      <c r="M84" s="69"/>
      <c r="N84" s="69"/>
      <c r="O84" s="69"/>
      <c r="P84" s="69">
        <f t="shared" si="26"/>
        <v>107400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30.75" customHeight="1" x14ac:dyDescent="0.25">
      <c r="A85" s="43" t="s">
        <v>369</v>
      </c>
      <c r="B85" s="44">
        <v>1170</v>
      </c>
      <c r="C85" s="44" t="s">
        <v>64</v>
      </c>
      <c r="D85" s="148" t="s">
        <v>496</v>
      </c>
      <c r="E85" s="69">
        <f t="shared" si="25"/>
        <v>1627940</v>
      </c>
      <c r="F85" s="69">
        <v>1627940</v>
      </c>
      <c r="G85" s="69">
        <v>1224320</v>
      </c>
      <c r="H85" s="69">
        <v>81470</v>
      </c>
      <c r="I85" s="69"/>
      <c r="J85" s="69">
        <f t="shared" si="27"/>
        <v>0</v>
      </c>
      <c r="K85" s="69"/>
      <c r="L85" s="69"/>
      <c r="M85" s="69"/>
      <c r="N85" s="69"/>
      <c r="O85" s="69"/>
      <c r="P85" s="69">
        <f t="shared" si="26"/>
        <v>1627940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7" customFormat="1" ht="45" x14ac:dyDescent="0.25">
      <c r="A86" s="161"/>
      <c r="B86" s="162"/>
      <c r="C86" s="162"/>
      <c r="D86" s="159" t="s">
        <v>448</v>
      </c>
      <c r="E86" s="160">
        <f t="shared" si="25"/>
        <v>1236370</v>
      </c>
      <c r="F86" s="160">
        <v>1236370</v>
      </c>
      <c r="G86" s="160">
        <v>1013420</v>
      </c>
      <c r="H86" s="160"/>
      <c r="I86" s="160"/>
      <c r="J86" s="160">
        <f t="shared" si="27"/>
        <v>0</v>
      </c>
      <c r="K86" s="160"/>
      <c r="L86" s="160"/>
      <c r="M86" s="160"/>
      <c r="N86" s="160"/>
      <c r="O86" s="160"/>
      <c r="P86" s="160">
        <f t="shared" si="26"/>
        <v>1236370</v>
      </c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6"/>
      <c r="JD86" s="36"/>
      <c r="JE86" s="36"/>
      <c r="JF86" s="36"/>
      <c r="JG86" s="36"/>
      <c r="JH86" s="36"/>
      <c r="JI86" s="36"/>
      <c r="JJ86" s="36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6"/>
      <c r="KK86" s="36"/>
      <c r="KL86" s="36"/>
      <c r="KM86" s="36"/>
      <c r="KN86" s="36"/>
      <c r="KO86" s="36"/>
      <c r="KP86" s="36"/>
      <c r="KQ86" s="36"/>
      <c r="KR86" s="36"/>
      <c r="KS86" s="36"/>
      <c r="KT86" s="36"/>
      <c r="KU86" s="36"/>
      <c r="KV86" s="36"/>
      <c r="KW86" s="36"/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6"/>
      <c r="LK86" s="36"/>
      <c r="LL86" s="36"/>
      <c r="LM86" s="36"/>
      <c r="LN86" s="36"/>
      <c r="LO86" s="36"/>
      <c r="LP86" s="36"/>
      <c r="LQ86" s="36"/>
      <c r="LR86" s="36"/>
      <c r="LS86" s="36"/>
      <c r="LT86" s="36"/>
      <c r="LU86" s="36"/>
      <c r="LV86" s="36"/>
      <c r="LW86" s="36"/>
      <c r="LX86" s="36"/>
      <c r="LY86" s="36"/>
      <c r="LZ86" s="36"/>
      <c r="MA86" s="36"/>
      <c r="MB86" s="36"/>
      <c r="MC86" s="36"/>
      <c r="MD86" s="36"/>
      <c r="ME86" s="36"/>
      <c r="MF86" s="36"/>
      <c r="MG86" s="36"/>
      <c r="MH86" s="36"/>
      <c r="MI86" s="36"/>
      <c r="MJ86" s="36"/>
      <c r="MK86" s="36"/>
      <c r="ML86" s="36"/>
      <c r="MM86" s="36"/>
      <c r="MN86" s="36"/>
      <c r="MO86" s="36"/>
      <c r="MP86" s="36"/>
      <c r="MQ86" s="36"/>
      <c r="MR86" s="36"/>
      <c r="MS86" s="36"/>
      <c r="MT86" s="36"/>
      <c r="MU86" s="36"/>
      <c r="MV86" s="36"/>
      <c r="MW86" s="36"/>
      <c r="MX86" s="36"/>
      <c r="MY86" s="36"/>
      <c r="MZ86" s="36"/>
      <c r="NA86" s="36"/>
      <c r="NB86" s="36"/>
      <c r="NC86" s="36"/>
      <c r="ND86" s="36"/>
      <c r="NE86" s="36"/>
      <c r="NF86" s="36"/>
      <c r="NG86" s="36"/>
      <c r="NH86" s="36"/>
      <c r="NI86" s="36"/>
      <c r="NJ86" s="36"/>
      <c r="NK86" s="36"/>
      <c r="NL86" s="36"/>
      <c r="NM86" s="36"/>
      <c r="NN86" s="36"/>
      <c r="NO86" s="36"/>
      <c r="NP86" s="36"/>
      <c r="NQ86" s="36"/>
      <c r="NR86" s="36"/>
      <c r="NS86" s="36"/>
      <c r="NT86" s="36"/>
      <c r="NU86" s="36"/>
      <c r="NV86" s="36"/>
      <c r="NW86" s="36"/>
      <c r="NX86" s="36"/>
      <c r="NY86" s="36"/>
      <c r="NZ86" s="36"/>
      <c r="OA86" s="36"/>
      <c r="OB86" s="36"/>
      <c r="OC86" s="36"/>
      <c r="OD86" s="36"/>
      <c r="OE86" s="36"/>
      <c r="OF86" s="36"/>
      <c r="OG86" s="36"/>
      <c r="OH86" s="36"/>
      <c r="OI86" s="36"/>
      <c r="OJ86" s="36"/>
      <c r="OK86" s="36"/>
      <c r="OL86" s="36"/>
      <c r="OM86" s="36"/>
      <c r="ON86" s="36"/>
      <c r="OO86" s="36"/>
      <c r="OP86" s="36"/>
      <c r="OQ86" s="36"/>
      <c r="OR86" s="36"/>
      <c r="OS86" s="36"/>
      <c r="OT86" s="36"/>
      <c r="OU86" s="36"/>
      <c r="OV86" s="36"/>
      <c r="OW86" s="36"/>
      <c r="OX86" s="36"/>
      <c r="OY86" s="36"/>
      <c r="OZ86" s="36"/>
      <c r="PA86" s="36"/>
      <c r="PB86" s="36"/>
      <c r="PC86" s="36"/>
      <c r="PD86" s="36"/>
      <c r="PE86" s="36"/>
      <c r="PF86" s="36"/>
      <c r="PG86" s="36"/>
      <c r="PH86" s="36"/>
      <c r="PI86" s="36"/>
      <c r="PJ86" s="36"/>
      <c r="PK86" s="36"/>
      <c r="PL86" s="36"/>
      <c r="PM86" s="36"/>
      <c r="PN86" s="36"/>
      <c r="PO86" s="36"/>
      <c r="PP86" s="36"/>
      <c r="PQ86" s="36"/>
      <c r="PR86" s="36"/>
      <c r="PS86" s="36"/>
      <c r="PT86" s="36"/>
      <c r="PU86" s="36"/>
      <c r="PV86" s="36"/>
      <c r="PW86" s="36"/>
      <c r="PX86" s="36"/>
      <c r="PY86" s="36"/>
      <c r="PZ86" s="36"/>
      <c r="QA86" s="36"/>
      <c r="QB86" s="36"/>
      <c r="QC86" s="36"/>
      <c r="QD86" s="36"/>
      <c r="QE86" s="36"/>
      <c r="QF86" s="36"/>
      <c r="QG86" s="36"/>
      <c r="QH86" s="36"/>
      <c r="QI86" s="36"/>
      <c r="QJ86" s="36"/>
      <c r="QK86" s="36"/>
      <c r="QL86" s="36"/>
      <c r="QM86" s="36"/>
      <c r="QN86" s="36"/>
      <c r="QO86" s="36"/>
      <c r="QP86" s="36"/>
      <c r="QQ86" s="36"/>
      <c r="QR86" s="36"/>
      <c r="QS86" s="36"/>
      <c r="QT86" s="36"/>
      <c r="QU86" s="36"/>
      <c r="QV86" s="36"/>
      <c r="QW86" s="36"/>
      <c r="QX86" s="36"/>
      <c r="QY86" s="36"/>
      <c r="QZ86" s="36"/>
      <c r="RA86" s="36"/>
      <c r="RB86" s="36"/>
      <c r="RC86" s="36"/>
      <c r="RD86" s="36"/>
      <c r="RE86" s="36"/>
      <c r="RF86" s="36"/>
      <c r="RG86" s="36"/>
      <c r="RH86" s="36"/>
      <c r="RI86" s="36"/>
      <c r="RJ86" s="36"/>
      <c r="RK86" s="36"/>
      <c r="RL86" s="36"/>
      <c r="RM86" s="36"/>
      <c r="RN86" s="36"/>
      <c r="RO86" s="36"/>
      <c r="RP86" s="36"/>
      <c r="RQ86" s="36"/>
      <c r="RR86" s="36"/>
      <c r="RS86" s="36"/>
      <c r="RT86" s="36"/>
      <c r="RU86" s="36"/>
      <c r="RV86" s="36"/>
      <c r="RW86" s="36"/>
      <c r="RX86" s="36"/>
      <c r="RY86" s="36"/>
      <c r="RZ86" s="36"/>
      <c r="SA86" s="36"/>
      <c r="SB86" s="36"/>
      <c r="SC86" s="36"/>
      <c r="SD86" s="36"/>
      <c r="SE86" s="36"/>
      <c r="SF86" s="36"/>
      <c r="SG86" s="36"/>
      <c r="SH86" s="36"/>
      <c r="SI86" s="36"/>
      <c r="SJ86" s="36"/>
      <c r="SK86" s="36"/>
      <c r="SL86" s="36"/>
      <c r="SM86" s="36"/>
      <c r="SN86" s="36"/>
      <c r="SO86" s="36"/>
      <c r="SP86" s="36"/>
      <c r="SQ86" s="36"/>
      <c r="SR86" s="36"/>
      <c r="SS86" s="36"/>
      <c r="ST86" s="36"/>
      <c r="SU86" s="36"/>
      <c r="SV86" s="36"/>
      <c r="SW86" s="36"/>
      <c r="SX86" s="36"/>
      <c r="SY86" s="36"/>
      <c r="SZ86" s="36"/>
      <c r="TA86" s="36"/>
      <c r="TB86" s="36"/>
      <c r="TC86" s="36"/>
      <c r="TD86" s="36"/>
      <c r="TE86" s="36"/>
      <c r="TF86" s="36"/>
      <c r="TG86" s="36"/>
      <c r="TH86" s="36"/>
      <c r="TI86" s="36"/>
    </row>
    <row r="87" spans="1:529" s="23" customFormat="1" ht="64.5" customHeight="1" x14ac:dyDescent="0.25">
      <c r="A87" s="43" t="s">
        <v>182</v>
      </c>
      <c r="B87" s="44" t="str">
        <f>'дод 4'!A87</f>
        <v>3140</v>
      </c>
      <c r="C87" s="44" t="str">
        <f>'дод 4'!B87</f>
        <v>1040</v>
      </c>
      <c r="D87" s="24" t="str">
        <f>'дод 4'!C87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7" s="69">
        <f t="shared" si="25"/>
        <v>2113500</v>
      </c>
      <c r="F87" s="69">
        <f>7000000-4886500</f>
        <v>2113500</v>
      </c>
      <c r="G87" s="69"/>
      <c r="H87" s="69"/>
      <c r="I87" s="69"/>
      <c r="J87" s="69">
        <f t="shared" si="27"/>
        <v>0</v>
      </c>
      <c r="K87" s="69"/>
      <c r="L87" s="69"/>
      <c r="M87" s="69"/>
      <c r="N87" s="69"/>
      <c r="O87" s="69"/>
      <c r="P87" s="69">
        <f t="shared" si="26"/>
        <v>2113500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31.5" customHeight="1" x14ac:dyDescent="0.25">
      <c r="A88" s="43" t="s">
        <v>349</v>
      </c>
      <c r="B88" s="44" t="str">
        <f>'дод 4'!A99</f>
        <v>3242</v>
      </c>
      <c r="C88" s="44" t="str">
        <f>'дод 4'!B99</f>
        <v>1090</v>
      </c>
      <c r="D88" s="24" t="s">
        <v>498</v>
      </c>
      <c r="E88" s="69">
        <f t="shared" si="25"/>
        <v>52490</v>
      </c>
      <c r="F88" s="69">
        <v>52490</v>
      </c>
      <c r="G88" s="69"/>
      <c r="H88" s="69"/>
      <c r="I88" s="69"/>
      <c r="J88" s="69">
        <f t="shared" si="27"/>
        <v>0</v>
      </c>
      <c r="K88" s="69"/>
      <c r="L88" s="69"/>
      <c r="M88" s="69"/>
      <c r="N88" s="69"/>
      <c r="O88" s="69"/>
      <c r="P88" s="69">
        <f t="shared" si="26"/>
        <v>52490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33" customHeight="1" x14ac:dyDescent="0.25">
      <c r="A89" s="43" t="s">
        <v>183</v>
      </c>
      <c r="B89" s="44" t="str">
        <f>'дод 4'!A109</f>
        <v>5031</v>
      </c>
      <c r="C89" s="44" t="str">
        <f>'дод 4'!B109</f>
        <v>0810</v>
      </c>
      <c r="D89" s="24" t="str">
        <f>'дод 4'!C109</f>
        <v>Утримання та навчально-тренувальна робота комунальних дитячо-юнацьких спортивних шкіл</v>
      </c>
      <c r="E89" s="69">
        <f t="shared" si="25"/>
        <v>6757500</v>
      </c>
      <c r="F89" s="69">
        <f>6725500+60000+2000+10000-40000</f>
        <v>6757500</v>
      </c>
      <c r="G89" s="69">
        <v>5086600</v>
      </c>
      <c r="H89" s="69">
        <f>240700-40000</f>
        <v>200700</v>
      </c>
      <c r="I89" s="69"/>
      <c r="J89" s="69">
        <f t="shared" si="27"/>
        <v>750000</v>
      </c>
      <c r="K89" s="69">
        <f>550000+200000</f>
        <v>750000</v>
      </c>
      <c r="L89" s="69"/>
      <c r="M89" s="69"/>
      <c r="N89" s="69"/>
      <c r="O89" s="69">
        <f>550000+200000</f>
        <v>750000</v>
      </c>
      <c r="P89" s="69">
        <f t="shared" si="26"/>
        <v>7507500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33" customHeight="1" x14ac:dyDescent="0.25">
      <c r="A90" s="43" t="s">
        <v>439</v>
      </c>
      <c r="B90" s="44">
        <v>7321</v>
      </c>
      <c r="C90" s="44" t="str">
        <f>'дод 4'!B131</f>
        <v>0443</v>
      </c>
      <c r="D90" s="24" t="str">
        <f>'дод 4'!C131</f>
        <v>Будівництво освітніх установ та закладів</v>
      </c>
      <c r="E90" s="69">
        <f t="shared" si="25"/>
        <v>0</v>
      </c>
      <c r="F90" s="69"/>
      <c r="G90" s="69"/>
      <c r="H90" s="69"/>
      <c r="I90" s="69"/>
      <c r="J90" s="69">
        <f t="shared" si="27"/>
        <v>23994697</v>
      </c>
      <c r="K90" s="69">
        <f>50000+23865697+79000</f>
        <v>23994697</v>
      </c>
      <c r="L90" s="69"/>
      <c r="M90" s="69"/>
      <c r="N90" s="69"/>
      <c r="O90" s="69">
        <f>50000+23865697+79000</f>
        <v>23994697</v>
      </c>
      <c r="P90" s="69">
        <f t="shared" si="26"/>
        <v>23994697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45.75" customHeight="1" x14ac:dyDescent="0.25">
      <c r="A91" s="43" t="s">
        <v>409</v>
      </c>
      <c r="B91" s="44">
        <v>7363</v>
      </c>
      <c r="C91" s="110" t="s">
        <v>89</v>
      </c>
      <c r="D91" s="102" t="s">
        <v>463</v>
      </c>
      <c r="E91" s="69">
        <f t="shared" si="25"/>
        <v>0</v>
      </c>
      <c r="F91" s="69"/>
      <c r="G91" s="69"/>
      <c r="H91" s="69"/>
      <c r="I91" s="69"/>
      <c r="J91" s="69">
        <f t="shared" si="27"/>
        <v>257580.90999999997</v>
      </c>
      <c r="K91" s="69">
        <f>7502.36+250078.55</f>
        <v>257580.90999999997</v>
      </c>
      <c r="L91" s="69"/>
      <c r="M91" s="69"/>
      <c r="N91" s="69"/>
      <c r="O91" s="69">
        <f>7502.36+250078.55</f>
        <v>257580.90999999997</v>
      </c>
      <c r="P91" s="69">
        <f t="shared" si="26"/>
        <v>257580.90999999997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7" customFormat="1" ht="45" x14ac:dyDescent="0.25">
      <c r="A92" s="161"/>
      <c r="B92" s="162"/>
      <c r="C92" s="162"/>
      <c r="D92" s="159" t="s">
        <v>452</v>
      </c>
      <c r="E92" s="160">
        <f t="shared" si="25"/>
        <v>0</v>
      </c>
      <c r="F92" s="160"/>
      <c r="G92" s="160"/>
      <c r="H92" s="160"/>
      <c r="I92" s="160"/>
      <c r="J92" s="160">
        <f t="shared" si="27"/>
        <v>250078.55</v>
      </c>
      <c r="K92" s="160">
        <v>250078.55</v>
      </c>
      <c r="L92" s="160"/>
      <c r="M92" s="160"/>
      <c r="N92" s="160"/>
      <c r="O92" s="160">
        <v>250078.55</v>
      </c>
      <c r="P92" s="160">
        <f t="shared" si="26"/>
        <v>250078.55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</row>
    <row r="93" spans="1:529" s="23" customFormat="1" ht="25.5" customHeight="1" x14ac:dyDescent="0.25">
      <c r="A93" s="43" t="s">
        <v>184</v>
      </c>
      <c r="B93" s="44" t="str">
        <f>'дод 4'!A153</f>
        <v>7640</v>
      </c>
      <c r="C93" s="44" t="str">
        <f>'дод 4'!B153</f>
        <v>0470</v>
      </c>
      <c r="D93" s="24" t="s">
        <v>515</v>
      </c>
      <c r="E93" s="69">
        <f t="shared" si="25"/>
        <v>507300.8</v>
      </c>
      <c r="F93" s="69">
        <f>578800-71499.2</f>
        <v>507300.8</v>
      </c>
      <c r="G93" s="69"/>
      <c r="H93" s="69"/>
      <c r="I93" s="69"/>
      <c r="J93" s="69">
        <f t="shared" si="27"/>
        <v>3224699.2</v>
      </c>
      <c r="K93" s="69">
        <f>2993200+71499.2+160000</f>
        <v>3224699.2</v>
      </c>
      <c r="L93" s="69"/>
      <c r="M93" s="69"/>
      <c r="N93" s="69"/>
      <c r="O93" s="69">
        <f>2993200+71499.2+160000</f>
        <v>3224699.2</v>
      </c>
      <c r="P93" s="69">
        <f t="shared" si="26"/>
        <v>3732000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27" customHeight="1" x14ac:dyDescent="0.25">
      <c r="A94" s="43" t="s">
        <v>185</v>
      </c>
      <c r="B94" s="44" t="str">
        <f>'дод 4'!A174</f>
        <v>8340</v>
      </c>
      <c r="C94" s="44" t="str">
        <f>'дод 4'!B174</f>
        <v>0540</v>
      </c>
      <c r="D94" s="24" t="str">
        <f>'дод 4'!C174</f>
        <v>Природоохоронні заходи за рахунок цільових фондів</v>
      </c>
      <c r="E94" s="69">
        <f t="shared" si="25"/>
        <v>0</v>
      </c>
      <c r="F94" s="69"/>
      <c r="G94" s="69"/>
      <c r="H94" s="69"/>
      <c r="I94" s="69"/>
      <c r="J94" s="69">
        <f t="shared" si="27"/>
        <v>400000</v>
      </c>
      <c r="K94" s="69"/>
      <c r="L94" s="69">
        <f>306000+10000</f>
        <v>316000</v>
      </c>
      <c r="M94" s="69"/>
      <c r="N94" s="69"/>
      <c r="O94" s="69">
        <v>84000</v>
      </c>
      <c r="P94" s="69">
        <f t="shared" si="26"/>
        <v>400000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46.5" customHeight="1" x14ac:dyDescent="0.25">
      <c r="A95" s="43" t="s">
        <v>506</v>
      </c>
      <c r="B95" s="44"/>
      <c r="C95" s="44"/>
      <c r="D95" s="24" t="s">
        <v>513</v>
      </c>
      <c r="E95" s="69">
        <f t="shared" ref="E95" si="31">F95+I95</f>
        <v>9791954</v>
      </c>
      <c r="F95" s="69">
        <v>9791954</v>
      </c>
      <c r="G95" s="69">
        <v>8026186</v>
      </c>
      <c r="H95" s="69"/>
      <c r="I95" s="69"/>
      <c r="J95" s="69">
        <f t="shared" ref="J95" si="32">L95+O95</f>
        <v>0</v>
      </c>
      <c r="K95" s="69"/>
      <c r="L95" s="69"/>
      <c r="M95" s="69"/>
      <c r="N95" s="69"/>
      <c r="O95" s="69"/>
      <c r="P95" s="69">
        <f t="shared" si="26"/>
        <v>9791954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7" customFormat="1" ht="46.5" customHeight="1" x14ac:dyDescent="0.25">
      <c r="A96" s="161"/>
      <c r="B96" s="162"/>
      <c r="C96" s="162"/>
      <c r="D96" s="159" t="s">
        <v>453</v>
      </c>
      <c r="E96" s="160">
        <f t="shared" ref="E96" si="33">F96+I96</f>
        <v>9791954</v>
      </c>
      <c r="F96" s="160">
        <v>9791954</v>
      </c>
      <c r="G96" s="160">
        <v>8026186</v>
      </c>
      <c r="H96" s="160"/>
      <c r="I96" s="160"/>
      <c r="J96" s="160">
        <f t="shared" ref="J96" si="34">L96+O96</f>
        <v>0</v>
      </c>
      <c r="K96" s="160"/>
      <c r="L96" s="160"/>
      <c r="M96" s="160"/>
      <c r="N96" s="160"/>
      <c r="O96" s="160"/>
      <c r="P96" s="160">
        <f t="shared" ref="P96" si="35">E96+J96</f>
        <v>9791954</v>
      </c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/>
      <c r="JT96" s="36"/>
      <c r="JU96" s="36"/>
      <c r="JV96" s="36"/>
      <c r="JW96" s="36"/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/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/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/>
      <c r="OJ96" s="36"/>
      <c r="OK96" s="36"/>
      <c r="OL96" s="36"/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36"/>
      <c r="PM96" s="36"/>
      <c r="PN96" s="36"/>
      <c r="PO96" s="36"/>
      <c r="PP96" s="36"/>
      <c r="PQ96" s="36"/>
      <c r="PR96" s="36"/>
      <c r="PS96" s="36"/>
      <c r="PT96" s="36"/>
      <c r="PU96" s="36"/>
      <c r="PV96" s="36"/>
      <c r="PW96" s="36"/>
      <c r="PX96" s="36"/>
      <c r="PY96" s="36"/>
      <c r="PZ96" s="36"/>
      <c r="QA96" s="36"/>
      <c r="QB96" s="36"/>
      <c r="QC96" s="36"/>
      <c r="QD96" s="36"/>
      <c r="QE96" s="36"/>
      <c r="QF96" s="36"/>
      <c r="QG96" s="36"/>
      <c r="QH96" s="36"/>
      <c r="QI96" s="36"/>
      <c r="QJ96" s="36"/>
      <c r="QK96" s="36"/>
      <c r="QL96" s="36"/>
      <c r="QM96" s="36"/>
      <c r="QN96" s="36"/>
      <c r="QO96" s="36"/>
      <c r="QP96" s="36"/>
      <c r="QQ96" s="36"/>
      <c r="QR96" s="36"/>
      <c r="QS96" s="36"/>
      <c r="QT96" s="36"/>
      <c r="QU96" s="36"/>
      <c r="QV96" s="36"/>
      <c r="QW96" s="36"/>
      <c r="QX96" s="36"/>
      <c r="QY96" s="36"/>
      <c r="QZ96" s="36"/>
      <c r="RA96" s="36"/>
      <c r="RB96" s="36"/>
      <c r="RC96" s="36"/>
      <c r="RD96" s="36"/>
      <c r="RE96" s="36"/>
      <c r="RF96" s="36"/>
      <c r="RG96" s="36"/>
      <c r="RH96" s="36"/>
      <c r="RI96" s="36"/>
      <c r="RJ96" s="36"/>
      <c r="RK96" s="36"/>
      <c r="RL96" s="36"/>
      <c r="RM96" s="36"/>
      <c r="RN96" s="36"/>
      <c r="RO96" s="36"/>
      <c r="RP96" s="36"/>
      <c r="RQ96" s="36"/>
      <c r="RR96" s="36"/>
      <c r="RS96" s="36"/>
      <c r="RT96" s="36"/>
      <c r="RU96" s="36"/>
      <c r="RV96" s="36"/>
      <c r="RW96" s="36"/>
      <c r="RX96" s="36"/>
      <c r="RY96" s="36"/>
      <c r="RZ96" s="36"/>
      <c r="SA96" s="36"/>
      <c r="SB96" s="36"/>
      <c r="SC96" s="36"/>
      <c r="SD96" s="36"/>
      <c r="SE96" s="36"/>
      <c r="SF96" s="36"/>
      <c r="SG96" s="36"/>
      <c r="SH96" s="36"/>
      <c r="SI96" s="36"/>
      <c r="SJ96" s="36"/>
      <c r="SK96" s="36"/>
      <c r="SL96" s="36"/>
      <c r="SM96" s="36"/>
      <c r="SN96" s="36"/>
      <c r="SO96" s="36"/>
      <c r="SP96" s="36"/>
      <c r="SQ96" s="36"/>
      <c r="SR96" s="36"/>
      <c r="SS96" s="36"/>
      <c r="ST96" s="36"/>
      <c r="SU96" s="36"/>
      <c r="SV96" s="36"/>
      <c r="SW96" s="36"/>
      <c r="SX96" s="36"/>
      <c r="SY96" s="36"/>
      <c r="SZ96" s="36"/>
      <c r="TA96" s="36"/>
      <c r="TB96" s="36"/>
      <c r="TC96" s="36"/>
      <c r="TD96" s="36"/>
      <c r="TE96" s="36"/>
      <c r="TF96" s="36"/>
      <c r="TG96" s="36"/>
      <c r="TH96" s="36"/>
      <c r="TI96" s="36"/>
    </row>
    <row r="97" spans="1:529" s="23" customFormat="1" ht="27" customHeight="1" x14ac:dyDescent="0.25">
      <c r="A97" s="43" t="s">
        <v>505</v>
      </c>
      <c r="B97" s="44"/>
      <c r="C97" s="44"/>
      <c r="D97" s="24" t="s">
        <v>391</v>
      </c>
      <c r="E97" s="69">
        <f t="shared" si="25"/>
        <v>16024000</v>
      </c>
      <c r="F97" s="69">
        <v>16024000</v>
      </c>
      <c r="G97" s="69"/>
      <c r="H97" s="69"/>
      <c r="I97" s="69"/>
      <c r="J97" s="69">
        <f t="shared" si="27"/>
        <v>0</v>
      </c>
      <c r="K97" s="69"/>
      <c r="L97" s="69"/>
      <c r="M97" s="69"/>
      <c r="N97" s="69"/>
      <c r="O97" s="69"/>
      <c r="P97" s="69">
        <f t="shared" si="26"/>
        <v>16024000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</row>
    <row r="98" spans="1:529" s="23" customFormat="1" ht="46.5" customHeight="1" x14ac:dyDescent="0.25">
      <c r="A98" s="43" t="s">
        <v>410</v>
      </c>
      <c r="B98" s="44">
        <v>9800</v>
      </c>
      <c r="C98" s="45" t="s">
        <v>49</v>
      </c>
      <c r="D98" s="111" t="s">
        <v>411</v>
      </c>
      <c r="E98" s="69">
        <f t="shared" si="25"/>
        <v>84885</v>
      </c>
      <c r="F98" s="69">
        <v>84885</v>
      </c>
      <c r="G98" s="69"/>
      <c r="H98" s="69"/>
      <c r="I98" s="69"/>
      <c r="J98" s="69">
        <f t="shared" si="27"/>
        <v>0</v>
      </c>
      <c r="K98" s="69"/>
      <c r="L98" s="69"/>
      <c r="M98" s="69"/>
      <c r="N98" s="69"/>
      <c r="O98" s="69"/>
      <c r="P98" s="69">
        <f t="shared" si="26"/>
        <v>84885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</row>
    <row r="99" spans="1:529" s="31" customFormat="1" ht="21" customHeight="1" x14ac:dyDescent="0.2">
      <c r="A99" s="156" t="s">
        <v>186</v>
      </c>
      <c r="B99" s="74"/>
      <c r="C99" s="74"/>
      <c r="D99" s="30" t="s">
        <v>30</v>
      </c>
      <c r="E99" s="66">
        <f>E100</f>
        <v>189203615.61000001</v>
      </c>
      <c r="F99" s="66">
        <f t="shared" ref="F99:P99" si="36">F100</f>
        <v>189004615.61000001</v>
      </c>
      <c r="G99" s="66">
        <f t="shared" si="36"/>
        <v>1637700</v>
      </c>
      <c r="H99" s="66">
        <f t="shared" si="36"/>
        <v>35400</v>
      </c>
      <c r="I99" s="66">
        <f t="shared" si="36"/>
        <v>199000</v>
      </c>
      <c r="J99" s="66">
        <f t="shared" si="36"/>
        <v>109256144</v>
      </c>
      <c r="K99" s="66">
        <f t="shared" si="36"/>
        <v>108371144</v>
      </c>
      <c r="L99" s="66">
        <f t="shared" si="36"/>
        <v>0</v>
      </c>
      <c r="M99" s="66">
        <f t="shared" si="36"/>
        <v>0</v>
      </c>
      <c r="N99" s="66">
        <f t="shared" si="36"/>
        <v>0</v>
      </c>
      <c r="O99" s="66">
        <f t="shared" si="36"/>
        <v>109256144</v>
      </c>
      <c r="P99" s="66">
        <f t="shared" si="36"/>
        <v>298459759.61000001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</row>
    <row r="100" spans="1:529" s="40" customFormat="1" ht="30.75" customHeight="1" x14ac:dyDescent="0.25">
      <c r="A100" s="76" t="s">
        <v>187</v>
      </c>
      <c r="B100" s="75"/>
      <c r="C100" s="75"/>
      <c r="D100" s="33" t="s">
        <v>462</v>
      </c>
      <c r="E100" s="68">
        <f t="shared" ref="E100:P100" si="37">E106+E107+E111+E113+E115+E117+E120+E121+E122+E123+E124+E126</f>
        <v>189203615.61000001</v>
      </c>
      <c r="F100" s="68">
        <f t="shared" si="37"/>
        <v>189004615.61000001</v>
      </c>
      <c r="G100" s="68">
        <f t="shared" si="37"/>
        <v>1637700</v>
      </c>
      <c r="H100" s="68">
        <f t="shared" si="37"/>
        <v>35400</v>
      </c>
      <c r="I100" s="68">
        <f t="shared" si="37"/>
        <v>199000</v>
      </c>
      <c r="J100" s="68">
        <f t="shared" si="37"/>
        <v>109256144</v>
      </c>
      <c r="K100" s="68">
        <f t="shared" si="37"/>
        <v>108371144</v>
      </c>
      <c r="L100" s="68">
        <f t="shared" si="37"/>
        <v>0</v>
      </c>
      <c r="M100" s="68">
        <f t="shared" si="37"/>
        <v>0</v>
      </c>
      <c r="N100" s="68">
        <f t="shared" si="37"/>
        <v>0</v>
      </c>
      <c r="O100" s="68">
        <f t="shared" si="37"/>
        <v>109256144</v>
      </c>
      <c r="P100" s="68">
        <f t="shared" si="37"/>
        <v>298459759.61000001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</row>
    <row r="101" spans="1:529" s="40" customFormat="1" ht="30" x14ac:dyDescent="0.25">
      <c r="A101" s="76"/>
      <c r="B101" s="75"/>
      <c r="C101" s="75"/>
      <c r="D101" s="33" t="s">
        <v>454</v>
      </c>
      <c r="E101" s="68">
        <f>E108+E112+E114</f>
        <v>52689700</v>
      </c>
      <c r="F101" s="68">
        <f t="shared" ref="F101:P101" si="38">F108+F112+F114</f>
        <v>52689700</v>
      </c>
      <c r="G101" s="68">
        <f t="shared" si="38"/>
        <v>0</v>
      </c>
      <c r="H101" s="68">
        <f t="shared" si="38"/>
        <v>0</v>
      </c>
      <c r="I101" s="68">
        <f t="shared" si="38"/>
        <v>0</v>
      </c>
      <c r="J101" s="68">
        <f t="shared" si="38"/>
        <v>0</v>
      </c>
      <c r="K101" s="68">
        <f t="shared" si="38"/>
        <v>0</v>
      </c>
      <c r="L101" s="68">
        <f t="shared" si="38"/>
        <v>0</v>
      </c>
      <c r="M101" s="68">
        <f t="shared" si="38"/>
        <v>0</v>
      </c>
      <c r="N101" s="68">
        <f t="shared" si="38"/>
        <v>0</v>
      </c>
      <c r="O101" s="68">
        <f t="shared" si="38"/>
        <v>0</v>
      </c>
      <c r="P101" s="68">
        <f t="shared" si="38"/>
        <v>52689700</v>
      </c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39"/>
      <c r="RH101" s="39"/>
      <c r="RI101" s="39"/>
      <c r="RJ101" s="39"/>
      <c r="RK101" s="39"/>
      <c r="RL101" s="39"/>
      <c r="RM101" s="39"/>
      <c r="RN101" s="39"/>
      <c r="RO101" s="39"/>
      <c r="RP101" s="39"/>
      <c r="RQ101" s="39"/>
      <c r="RR101" s="39"/>
      <c r="RS101" s="39"/>
      <c r="RT101" s="39"/>
      <c r="RU101" s="39"/>
      <c r="RV101" s="39"/>
      <c r="RW101" s="39"/>
      <c r="RX101" s="39"/>
      <c r="RY101" s="39"/>
      <c r="RZ101" s="39"/>
      <c r="SA101" s="39"/>
      <c r="SB101" s="39"/>
      <c r="SC101" s="39"/>
      <c r="SD101" s="39"/>
      <c r="SE101" s="39"/>
      <c r="SF101" s="39"/>
      <c r="SG101" s="39"/>
      <c r="SH101" s="39"/>
      <c r="SI101" s="39"/>
      <c r="SJ101" s="39"/>
      <c r="SK101" s="39"/>
      <c r="SL101" s="39"/>
      <c r="SM101" s="39"/>
      <c r="SN101" s="39"/>
      <c r="SO101" s="39"/>
      <c r="SP101" s="39"/>
      <c r="SQ101" s="39"/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/>
      <c r="TC101" s="39"/>
      <c r="TD101" s="39"/>
      <c r="TE101" s="39"/>
      <c r="TF101" s="39"/>
      <c r="TG101" s="39"/>
      <c r="TH101" s="39"/>
      <c r="TI101" s="39"/>
    </row>
    <row r="102" spans="1:529" s="40" customFormat="1" ht="45" x14ac:dyDescent="0.25">
      <c r="A102" s="76"/>
      <c r="B102" s="75"/>
      <c r="C102" s="75"/>
      <c r="D102" s="33" t="s">
        <v>455</v>
      </c>
      <c r="E102" s="68">
        <f>E109+E118</f>
        <v>4468078.6099999994</v>
      </c>
      <c r="F102" s="68">
        <f t="shared" ref="F102:P102" si="39">F109+F118</f>
        <v>4468078.6099999994</v>
      </c>
      <c r="G102" s="68">
        <f t="shared" si="39"/>
        <v>0</v>
      </c>
      <c r="H102" s="68">
        <f t="shared" si="39"/>
        <v>0</v>
      </c>
      <c r="I102" s="68">
        <f t="shared" si="39"/>
        <v>0</v>
      </c>
      <c r="J102" s="68">
        <f t="shared" si="39"/>
        <v>0</v>
      </c>
      <c r="K102" s="68">
        <f t="shared" si="39"/>
        <v>0</v>
      </c>
      <c r="L102" s="68">
        <f t="shared" si="39"/>
        <v>0</v>
      </c>
      <c r="M102" s="68">
        <f t="shared" si="39"/>
        <v>0</v>
      </c>
      <c r="N102" s="68">
        <f t="shared" si="39"/>
        <v>0</v>
      </c>
      <c r="O102" s="68">
        <f t="shared" si="39"/>
        <v>0</v>
      </c>
      <c r="P102" s="68">
        <f t="shared" si="39"/>
        <v>4468078.6099999994</v>
      </c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</row>
    <row r="103" spans="1:529" s="40" customFormat="1" ht="20.25" customHeight="1" x14ac:dyDescent="0.25">
      <c r="A103" s="76"/>
      <c r="B103" s="75"/>
      <c r="C103" s="75"/>
      <c r="D103" s="33" t="s">
        <v>457</v>
      </c>
      <c r="E103" s="68">
        <f>E110</f>
        <v>60000</v>
      </c>
      <c r="F103" s="68">
        <f t="shared" ref="F103:P103" si="40">F110</f>
        <v>60000</v>
      </c>
      <c r="G103" s="68">
        <f t="shared" si="40"/>
        <v>0</v>
      </c>
      <c r="H103" s="68">
        <f t="shared" si="40"/>
        <v>0</v>
      </c>
      <c r="I103" s="68">
        <f t="shared" si="40"/>
        <v>0</v>
      </c>
      <c r="J103" s="68">
        <f t="shared" si="40"/>
        <v>0</v>
      </c>
      <c r="K103" s="68">
        <f t="shared" si="40"/>
        <v>0</v>
      </c>
      <c r="L103" s="68">
        <f t="shared" si="40"/>
        <v>0</v>
      </c>
      <c r="M103" s="68">
        <f t="shared" si="40"/>
        <v>0</v>
      </c>
      <c r="N103" s="68">
        <f t="shared" si="40"/>
        <v>0</v>
      </c>
      <c r="O103" s="68">
        <f t="shared" si="40"/>
        <v>0</v>
      </c>
      <c r="P103" s="68">
        <f t="shared" si="40"/>
        <v>60000</v>
      </c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</row>
    <row r="104" spans="1:529" s="40" customFormat="1" ht="52.5" customHeight="1" x14ac:dyDescent="0.25">
      <c r="A104" s="76"/>
      <c r="B104" s="75"/>
      <c r="C104" s="75"/>
      <c r="D104" s="33" t="s">
        <v>456</v>
      </c>
      <c r="E104" s="68">
        <f>E116+E119</f>
        <v>4345037</v>
      </c>
      <c r="F104" s="68">
        <f t="shared" ref="F104:P104" si="41">F116+F119</f>
        <v>4345037</v>
      </c>
      <c r="G104" s="68">
        <f t="shared" si="41"/>
        <v>0</v>
      </c>
      <c r="H104" s="68">
        <f t="shared" si="41"/>
        <v>0</v>
      </c>
      <c r="I104" s="68">
        <f t="shared" si="41"/>
        <v>0</v>
      </c>
      <c r="J104" s="68">
        <f t="shared" si="41"/>
        <v>0</v>
      </c>
      <c r="K104" s="68">
        <f t="shared" si="41"/>
        <v>0</v>
      </c>
      <c r="L104" s="68">
        <f t="shared" si="41"/>
        <v>0</v>
      </c>
      <c r="M104" s="68">
        <f t="shared" si="41"/>
        <v>0</v>
      </c>
      <c r="N104" s="68">
        <f t="shared" si="41"/>
        <v>0</v>
      </c>
      <c r="O104" s="68">
        <f t="shared" si="41"/>
        <v>0</v>
      </c>
      <c r="P104" s="68">
        <f t="shared" si="41"/>
        <v>4345037</v>
      </c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</row>
    <row r="105" spans="1:529" s="40" customFormat="1" x14ac:dyDescent="0.25">
      <c r="A105" s="76"/>
      <c r="B105" s="75"/>
      <c r="C105" s="75"/>
      <c r="D105" s="163" t="s">
        <v>509</v>
      </c>
      <c r="E105" s="68">
        <f>E125</f>
        <v>0</v>
      </c>
      <c r="F105" s="68">
        <f t="shared" ref="F105:P105" si="42">F125</f>
        <v>0</v>
      </c>
      <c r="G105" s="68">
        <f t="shared" si="42"/>
        <v>0</v>
      </c>
      <c r="H105" s="68">
        <f t="shared" si="42"/>
        <v>0</v>
      </c>
      <c r="I105" s="68">
        <f t="shared" si="42"/>
        <v>0</v>
      </c>
      <c r="J105" s="68">
        <f t="shared" si="42"/>
        <v>14714700</v>
      </c>
      <c r="K105" s="68">
        <f t="shared" si="42"/>
        <v>14714700</v>
      </c>
      <c r="L105" s="68">
        <f t="shared" si="42"/>
        <v>0</v>
      </c>
      <c r="M105" s="68">
        <f t="shared" si="42"/>
        <v>0</v>
      </c>
      <c r="N105" s="68">
        <f t="shared" si="42"/>
        <v>0</v>
      </c>
      <c r="O105" s="68">
        <f t="shared" si="42"/>
        <v>14714700</v>
      </c>
      <c r="P105" s="68">
        <f t="shared" si="42"/>
        <v>14714700</v>
      </c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</row>
    <row r="106" spans="1:529" s="23" customFormat="1" ht="50.25" customHeight="1" x14ac:dyDescent="0.25">
      <c r="A106" s="43" t="s">
        <v>188</v>
      </c>
      <c r="B106" s="44" t="str">
        <f>'дод 4'!A20</f>
        <v>0160</v>
      </c>
      <c r="C106" s="44" t="str">
        <f>'дод 4'!B20</f>
        <v>0111</v>
      </c>
      <c r="D106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06" s="69">
        <f t="shared" ref="E106:E126" si="43">F106+I106</f>
        <v>2346500</v>
      </c>
      <c r="F106" s="69">
        <f>2218500+30000+3500-97800+196800-4500</f>
        <v>2346500</v>
      </c>
      <c r="G106" s="69">
        <f>1721600-80200-3700</f>
        <v>1637700</v>
      </c>
      <c r="H106" s="69">
        <v>35400</v>
      </c>
      <c r="I106" s="69"/>
      <c r="J106" s="69">
        <f>L106+O106</f>
        <v>0</v>
      </c>
      <c r="K106" s="69"/>
      <c r="L106" s="69"/>
      <c r="M106" s="69"/>
      <c r="N106" s="69"/>
      <c r="O106" s="69"/>
      <c r="P106" s="69">
        <f t="shared" ref="P106:P126" si="44">E106+J106</f>
        <v>2346500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</row>
    <row r="107" spans="1:529" s="23" customFormat="1" ht="33" customHeight="1" x14ac:dyDescent="0.25">
      <c r="A107" s="43" t="s">
        <v>189</v>
      </c>
      <c r="B107" s="44" t="str">
        <f>'дод 4'!A55</f>
        <v>2010</v>
      </c>
      <c r="C107" s="44" t="str">
        <f>'дод 4'!B55</f>
        <v>0731</v>
      </c>
      <c r="D107" s="6" t="s">
        <v>476</v>
      </c>
      <c r="E107" s="69">
        <f t="shared" si="43"/>
        <v>118388525.61</v>
      </c>
      <c r="F107" s="69">
        <f>118457491+150000+717000-100000+30000+725000+400000+60000+450000+28000+20000+203567-32.39-3692700+881200+49000+10000</f>
        <v>118388525.61</v>
      </c>
      <c r="G107" s="69"/>
      <c r="H107" s="69"/>
      <c r="I107" s="71"/>
      <c r="J107" s="69">
        <f t="shared" ref="J107:J126" si="45">L107+O107</f>
        <v>33864300</v>
      </c>
      <c r="K107" s="69">
        <f>27530000+1100000+1606500-3000000+1500000+10000000+6000000+75000+10000000+454000-16000000+5930000+1500000+100000-2500000-16080000+5618800+30000</f>
        <v>33864300</v>
      </c>
      <c r="L107" s="69"/>
      <c r="M107" s="69"/>
      <c r="N107" s="69"/>
      <c r="O107" s="69">
        <f>27530000+1100000+1606500-3000000+1500000+10000000+6000000+75000+10000000+454000-16000000+5930000+1500000+100000-2500000-16080000+5618800+30000</f>
        <v>33864300</v>
      </c>
      <c r="P107" s="69">
        <f t="shared" si="44"/>
        <v>152252825.61000001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</row>
    <row r="108" spans="1:529" s="27" customFormat="1" ht="30" x14ac:dyDescent="0.25">
      <c r="A108" s="161"/>
      <c r="B108" s="162"/>
      <c r="C108" s="162"/>
      <c r="D108" s="159" t="s">
        <v>454</v>
      </c>
      <c r="E108" s="160">
        <f t="shared" si="43"/>
        <v>45209900</v>
      </c>
      <c r="F108" s="160">
        <v>45209900</v>
      </c>
      <c r="G108" s="160"/>
      <c r="H108" s="160"/>
      <c r="I108" s="164"/>
      <c r="J108" s="160">
        <f t="shared" si="45"/>
        <v>0</v>
      </c>
      <c r="K108" s="160"/>
      <c r="L108" s="160"/>
      <c r="M108" s="160"/>
      <c r="N108" s="160"/>
      <c r="O108" s="160"/>
      <c r="P108" s="160">
        <f t="shared" si="44"/>
        <v>45209900</v>
      </c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</row>
    <row r="109" spans="1:529" s="27" customFormat="1" ht="45" x14ac:dyDescent="0.25">
      <c r="A109" s="161"/>
      <c r="B109" s="162"/>
      <c r="C109" s="162"/>
      <c r="D109" s="159" t="s">
        <v>455</v>
      </c>
      <c r="E109" s="160">
        <f t="shared" si="43"/>
        <v>2977938.61</v>
      </c>
      <c r="F109" s="160">
        <f>2977971-32.39</f>
        <v>2977938.61</v>
      </c>
      <c r="G109" s="160"/>
      <c r="H109" s="160"/>
      <c r="I109" s="160"/>
      <c r="J109" s="160">
        <f t="shared" si="45"/>
        <v>0</v>
      </c>
      <c r="K109" s="160"/>
      <c r="L109" s="160"/>
      <c r="M109" s="160"/>
      <c r="N109" s="160"/>
      <c r="O109" s="160"/>
      <c r="P109" s="160">
        <f t="shared" si="44"/>
        <v>2977938.61</v>
      </c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</row>
    <row r="110" spans="1:529" s="27" customFormat="1" x14ac:dyDescent="0.25">
      <c r="A110" s="161"/>
      <c r="B110" s="162"/>
      <c r="C110" s="162"/>
      <c r="D110" s="159" t="s">
        <v>457</v>
      </c>
      <c r="E110" s="160">
        <f t="shared" si="43"/>
        <v>60000</v>
      </c>
      <c r="F110" s="160">
        <v>60000</v>
      </c>
      <c r="G110" s="160"/>
      <c r="H110" s="160"/>
      <c r="I110" s="164"/>
      <c r="J110" s="160">
        <f t="shared" si="45"/>
        <v>0</v>
      </c>
      <c r="K110" s="160"/>
      <c r="L110" s="160"/>
      <c r="M110" s="160"/>
      <c r="N110" s="160"/>
      <c r="O110" s="160"/>
      <c r="P110" s="160">
        <f t="shared" si="44"/>
        <v>60000</v>
      </c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  <c r="RM110" s="36"/>
      <c r="RN110" s="36"/>
      <c r="RO110" s="36"/>
      <c r="RP110" s="36"/>
      <c r="RQ110" s="36"/>
      <c r="RR110" s="36"/>
      <c r="RS110" s="36"/>
      <c r="RT110" s="36"/>
      <c r="RU110" s="36"/>
      <c r="RV110" s="36"/>
      <c r="RW110" s="36"/>
      <c r="RX110" s="36"/>
      <c r="RY110" s="36"/>
      <c r="RZ110" s="36"/>
      <c r="SA110" s="36"/>
      <c r="SB110" s="36"/>
      <c r="SC110" s="36"/>
      <c r="SD110" s="36"/>
      <c r="SE110" s="36"/>
      <c r="SF110" s="36"/>
      <c r="SG110" s="36"/>
      <c r="SH110" s="36"/>
      <c r="SI110" s="36"/>
      <c r="SJ110" s="36"/>
      <c r="SK110" s="36"/>
      <c r="SL110" s="36"/>
      <c r="SM110" s="36"/>
      <c r="SN110" s="36"/>
      <c r="SO110" s="36"/>
      <c r="SP110" s="36"/>
      <c r="SQ110" s="36"/>
      <c r="SR110" s="36"/>
      <c r="SS110" s="36"/>
      <c r="ST110" s="36"/>
      <c r="SU110" s="36"/>
      <c r="SV110" s="36"/>
      <c r="SW110" s="36"/>
      <c r="SX110" s="36"/>
      <c r="SY110" s="36"/>
      <c r="SZ110" s="36"/>
      <c r="TA110" s="36"/>
      <c r="TB110" s="36"/>
      <c r="TC110" s="36"/>
      <c r="TD110" s="36"/>
      <c r="TE110" s="36"/>
      <c r="TF110" s="36"/>
      <c r="TG110" s="36"/>
      <c r="TH110" s="36"/>
      <c r="TI110" s="36"/>
    </row>
    <row r="111" spans="1:529" s="23" customFormat="1" ht="36.75" customHeight="1" x14ac:dyDescent="0.25">
      <c r="A111" s="43" t="s">
        <v>194</v>
      </c>
      <c r="B111" s="44" t="str">
        <f>'дод 4'!A59</f>
        <v>2030</v>
      </c>
      <c r="C111" s="44" t="str">
        <f>'дод 4'!B59</f>
        <v>0733</v>
      </c>
      <c r="D111" s="24" t="s">
        <v>477</v>
      </c>
      <c r="E111" s="69">
        <f t="shared" si="43"/>
        <v>14740473</v>
      </c>
      <c r="F111" s="69">
        <f>15275473+50000+95000-680000</f>
        <v>14740473</v>
      </c>
      <c r="G111" s="71"/>
      <c r="H111" s="71"/>
      <c r="I111" s="71"/>
      <c r="J111" s="69">
        <f t="shared" si="45"/>
        <v>6800000</v>
      </c>
      <c r="K111" s="69">
        <f>15040600-8240600</f>
        <v>6800000</v>
      </c>
      <c r="L111" s="69"/>
      <c r="M111" s="69"/>
      <c r="N111" s="69"/>
      <c r="O111" s="69">
        <f>15040600-8240600</f>
        <v>6800000</v>
      </c>
      <c r="P111" s="69">
        <f t="shared" si="44"/>
        <v>21540473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7" customFormat="1" ht="30" x14ac:dyDescent="0.25">
      <c r="A112" s="161"/>
      <c r="B112" s="162"/>
      <c r="C112" s="162"/>
      <c r="D112" s="159" t="s">
        <v>454</v>
      </c>
      <c r="E112" s="160">
        <f t="shared" si="43"/>
        <v>6347600</v>
      </c>
      <c r="F112" s="160">
        <v>6347600</v>
      </c>
      <c r="G112" s="164"/>
      <c r="H112" s="164"/>
      <c r="I112" s="164"/>
      <c r="J112" s="160"/>
      <c r="K112" s="160"/>
      <c r="L112" s="160"/>
      <c r="M112" s="160"/>
      <c r="N112" s="160"/>
      <c r="O112" s="160"/>
      <c r="P112" s="160">
        <f t="shared" si="44"/>
        <v>6347600</v>
      </c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</row>
    <row r="113" spans="1:529" s="23" customFormat="1" ht="24" customHeight="1" x14ac:dyDescent="0.25">
      <c r="A113" s="43" t="s">
        <v>193</v>
      </c>
      <c r="B113" s="44" t="str">
        <f>'дод 4'!A61</f>
        <v>2100</v>
      </c>
      <c r="C113" s="44" t="str">
        <f>'дод 4'!B61</f>
        <v>0722</v>
      </c>
      <c r="D113" s="24" t="str">
        <f>'дод 4'!C61</f>
        <v>Стоматологічна допомога населенню, у т.ч. за рахунок:</v>
      </c>
      <c r="E113" s="69">
        <f t="shared" si="43"/>
        <v>6663426</v>
      </c>
      <c r="F113" s="69">
        <v>6663426</v>
      </c>
      <c r="G113" s="71"/>
      <c r="H113" s="71"/>
      <c r="I113" s="71"/>
      <c r="J113" s="69">
        <f t="shared" si="45"/>
        <v>570000</v>
      </c>
      <c r="K113" s="69">
        <f>1210600-80600-560000</f>
        <v>570000</v>
      </c>
      <c r="L113" s="69"/>
      <c r="M113" s="69"/>
      <c r="N113" s="69"/>
      <c r="O113" s="69">
        <f>1210600-80600-560000</f>
        <v>570000</v>
      </c>
      <c r="P113" s="69">
        <f t="shared" si="44"/>
        <v>7233426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7" customFormat="1" ht="30" x14ac:dyDescent="0.25">
      <c r="A114" s="161"/>
      <c r="B114" s="162"/>
      <c r="C114" s="162"/>
      <c r="D114" s="159" t="s">
        <v>454</v>
      </c>
      <c r="E114" s="160">
        <f t="shared" si="43"/>
        <v>1132200</v>
      </c>
      <c r="F114" s="160">
        <v>1132200</v>
      </c>
      <c r="G114" s="164"/>
      <c r="H114" s="164"/>
      <c r="I114" s="164"/>
      <c r="J114" s="160">
        <f t="shared" si="45"/>
        <v>0</v>
      </c>
      <c r="K114" s="160"/>
      <c r="L114" s="160"/>
      <c r="M114" s="160"/>
      <c r="N114" s="160"/>
      <c r="O114" s="160"/>
      <c r="P114" s="160">
        <f t="shared" si="44"/>
        <v>1132200</v>
      </c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  <c r="RM114" s="36"/>
      <c r="RN114" s="36"/>
      <c r="RO114" s="36"/>
      <c r="RP114" s="36"/>
      <c r="RQ114" s="36"/>
      <c r="RR114" s="36"/>
      <c r="RS114" s="36"/>
      <c r="RT114" s="36"/>
      <c r="RU114" s="36"/>
      <c r="RV114" s="36"/>
      <c r="RW114" s="36"/>
      <c r="RX114" s="36"/>
      <c r="RY114" s="36"/>
      <c r="RZ114" s="36"/>
      <c r="SA114" s="36"/>
      <c r="SB114" s="36"/>
      <c r="SC114" s="36"/>
      <c r="SD114" s="36"/>
      <c r="SE114" s="36"/>
      <c r="SF114" s="36"/>
      <c r="SG114" s="36"/>
      <c r="SH114" s="36"/>
      <c r="SI114" s="36"/>
      <c r="SJ114" s="36"/>
      <c r="SK114" s="36"/>
      <c r="SL114" s="36"/>
      <c r="SM114" s="36"/>
      <c r="SN114" s="36"/>
      <c r="SO114" s="36"/>
      <c r="SP114" s="36"/>
      <c r="SQ114" s="36"/>
      <c r="SR114" s="36"/>
      <c r="SS114" s="36"/>
      <c r="ST114" s="36"/>
      <c r="SU114" s="36"/>
      <c r="SV114" s="36"/>
      <c r="SW114" s="36"/>
      <c r="SX114" s="36"/>
      <c r="SY114" s="36"/>
      <c r="SZ114" s="36"/>
      <c r="TA114" s="36"/>
      <c r="TB114" s="36"/>
      <c r="TC114" s="36"/>
      <c r="TD114" s="36"/>
      <c r="TE114" s="36"/>
      <c r="TF114" s="36"/>
      <c r="TG114" s="36"/>
      <c r="TH114" s="36"/>
      <c r="TI114" s="36"/>
    </row>
    <row r="115" spans="1:529" s="23" customFormat="1" ht="44.25" customHeight="1" x14ac:dyDescent="0.25">
      <c r="A115" s="43" t="s">
        <v>192</v>
      </c>
      <c r="B115" s="44" t="str">
        <f>'дод 4'!A63</f>
        <v>2111</v>
      </c>
      <c r="C115" s="44" t="str">
        <f>'дод 4'!B63</f>
        <v>0726</v>
      </c>
      <c r="D115" s="24" t="str">
        <f>'дод 4'!C63</f>
        <v>Первинна медична допомога населенню, що надається центрами первинної медичної (медико-санітарної) допомоги, у т.ч. за рахунок:</v>
      </c>
      <c r="E115" s="69">
        <f t="shared" si="43"/>
        <v>1984936</v>
      </c>
      <c r="F115" s="69">
        <f>1672468+173000+25000+12000+2468+100000</f>
        <v>1984936</v>
      </c>
      <c r="G115" s="71"/>
      <c r="H115" s="71"/>
      <c r="I115" s="71"/>
      <c r="J115" s="69">
        <f t="shared" si="45"/>
        <v>0</v>
      </c>
      <c r="K115" s="69"/>
      <c r="L115" s="69"/>
      <c r="M115" s="69"/>
      <c r="N115" s="69"/>
      <c r="O115" s="69"/>
      <c r="P115" s="69">
        <f t="shared" si="44"/>
        <v>1984936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</row>
    <row r="116" spans="1:529" s="27" customFormat="1" ht="60" x14ac:dyDescent="0.25">
      <c r="A116" s="161"/>
      <c r="B116" s="162"/>
      <c r="C116" s="162"/>
      <c r="D116" s="165" t="s">
        <v>456</v>
      </c>
      <c r="E116" s="160">
        <f t="shared" si="43"/>
        <v>2468</v>
      </c>
      <c r="F116" s="160">
        <v>2468</v>
      </c>
      <c r="G116" s="164"/>
      <c r="H116" s="164"/>
      <c r="I116" s="164"/>
      <c r="J116" s="160">
        <f t="shared" si="45"/>
        <v>0</v>
      </c>
      <c r="K116" s="160"/>
      <c r="L116" s="160"/>
      <c r="M116" s="160"/>
      <c r="N116" s="160"/>
      <c r="O116" s="160"/>
      <c r="P116" s="160">
        <f t="shared" si="44"/>
        <v>2468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  <c r="RM116" s="36"/>
      <c r="RN116" s="36"/>
      <c r="RO116" s="36"/>
      <c r="RP116" s="36"/>
      <c r="RQ116" s="36"/>
      <c r="RR116" s="36"/>
      <c r="RS116" s="36"/>
      <c r="RT116" s="36"/>
      <c r="RU116" s="36"/>
      <c r="RV116" s="36"/>
      <c r="RW116" s="36"/>
      <c r="RX116" s="36"/>
      <c r="RY116" s="36"/>
      <c r="RZ116" s="36"/>
      <c r="SA116" s="36"/>
      <c r="SB116" s="36"/>
      <c r="SC116" s="36"/>
      <c r="SD116" s="36"/>
      <c r="SE116" s="36"/>
      <c r="SF116" s="36"/>
      <c r="SG116" s="36"/>
      <c r="SH116" s="36"/>
      <c r="SI116" s="36"/>
      <c r="SJ116" s="36"/>
      <c r="SK116" s="36"/>
      <c r="SL116" s="36"/>
      <c r="SM116" s="36"/>
      <c r="SN116" s="36"/>
      <c r="SO116" s="36"/>
      <c r="SP116" s="36"/>
      <c r="SQ116" s="36"/>
      <c r="SR116" s="36"/>
      <c r="SS116" s="36"/>
      <c r="ST116" s="36"/>
      <c r="SU116" s="36"/>
      <c r="SV116" s="36"/>
      <c r="SW116" s="36"/>
      <c r="SX116" s="36"/>
      <c r="SY116" s="36"/>
      <c r="SZ116" s="36"/>
      <c r="TA116" s="36"/>
      <c r="TB116" s="36"/>
      <c r="TC116" s="36"/>
      <c r="TD116" s="36"/>
      <c r="TE116" s="36"/>
      <c r="TF116" s="36"/>
      <c r="TG116" s="36"/>
      <c r="TH116" s="36"/>
      <c r="TI116" s="36"/>
    </row>
    <row r="117" spans="1:529" s="23" customFormat="1" ht="32.25" customHeight="1" x14ac:dyDescent="0.25">
      <c r="A117" s="43" t="s">
        <v>191</v>
      </c>
      <c r="B117" s="44">
        <f>'дод 4'!A65</f>
        <v>2144</v>
      </c>
      <c r="C117" s="44" t="str">
        <f>'дод 4'!B65</f>
        <v>0763</v>
      </c>
      <c r="D117" s="25" t="str">
        <f>'дод 4'!C65</f>
        <v>Централізовані заходи з лікування хворих на цукровий та нецукровий діабет, у т.ч. за рахунок:</v>
      </c>
      <c r="E117" s="69">
        <f t="shared" si="43"/>
        <v>7432709</v>
      </c>
      <c r="F117" s="69">
        <f>2090140+1000000+4342569</f>
        <v>7432709</v>
      </c>
      <c r="G117" s="71"/>
      <c r="H117" s="71"/>
      <c r="I117" s="71"/>
      <c r="J117" s="69">
        <f t="shared" si="45"/>
        <v>0</v>
      </c>
      <c r="K117" s="69"/>
      <c r="L117" s="69"/>
      <c r="M117" s="69"/>
      <c r="N117" s="69"/>
      <c r="O117" s="69"/>
      <c r="P117" s="69">
        <f t="shared" si="44"/>
        <v>7432709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</row>
    <row r="118" spans="1:529" s="27" customFormat="1" ht="45" x14ac:dyDescent="0.25">
      <c r="A118" s="161"/>
      <c r="B118" s="162"/>
      <c r="C118" s="162"/>
      <c r="D118" s="166" t="s">
        <v>455</v>
      </c>
      <c r="E118" s="160">
        <f t="shared" si="43"/>
        <v>1490140</v>
      </c>
      <c r="F118" s="160">
        <v>1490140</v>
      </c>
      <c r="G118" s="160"/>
      <c r="H118" s="160"/>
      <c r="I118" s="160"/>
      <c r="J118" s="160">
        <f t="shared" si="45"/>
        <v>0</v>
      </c>
      <c r="K118" s="160"/>
      <c r="L118" s="160"/>
      <c r="M118" s="160"/>
      <c r="N118" s="160"/>
      <c r="O118" s="160"/>
      <c r="P118" s="160">
        <f t="shared" si="44"/>
        <v>1490140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36"/>
      <c r="PM118" s="36"/>
      <c r="PN118" s="36"/>
      <c r="PO118" s="36"/>
      <c r="PP118" s="36"/>
      <c r="PQ118" s="36"/>
      <c r="PR118" s="36"/>
      <c r="PS118" s="36"/>
      <c r="PT118" s="36"/>
      <c r="PU118" s="36"/>
      <c r="PV118" s="36"/>
      <c r="PW118" s="36"/>
      <c r="PX118" s="36"/>
      <c r="PY118" s="36"/>
      <c r="PZ118" s="36"/>
      <c r="QA118" s="36"/>
      <c r="QB118" s="36"/>
      <c r="QC118" s="36"/>
      <c r="QD118" s="36"/>
      <c r="QE118" s="36"/>
      <c r="QF118" s="36"/>
      <c r="QG118" s="36"/>
      <c r="QH118" s="36"/>
      <c r="QI118" s="36"/>
      <c r="QJ118" s="36"/>
      <c r="QK118" s="36"/>
      <c r="QL118" s="36"/>
      <c r="QM118" s="36"/>
      <c r="QN118" s="36"/>
      <c r="QO118" s="36"/>
      <c r="QP118" s="36"/>
      <c r="QQ118" s="36"/>
      <c r="QR118" s="36"/>
      <c r="QS118" s="36"/>
      <c r="QT118" s="36"/>
      <c r="QU118" s="36"/>
      <c r="QV118" s="36"/>
      <c r="QW118" s="36"/>
      <c r="QX118" s="36"/>
      <c r="QY118" s="36"/>
      <c r="QZ118" s="36"/>
      <c r="RA118" s="36"/>
      <c r="RB118" s="36"/>
      <c r="RC118" s="36"/>
      <c r="RD118" s="36"/>
      <c r="RE118" s="36"/>
      <c r="RF118" s="36"/>
      <c r="RG118" s="36"/>
      <c r="RH118" s="36"/>
      <c r="RI118" s="36"/>
      <c r="RJ118" s="36"/>
      <c r="RK118" s="36"/>
      <c r="RL118" s="36"/>
      <c r="RM118" s="36"/>
      <c r="RN118" s="36"/>
      <c r="RO118" s="36"/>
      <c r="RP118" s="36"/>
      <c r="RQ118" s="36"/>
      <c r="RR118" s="36"/>
      <c r="RS118" s="36"/>
      <c r="RT118" s="36"/>
      <c r="RU118" s="36"/>
      <c r="RV118" s="36"/>
      <c r="RW118" s="36"/>
      <c r="RX118" s="36"/>
      <c r="RY118" s="36"/>
      <c r="RZ118" s="36"/>
      <c r="SA118" s="36"/>
      <c r="SB118" s="36"/>
      <c r="SC118" s="36"/>
      <c r="SD118" s="36"/>
      <c r="SE118" s="36"/>
      <c r="SF118" s="36"/>
      <c r="SG118" s="36"/>
      <c r="SH118" s="36"/>
      <c r="SI118" s="36"/>
      <c r="SJ118" s="36"/>
      <c r="SK118" s="36"/>
      <c r="SL118" s="36"/>
      <c r="SM118" s="36"/>
      <c r="SN118" s="36"/>
      <c r="SO118" s="36"/>
      <c r="SP118" s="36"/>
      <c r="SQ118" s="36"/>
      <c r="SR118" s="36"/>
      <c r="SS118" s="36"/>
      <c r="ST118" s="36"/>
      <c r="SU118" s="36"/>
      <c r="SV118" s="36"/>
      <c r="SW118" s="36"/>
      <c r="SX118" s="36"/>
      <c r="SY118" s="36"/>
      <c r="SZ118" s="36"/>
      <c r="TA118" s="36"/>
      <c r="TB118" s="36"/>
      <c r="TC118" s="36"/>
      <c r="TD118" s="36"/>
      <c r="TE118" s="36"/>
      <c r="TF118" s="36"/>
      <c r="TG118" s="36"/>
      <c r="TH118" s="36"/>
      <c r="TI118" s="36"/>
    </row>
    <row r="119" spans="1:529" s="27" customFormat="1" ht="60" x14ac:dyDescent="0.25">
      <c r="A119" s="161"/>
      <c r="B119" s="162"/>
      <c r="C119" s="162"/>
      <c r="D119" s="166" t="s">
        <v>456</v>
      </c>
      <c r="E119" s="160">
        <f t="shared" si="43"/>
        <v>4342569</v>
      </c>
      <c r="F119" s="160">
        <v>4342569</v>
      </c>
      <c r="G119" s="164"/>
      <c r="H119" s="164"/>
      <c r="I119" s="164"/>
      <c r="J119" s="160">
        <f t="shared" si="45"/>
        <v>0</v>
      </c>
      <c r="K119" s="160"/>
      <c r="L119" s="160"/>
      <c r="M119" s="160"/>
      <c r="N119" s="160"/>
      <c r="O119" s="160"/>
      <c r="P119" s="160">
        <f t="shared" si="44"/>
        <v>4342569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</row>
    <row r="120" spans="1:529" s="23" customFormat="1" ht="30" customHeight="1" x14ac:dyDescent="0.25">
      <c r="A120" s="43" t="s">
        <v>357</v>
      </c>
      <c r="B120" s="45" t="str">
        <f>'дод 4'!A68</f>
        <v>2151</v>
      </c>
      <c r="C120" s="45" t="str">
        <f>'дод 4'!B68</f>
        <v>0763</v>
      </c>
      <c r="D120" s="24" t="str">
        <f>'дод 4'!C68</f>
        <v>Забезпечення діяльності інших закладів у сфері охорони здоров’я</v>
      </c>
      <c r="E120" s="69">
        <f t="shared" si="43"/>
        <v>2894213</v>
      </c>
      <c r="F120" s="69">
        <v>2894213</v>
      </c>
      <c r="G120" s="71"/>
      <c r="H120" s="71"/>
      <c r="I120" s="71"/>
      <c r="J120" s="69">
        <f t="shared" si="45"/>
        <v>0</v>
      </c>
      <c r="K120" s="69"/>
      <c r="L120" s="69"/>
      <c r="M120" s="69"/>
      <c r="N120" s="69"/>
      <c r="O120" s="69"/>
      <c r="P120" s="69">
        <f t="shared" si="44"/>
        <v>2894213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23" customFormat="1" ht="24.75" customHeight="1" x14ac:dyDescent="0.25">
      <c r="A121" s="43" t="s">
        <v>358</v>
      </c>
      <c r="B121" s="45" t="str">
        <f>'дод 4'!A69</f>
        <v>2152</v>
      </c>
      <c r="C121" s="45" t="str">
        <f>'дод 4'!B69</f>
        <v>0763</v>
      </c>
      <c r="D121" s="22" t="str">
        <f>'дод 4'!C69</f>
        <v>Інші програми та заходи у сфері охорони здоров’я</v>
      </c>
      <c r="E121" s="69">
        <f>F121+I121</f>
        <v>34553833</v>
      </c>
      <c r="F121" s="69">
        <f>18815000+3000000+7000000+625000+63490000-8000000-1500000-5930000-1883000-1950000-203567-100000-38809600</f>
        <v>34553833</v>
      </c>
      <c r="G121" s="69"/>
      <c r="H121" s="69"/>
      <c r="I121" s="69"/>
      <c r="J121" s="69">
        <f t="shared" si="45"/>
        <v>14923300</v>
      </c>
      <c r="K121" s="69">
        <f>16000000+2500000-3576700</f>
        <v>14923300</v>
      </c>
      <c r="L121" s="69"/>
      <c r="M121" s="69"/>
      <c r="N121" s="69"/>
      <c r="O121" s="69">
        <f>16000000+2500000-3576700</f>
        <v>14923300</v>
      </c>
      <c r="P121" s="69">
        <f t="shared" si="44"/>
        <v>49477133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</row>
    <row r="122" spans="1:529" s="23" customFormat="1" ht="24.75" customHeight="1" x14ac:dyDescent="0.25">
      <c r="A122" s="43" t="s">
        <v>502</v>
      </c>
      <c r="B122" s="45"/>
      <c r="C122" s="45"/>
      <c r="D122" s="22" t="s">
        <v>305</v>
      </c>
      <c r="E122" s="69">
        <f>F122+I122</f>
        <v>0</v>
      </c>
      <c r="F122" s="69"/>
      <c r="G122" s="69"/>
      <c r="H122" s="69"/>
      <c r="I122" s="69"/>
      <c r="J122" s="69">
        <f t="shared" si="45"/>
        <v>27229570</v>
      </c>
      <c r="K122" s="69">
        <f>24880600+2348970</f>
        <v>27229570</v>
      </c>
      <c r="L122" s="69"/>
      <c r="M122" s="69"/>
      <c r="N122" s="69"/>
      <c r="O122" s="69">
        <f>24880600+2348970</f>
        <v>27229570</v>
      </c>
      <c r="P122" s="69">
        <f t="shared" si="44"/>
        <v>27229570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23" customFormat="1" ht="44.25" customHeight="1" x14ac:dyDescent="0.25">
      <c r="A123" s="43" t="s">
        <v>419</v>
      </c>
      <c r="B123" s="45">
        <f>'дод 4'!A137</f>
        <v>7361</v>
      </c>
      <c r="C123" s="45" t="str">
        <f>'дод 4'!B137</f>
        <v>0490</v>
      </c>
      <c r="D123" s="22" t="str">
        <f>'дод 4'!C137</f>
        <v>Співфінансування інвестиційних проектів, що реалізуються за рахунок коштів державного фонду регіонального розвитку</v>
      </c>
      <c r="E123" s="69">
        <f t="shared" si="43"/>
        <v>0</v>
      </c>
      <c r="F123" s="69"/>
      <c r="G123" s="69"/>
      <c r="H123" s="69"/>
      <c r="I123" s="69"/>
      <c r="J123" s="69">
        <f t="shared" si="45"/>
        <v>3000000</v>
      </c>
      <c r="K123" s="69">
        <v>3000000</v>
      </c>
      <c r="L123" s="69"/>
      <c r="M123" s="69"/>
      <c r="N123" s="69"/>
      <c r="O123" s="69">
        <v>3000000</v>
      </c>
      <c r="P123" s="69">
        <f t="shared" si="44"/>
        <v>3000000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</row>
    <row r="124" spans="1:529" s="23" customFormat="1" ht="18.75" customHeight="1" x14ac:dyDescent="0.25">
      <c r="A124" s="43" t="s">
        <v>190</v>
      </c>
      <c r="B124" s="44" t="str">
        <f>'дод 4'!A153</f>
        <v>7640</v>
      </c>
      <c r="C124" s="44" t="str">
        <f>'дод 4'!B153</f>
        <v>0470</v>
      </c>
      <c r="D124" s="24" t="s">
        <v>508</v>
      </c>
      <c r="E124" s="69">
        <f t="shared" si="43"/>
        <v>199000</v>
      </c>
      <c r="F124" s="69"/>
      <c r="G124" s="69"/>
      <c r="H124" s="69"/>
      <c r="I124" s="69">
        <v>199000</v>
      </c>
      <c r="J124" s="69">
        <f t="shared" si="45"/>
        <v>21983974</v>
      </c>
      <c r="K124" s="69">
        <f>17559604+14714700-6500000+1200000-1100000+9670-1500000-2400000</f>
        <v>21983974</v>
      </c>
      <c r="L124" s="69"/>
      <c r="M124" s="69"/>
      <c r="N124" s="69"/>
      <c r="O124" s="69">
        <f>17559604+14714700-6500000+1200000-1100000+9670-1500000-2400000</f>
        <v>21983974</v>
      </c>
      <c r="P124" s="69">
        <f t="shared" si="44"/>
        <v>22182974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</row>
    <row r="125" spans="1:529" s="27" customFormat="1" x14ac:dyDescent="0.25">
      <c r="A125" s="161"/>
      <c r="B125" s="162"/>
      <c r="C125" s="162"/>
      <c r="D125" s="165" t="s">
        <v>509</v>
      </c>
      <c r="E125" s="160">
        <f t="shared" si="43"/>
        <v>0</v>
      </c>
      <c r="F125" s="160"/>
      <c r="G125" s="160"/>
      <c r="H125" s="160"/>
      <c r="I125" s="160"/>
      <c r="J125" s="160">
        <f t="shared" si="45"/>
        <v>14714700</v>
      </c>
      <c r="K125" s="160">
        <v>14714700</v>
      </c>
      <c r="L125" s="160"/>
      <c r="M125" s="160"/>
      <c r="N125" s="160"/>
      <c r="O125" s="160">
        <v>14714700</v>
      </c>
      <c r="P125" s="160">
        <f t="shared" si="44"/>
        <v>14714700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36"/>
      <c r="PM125" s="36"/>
      <c r="PN125" s="36"/>
      <c r="PO125" s="36"/>
      <c r="PP125" s="36"/>
      <c r="PQ125" s="36"/>
      <c r="PR125" s="36"/>
      <c r="PS125" s="36"/>
      <c r="PT125" s="36"/>
      <c r="PU125" s="36"/>
      <c r="PV125" s="36"/>
      <c r="PW125" s="36"/>
      <c r="PX125" s="36"/>
      <c r="PY125" s="36"/>
      <c r="PZ125" s="36"/>
      <c r="QA125" s="36"/>
      <c r="QB125" s="36"/>
      <c r="QC125" s="36"/>
      <c r="QD125" s="36"/>
      <c r="QE125" s="36"/>
      <c r="QF125" s="36"/>
      <c r="QG125" s="36"/>
      <c r="QH125" s="36"/>
      <c r="QI125" s="36"/>
      <c r="QJ125" s="36"/>
      <c r="QK125" s="36"/>
      <c r="QL125" s="36"/>
      <c r="QM125" s="36"/>
      <c r="QN125" s="36"/>
      <c r="QO125" s="36"/>
      <c r="QP125" s="36"/>
      <c r="QQ125" s="36"/>
      <c r="QR125" s="36"/>
      <c r="QS125" s="36"/>
      <c r="QT125" s="36"/>
      <c r="QU125" s="36"/>
      <c r="QV125" s="36"/>
      <c r="QW125" s="36"/>
      <c r="QX125" s="36"/>
      <c r="QY125" s="36"/>
      <c r="QZ125" s="36"/>
      <c r="RA125" s="36"/>
      <c r="RB125" s="36"/>
      <c r="RC125" s="36"/>
      <c r="RD125" s="36"/>
      <c r="RE125" s="36"/>
      <c r="RF125" s="36"/>
      <c r="RG125" s="36"/>
      <c r="RH125" s="36"/>
      <c r="RI125" s="36"/>
      <c r="RJ125" s="36"/>
      <c r="RK125" s="36"/>
      <c r="RL125" s="36"/>
      <c r="RM125" s="36"/>
      <c r="RN125" s="36"/>
      <c r="RO125" s="36"/>
      <c r="RP125" s="36"/>
      <c r="RQ125" s="36"/>
      <c r="RR125" s="36"/>
      <c r="RS125" s="36"/>
      <c r="RT125" s="36"/>
      <c r="RU125" s="36"/>
      <c r="RV125" s="36"/>
      <c r="RW125" s="36"/>
      <c r="RX125" s="36"/>
      <c r="RY125" s="36"/>
      <c r="RZ125" s="36"/>
      <c r="SA125" s="36"/>
      <c r="SB125" s="36"/>
      <c r="SC125" s="36"/>
      <c r="SD125" s="36"/>
      <c r="SE125" s="36"/>
      <c r="SF125" s="36"/>
      <c r="SG125" s="36"/>
      <c r="SH125" s="36"/>
      <c r="SI125" s="36"/>
      <c r="SJ125" s="36"/>
      <c r="SK125" s="36"/>
      <c r="SL125" s="36"/>
      <c r="SM125" s="36"/>
      <c r="SN125" s="36"/>
      <c r="SO125" s="36"/>
      <c r="SP125" s="36"/>
      <c r="SQ125" s="36"/>
      <c r="SR125" s="36"/>
      <c r="SS125" s="36"/>
      <c r="ST125" s="36"/>
      <c r="SU125" s="36"/>
      <c r="SV125" s="36"/>
      <c r="SW125" s="36"/>
      <c r="SX125" s="36"/>
      <c r="SY125" s="36"/>
      <c r="SZ125" s="36"/>
      <c r="TA125" s="36"/>
      <c r="TB125" s="36"/>
      <c r="TC125" s="36"/>
      <c r="TD125" s="36"/>
      <c r="TE125" s="36"/>
      <c r="TF125" s="36"/>
      <c r="TG125" s="36"/>
      <c r="TH125" s="36"/>
      <c r="TI125" s="36"/>
    </row>
    <row r="126" spans="1:529" s="23" customFormat="1" ht="45" customHeight="1" x14ac:dyDescent="0.25">
      <c r="A126" s="43" t="s">
        <v>399</v>
      </c>
      <c r="B126" s="44">
        <v>7700</v>
      </c>
      <c r="C126" s="43" t="s">
        <v>100</v>
      </c>
      <c r="D126" s="24" t="s">
        <v>400</v>
      </c>
      <c r="E126" s="69">
        <f t="shared" si="43"/>
        <v>0</v>
      </c>
      <c r="F126" s="69"/>
      <c r="G126" s="69"/>
      <c r="H126" s="69"/>
      <c r="I126" s="69"/>
      <c r="J126" s="69">
        <f t="shared" si="45"/>
        <v>885000</v>
      </c>
      <c r="K126" s="69"/>
      <c r="L126" s="69"/>
      <c r="M126" s="69"/>
      <c r="N126" s="69"/>
      <c r="O126" s="69">
        <v>885000</v>
      </c>
      <c r="P126" s="69">
        <f t="shared" si="44"/>
        <v>885000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</row>
    <row r="127" spans="1:529" s="31" customFormat="1" ht="36" customHeight="1" x14ac:dyDescent="0.2">
      <c r="A127" s="156" t="s">
        <v>195</v>
      </c>
      <c r="B127" s="74"/>
      <c r="C127" s="74"/>
      <c r="D127" s="30" t="s">
        <v>42</v>
      </c>
      <c r="E127" s="66">
        <f>E128</f>
        <v>170453426.63</v>
      </c>
      <c r="F127" s="66">
        <f t="shared" ref="F127:J127" si="46">F128</f>
        <v>170453426.63</v>
      </c>
      <c r="G127" s="66">
        <f t="shared" si="46"/>
        <v>55494025</v>
      </c>
      <c r="H127" s="66">
        <f t="shared" si="46"/>
        <v>1564490</v>
      </c>
      <c r="I127" s="66">
        <f t="shared" si="46"/>
        <v>0</v>
      </c>
      <c r="J127" s="66">
        <f t="shared" si="46"/>
        <v>1267640</v>
      </c>
      <c r="K127" s="66">
        <f t="shared" ref="K127" si="47">K128</f>
        <v>1159540</v>
      </c>
      <c r="L127" s="66">
        <f t="shared" ref="L127" si="48">L128</f>
        <v>108100</v>
      </c>
      <c r="M127" s="66">
        <f t="shared" ref="M127" si="49">M128</f>
        <v>85100</v>
      </c>
      <c r="N127" s="66">
        <f t="shared" ref="N127" si="50">N128</f>
        <v>0</v>
      </c>
      <c r="O127" s="66">
        <f t="shared" ref="O127:P127" si="51">O128</f>
        <v>1159540</v>
      </c>
      <c r="P127" s="66">
        <f t="shared" si="51"/>
        <v>171721066.63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</row>
    <row r="128" spans="1:529" s="40" customFormat="1" ht="32.25" customHeight="1" x14ac:dyDescent="0.25">
      <c r="A128" s="76" t="s">
        <v>196</v>
      </c>
      <c r="B128" s="75"/>
      <c r="C128" s="75"/>
      <c r="D128" s="33" t="s">
        <v>458</v>
      </c>
      <c r="E128" s="68">
        <f>E130+E131+E132+E133+E135+E136+E137+E139+E141+E142+E143+E145+E147+E148+E149+E150+E151+E152+E153+E155+E156</f>
        <v>170453426.63</v>
      </c>
      <c r="F128" s="68">
        <f t="shared" ref="F128:P128" si="52">F130+F131+F132+F133+F135+F136+F137+F139+F141+F142+F143+F145+F147+F148+F149+F150+F151+F152+F153+F155+F156</f>
        <v>170453426.63</v>
      </c>
      <c r="G128" s="68">
        <f t="shared" si="52"/>
        <v>55494025</v>
      </c>
      <c r="H128" s="68">
        <f t="shared" si="52"/>
        <v>1564490</v>
      </c>
      <c r="I128" s="68">
        <f t="shared" si="52"/>
        <v>0</v>
      </c>
      <c r="J128" s="68">
        <f t="shared" si="52"/>
        <v>1267640</v>
      </c>
      <c r="K128" s="68">
        <f t="shared" si="52"/>
        <v>1159540</v>
      </c>
      <c r="L128" s="68">
        <f t="shared" si="52"/>
        <v>108100</v>
      </c>
      <c r="M128" s="68">
        <f t="shared" si="52"/>
        <v>85100</v>
      </c>
      <c r="N128" s="68">
        <f t="shared" si="52"/>
        <v>0</v>
      </c>
      <c r="O128" s="68">
        <f t="shared" si="52"/>
        <v>1159540</v>
      </c>
      <c r="P128" s="68">
        <f t="shared" si="52"/>
        <v>171721066.63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/>
      <c r="RB128" s="39"/>
      <c r="RC128" s="39"/>
      <c r="RD128" s="39"/>
      <c r="RE128" s="39"/>
      <c r="RF128" s="39"/>
      <c r="RG128" s="39"/>
      <c r="RH128" s="39"/>
      <c r="RI128" s="39"/>
      <c r="RJ128" s="39"/>
      <c r="RK128" s="39"/>
      <c r="RL128" s="39"/>
      <c r="RM128" s="39"/>
      <c r="RN128" s="39"/>
      <c r="RO128" s="39"/>
      <c r="RP128" s="39"/>
      <c r="RQ128" s="39"/>
      <c r="RR128" s="39"/>
      <c r="RS128" s="39"/>
      <c r="RT128" s="39"/>
      <c r="RU128" s="39"/>
      <c r="RV128" s="39"/>
      <c r="RW128" s="39"/>
      <c r="RX128" s="39"/>
      <c r="RY128" s="39"/>
      <c r="RZ128" s="39"/>
      <c r="SA128" s="39"/>
      <c r="SB128" s="39"/>
      <c r="SC128" s="39"/>
      <c r="SD128" s="39"/>
      <c r="SE128" s="39"/>
      <c r="SF128" s="39"/>
      <c r="SG128" s="39"/>
      <c r="SH128" s="39"/>
      <c r="SI128" s="39"/>
      <c r="SJ128" s="39"/>
      <c r="SK128" s="39"/>
      <c r="SL128" s="39"/>
      <c r="SM128" s="39"/>
      <c r="SN128" s="39"/>
      <c r="SO128" s="39"/>
      <c r="SP128" s="39"/>
      <c r="SQ128" s="39"/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/>
      <c r="TC128" s="39"/>
      <c r="TD128" s="39"/>
      <c r="TE128" s="39"/>
      <c r="TF128" s="39"/>
      <c r="TG128" s="39"/>
      <c r="TH128" s="39"/>
      <c r="TI128" s="39"/>
    </row>
    <row r="129" spans="1:529" s="40" customFormat="1" x14ac:dyDescent="0.25">
      <c r="A129" s="76"/>
      <c r="B129" s="75"/>
      <c r="C129" s="75"/>
      <c r="D129" s="33" t="s">
        <v>459</v>
      </c>
      <c r="E129" s="68">
        <f>E134+E138+E140+E144+E146+E154</f>
        <v>3992148.13</v>
      </c>
      <c r="F129" s="68">
        <f t="shared" ref="F129:P129" si="53">F134+F138+F140+F144+F146+F154</f>
        <v>3992148.13</v>
      </c>
      <c r="G129" s="68">
        <f t="shared" si="53"/>
        <v>0</v>
      </c>
      <c r="H129" s="68">
        <f t="shared" si="53"/>
        <v>0</v>
      </c>
      <c r="I129" s="68">
        <f t="shared" si="53"/>
        <v>0</v>
      </c>
      <c r="J129" s="68">
        <f t="shared" si="53"/>
        <v>0</v>
      </c>
      <c r="K129" s="68">
        <f t="shared" si="53"/>
        <v>0</v>
      </c>
      <c r="L129" s="68">
        <f t="shared" si="53"/>
        <v>0</v>
      </c>
      <c r="M129" s="68">
        <f t="shared" si="53"/>
        <v>0</v>
      </c>
      <c r="N129" s="68">
        <f t="shared" si="53"/>
        <v>0</v>
      </c>
      <c r="O129" s="68">
        <f t="shared" si="53"/>
        <v>0</v>
      </c>
      <c r="P129" s="68">
        <f t="shared" si="53"/>
        <v>3992148.13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  <c r="KV129" s="39"/>
      <c r="KW129" s="39"/>
      <c r="KX129" s="39"/>
      <c r="KY129" s="39"/>
      <c r="KZ129" s="39"/>
      <c r="LA129" s="39"/>
      <c r="LB129" s="39"/>
      <c r="LC129" s="39"/>
      <c r="LD129" s="39"/>
      <c r="LE129" s="39"/>
      <c r="LF129" s="39"/>
      <c r="LG129" s="39"/>
      <c r="LH129" s="39"/>
      <c r="LI129" s="39"/>
      <c r="LJ129" s="39"/>
      <c r="LK129" s="39"/>
      <c r="LL129" s="39"/>
      <c r="LM129" s="39"/>
      <c r="LN129" s="39"/>
      <c r="LO129" s="39"/>
      <c r="LP129" s="39"/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/>
      <c r="ME129" s="39"/>
      <c r="MF129" s="39"/>
      <c r="MG129" s="39"/>
      <c r="MH129" s="39"/>
      <c r="MI129" s="39"/>
      <c r="MJ129" s="39"/>
      <c r="MK129" s="39"/>
      <c r="ML129" s="39"/>
      <c r="MM129" s="39"/>
      <c r="MN129" s="39"/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/>
      <c r="NE129" s="39"/>
      <c r="NF129" s="39"/>
      <c r="NG129" s="39"/>
      <c r="NH129" s="39"/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  <c r="OE129" s="39"/>
      <c r="OF129" s="39"/>
      <c r="OG129" s="39"/>
      <c r="OH129" s="39"/>
      <c r="OI129" s="39"/>
      <c r="OJ129" s="39"/>
      <c r="OK129" s="39"/>
      <c r="OL129" s="39"/>
      <c r="OM129" s="39"/>
      <c r="ON129" s="39"/>
      <c r="OO129" s="39"/>
      <c r="OP129" s="39"/>
      <c r="OQ129" s="39"/>
      <c r="OR129" s="39"/>
      <c r="OS129" s="39"/>
      <c r="OT129" s="39"/>
      <c r="OU129" s="39"/>
      <c r="OV129" s="39"/>
      <c r="OW129" s="39"/>
      <c r="OX129" s="39"/>
      <c r="OY129" s="39"/>
      <c r="OZ129" s="39"/>
      <c r="PA129" s="39"/>
      <c r="PB129" s="39"/>
      <c r="PC129" s="39"/>
      <c r="PD129" s="39"/>
      <c r="PE129" s="39"/>
      <c r="PF129" s="39"/>
      <c r="PG129" s="39"/>
      <c r="PH129" s="39"/>
      <c r="PI129" s="39"/>
      <c r="PJ129" s="39"/>
      <c r="PK129" s="39"/>
      <c r="PL129" s="39"/>
      <c r="PM129" s="39"/>
      <c r="PN129" s="39"/>
      <c r="PO129" s="39"/>
      <c r="PP129" s="39"/>
      <c r="PQ129" s="39"/>
      <c r="PR129" s="39"/>
      <c r="PS129" s="39"/>
      <c r="PT129" s="39"/>
      <c r="PU129" s="39"/>
      <c r="PV129" s="39"/>
      <c r="PW129" s="39"/>
      <c r="PX129" s="39"/>
      <c r="PY129" s="39"/>
      <c r="PZ129" s="39"/>
      <c r="QA129" s="39"/>
      <c r="QB129" s="39"/>
      <c r="QC129" s="39"/>
      <c r="QD129" s="39"/>
      <c r="QE129" s="39"/>
      <c r="QF129" s="39"/>
      <c r="QG129" s="39"/>
      <c r="QH129" s="39"/>
      <c r="QI129" s="39"/>
      <c r="QJ129" s="39"/>
      <c r="QK129" s="39"/>
      <c r="QL129" s="39"/>
      <c r="QM129" s="39"/>
      <c r="QN129" s="39"/>
      <c r="QO129" s="39"/>
      <c r="QP129" s="39"/>
      <c r="QQ129" s="39"/>
      <c r="QR129" s="39"/>
      <c r="QS129" s="39"/>
      <c r="QT129" s="39"/>
      <c r="QU129" s="39"/>
      <c r="QV129" s="39"/>
      <c r="QW129" s="39"/>
      <c r="QX129" s="39"/>
      <c r="QY129" s="39"/>
      <c r="QZ129" s="39"/>
      <c r="RA129" s="39"/>
      <c r="RB129" s="39"/>
      <c r="RC129" s="39"/>
      <c r="RD129" s="39"/>
      <c r="RE129" s="39"/>
      <c r="RF129" s="39"/>
      <c r="RG129" s="39"/>
      <c r="RH129" s="39"/>
      <c r="RI129" s="39"/>
      <c r="RJ129" s="39"/>
      <c r="RK129" s="39"/>
      <c r="RL129" s="39"/>
      <c r="RM129" s="39"/>
      <c r="RN129" s="39"/>
      <c r="RO129" s="39"/>
      <c r="RP129" s="39"/>
      <c r="RQ129" s="39"/>
      <c r="RR129" s="39"/>
      <c r="RS129" s="39"/>
      <c r="RT129" s="39"/>
      <c r="RU129" s="39"/>
      <c r="RV129" s="39"/>
      <c r="RW129" s="39"/>
      <c r="RX129" s="39"/>
      <c r="RY129" s="39"/>
      <c r="RZ129" s="39"/>
      <c r="SA129" s="39"/>
      <c r="SB129" s="39"/>
      <c r="SC129" s="39"/>
      <c r="SD129" s="39"/>
      <c r="SE129" s="39"/>
      <c r="SF129" s="39"/>
      <c r="SG129" s="39"/>
      <c r="SH129" s="39"/>
      <c r="SI129" s="39"/>
      <c r="SJ129" s="39"/>
      <c r="SK129" s="39"/>
      <c r="SL129" s="39"/>
      <c r="SM129" s="39"/>
      <c r="SN129" s="39"/>
      <c r="SO129" s="39"/>
      <c r="SP129" s="39"/>
      <c r="SQ129" s="39"/>
      <c r="SR129" s="39"/>
      <c r="SS129" s="39"/>
      <c r="ST129" s="39"/>
      <c r="SU129" s="39"/>
      <c r="SV129" s="39"/>
      <c r="SW129" s="39"/>
      <c r="SX129" s="39"/>
      <c r="SY129" s="39"/>
      <c r="SZ129" s="39"/>
      <c r="TA129" s="39"/>
      <c r="TB129" s="39"/>
      <c r="TC129" s="39"/>
      <c r="TD129" s="39"/>
      <c r="TE129" s="39"/>
      <c r="TF129" s="39"/>
      <c r="TG129" s="39"/>
      <c r="TH129" s="39"/>
      <c r="TI129" s="39"/>
    </row>
    <row r="130" spans="1:529" s="23" customFormat="1" ht="45.75" customHeight="1" x14ac:dyDescent="0.25">
      <c r="A130" s="43" t="s">
        <v>197</v>
      </c>
      <c r="B130" s="44" t="str">
        <f>'дод 4'!A20</f>
        <v>0160</v>
      </c>
      <c r="C130" s="44" t="str">
        <f>'дод 4'!B20</f>
        <v>0111</v>
      </c>
      <c r="D130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30" s="69">
        <f t="shared" ref="E130:E156" si="54">F130+I130</f>
        <v>53321100</v>
      </c>
      <c r="F130" s="69">
        <f>55432800+254000-2496600+234900-104000</f>
        <v>53321100</v>
      </c>
      <c r="G130" s="69">
        <f>43728800-2046400-85200</f>
        <v>41597200</v>
      </c>
      <c r="H130" s="69">
        <v>841800</v>
      </c>
      <c r="I130" s="69"/>
      <c r="J130" s="69">
        <f>L130+O130</f>
        <v>0</v>
      </c>
      <c r="K130" s="69"/>
      <c r="L130" s="69"/>
      <c r="M130" s="69"/>
      <c r="N130" s="69"/>
      <c r="O130" s="69"/>
      <c r="P130" s="69">
        <f t="shared" ref="P130:P156" si="55">E130+J130</f>
        <v>53321100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</row>
    <row r="131" spans="1:529" s="26" customFormat="1" ht="36" customHeight="1" x14ac:dyDescent="0.25">
      <c r="A131" s="43" t="s">
        <v>198</v>
      </c>
      <c r="B131" s="44" t="str">
        <f>'дод 4'!A72</f>
        <v>3031</v>
      </c>
      <c r="C131" s="44" t="str">
        <f>'дод 4'!B72</f>
        <v>1030</v>
      </c>
      <c r="D131" s="24" t="str">
        <f>'дод 4'!C72</f>
        <v>Надання інших пільг окремим категоріям громадян відповідно до законодавства</v>
      </c>
      <c r="E131" s="69">
        <f t="shared" si="54"/>
        <v>582400</v>
      </c>
      <c r="F131" s="69">
        <v>582400</v>
      </c>
      <c r="G131" s="69"/>
      <c r="H131" s="69"/>
      <c r="I131" s="69"/>
      <c r="J131" s="69">
        <f t="shared" ref="J131:J151" si="56">L131+O131</f>
        <v>0</v>
      </c>
      <c r="K131" s="69">
        <f>232600-190600-42000</f>
        <v>0</v>
      </c>
      <c r="L131" s="69"/>
      <c r="M131" s="69"/>
      <c r="N131" s="69"/>
      <c r="O131" s="69">
        <f>232600-190600-42000</f>
        <v>0</v>
      </c>
      <c r="P131" s="69">
        <f t="shared" si="55"/>
        <v>582400</v>
      </c>
    </row>
    <row r="132" spans="1:529" s="26" customFormat="1" ht="37.5" customHeight="1" x14ac:dyDescent="0.25">
      <c r="A132" s="43" t="s">
        <v>199</v>
      </c>
      <c r="B132" s="44" t="str">
        <f>'дод 4'!A73</f>
        <v>3032</v>
      </c>
      <c r="C132" s="44" t="str">
        <f>'дод 4'!B73</f>
        <v>1070</v>
      </c>
      <c r="D132" s="24" t="str">
        <f>'дод 4'!C73</f>
        <v>Надання пільг окремим категоріям громадян з оплати послуг зв'язку</v>
      </c>
      <c r="E132" s="69">
        <f t="shared" si="54"/>
        <v>1259894</v>
      </c>
      <c r="F132" s="69">
        <f>1300000-4876-35230</f>
        <v>1259894</v>
      </c>
      <c r="G132" s="69"/>
      <c r="H132" s="69"/>
      <c r="I132" s="69"/>
      <c r="J132" s="69">
        <f t="shared" si="56"/>
        <v>0</v>
      </c>
      <c r="K132" s="69"/>
      <c r="L132" s="69"/>
      <c r="M132" s="69"/>
      <c r="N132" s="69"/>
      <c r="O132" s="69"/>
      <c r="P132" s="69">
        <f t="shared" si="55"/>
        <v>1259894</v>
      </c>
    </row>
    <row r="133" spans="1:529" s="26" customFormat="1" ht="48.75" customHeight="1" x14ac:dyDescent="0.25">
      <c r="A133" s="43" t="s">
        <v>387</v>
      </c>
      <c r="B133" s="44" t="str">
        <f>'дод 4'!A74</f>
        <v>3033</v>
      </c>
      <c r="C133" s="44" t="str">
        <f>'дод 4'!B74</f>
        <v>1070</v>
      </c>
      <c r="D133" s="24" t="str">
        <f>'дод 4'!C74</f>
        <v>Компенсаційні виплати на пільговий проїзд автомобільним транспортом окремим категоріям громадян, у т.ч. за рахунок:</v>
      </c>
      <c r="E133" s="69">
        <f t="shared" si="54"/>
        <v>24021763.129999999</v>
      </c>
      <c r="F133" s="69">
        <f>24500000+97100+2184757.11+39906.02-2800000</f>
        <v>24021763.129999999</v>
      </c>
      <c r="G133" s="69"/>
      <c r="H133" s="69"/>
      <c r="I133" s="69"/>
      <c r="J133" s="69">
        <f t="shared" si="56"/>
        <v>0</v>
      </c>
      <c r="K133" s="69"/>
      <c r="L133" s="69"/>
      <c r="M133" s="69"/>
      <c r="N133" s="69"/>
      <c r="O133" s="69"/>
      <c r="P133" s="69">
        <f t="shared" si="55"/>
        <v>24021763.129999999</v>
      </c>
    </row>
    <row r="134" spans="1:529" s="36" customFormat="1" x14ac:dyDescent="0.25">
      <c r="A134" s="161"/>
      <c r="B134" s="162"/>
      <c r="C134" s="162"/>
      <c r="D134" s="165" t="s">
        <v>457</v>
      </c>
      <c r="E134" s="160">
        <f t="shared" si="54"/>
        <v>2321763.13</v>
      </c>
      <c r="F134" s="160">
        <f>1956075.13+365688</f>
        <v>2321763.13</v>
      </c>
      <c r="G134" s="160"/>
      <c r="H134" s="160"/>
      <c r="I134" s="160"/>
      <c r="J134" s="160">
        <f t="shared" si="56"/>
        <v>0</v>
      </c>
      <c r="K134" s="160"/>
      <c r="L134" s="160"/>
      <c r="M134" s="160"/>
      <c r="N134" s="160"/>
      <c r="O134" s="160"/>
      <c r="P134" s="160">
        <f t="shared" si="55"/>
        <v>2321763.13</v>
      </c>
    </row>
    <row r="135" spans="1:529" s="26" customFormat="1" ht="30" x14ac:dyDescent="0.25">
      <c r="A135" s="43" t="s">
        <v>356</v>
      </c>
      <c r="B135" s="44" t="str">
        <f>'дод 4'!A76</f>
        <v>3035</v>
      </c>
      <c r="C135" s="44" t="str">
        <f>'дод 4'!B76</f>
        <v>1070</v>
      </c>
      <c r="D135" s="24" t="str">
        <f>'дод 4'!C76</f>
        <v>Компенсаційні виплати за пільговий проїзд окремих категорій громадян на залізничному транспорті</v>
      </c>
      <c r="E135" s="69">
        <f t="shared" si="54"/>
        <v>1000000</v>
      </c>
      <c r="F135" s="69">
        <v>1000000</v>
      </c>
      <c r="G135" s="69"/>
      <c r="H135" s="69"/>
      <c r="I135" s="69"/>
      <c r="J135" s="69">
        <f t="shared" si="56"/>
        <v>0</v>
      </c>
      <c r="K135" s="69"/>
      <c r="L135" s="69"/>
      <c r="M135" s="69"/>
      <c r="N135" s="69"/>
      <c r="O135" s="69"/>
      <c r="P135" s="69">
        <f t="shared" si="55"/>
        <v>1000000</v>
      </c>
    </row>
    <row r="136" spans="1:529" s="26" customFormat="1" ht="36" customHeight="1" x14ac:dyDescent="0.25">
      <c r="A136" s="43" t="s">
        <v>200</v>
      </c>
      <c r="B136" s="44" t="str">
        <f>'дод 4'!A77</f>
        <v>3036</v>
      </c>
      <c r="C136" s="44" t="str">
        <f>'дод 4'!B77</f>
        <v>1070</v>
      </c>
      <c r="D136" s="24" t="str">
        <f>'дод 4'!C77</f>
        <v>Компенсаційні виплати на пільговий проїзд електротранспортом окремим категоріям громадян</v>
      </c>
      <c r="E136" s="69">
        <f t="shared" si="54"/>
        <v>26077955.5</v>
      </c>
      <c r="F136" s="69">
        <f>39098112+1372388+807455.5-15200000</f>
        <v>26077955.5</v>
      </c>
      <c r="G136" s="69"/>
      <c r="H136" s="69"/>
      <c r="I136" s="69"/>
      <c r="J136" s="69">
        <f t="shared" si="56"/>
        <v>0</v>
      </c>
      <c r="K136" s="69"/>
      <c r="L136" s="69"/>
      <c r="M136" s="69"/>
      <c r="N136" s="69"/>
      <c r="O136" s="69"/>
      <c r="P136" s="69">
        <f t="shared" si="55"/>
        <v>26077955.5</v>
      </c>
    </row>
    <row r="137" spans="1:529" s="23" customFormat="1" ht="39" customHeight="1" x14ac:dyDescent="0.25">
      <c r="A137" s="43" t="s">
        <v>385</v>
      </c>
      <c r="B137" s="44" t="str">
        <f>'дод 4'!A78</f>
        <v>3050</v>
      </c>
      <c r="C137" s="44" t="str">
        <f>'дод 4'!B78</f>
        <v>1070</v>
      </c>
      <c r="D137" s="24" t="str">
        <f>'дод 4'!C78</f>
        <v>Пільгове медичне обслуговування осіб, які постраждали внаслідок Чорнобильської катастрофи, у т.ч. за рахунок:</v>
      </c>
      <c r="E137" s="69">
        <f t="shared" si="54"/>
        <v>853000</v>
      </c>
      <c r="F137" s="69">
        <v>853000</v>
      </c>
      <c r="G137" s="69"/>
      <c r="H137" s="69"/>
      <c r="I137" s="69"/>
      <c r="J137" s="69">
        <f t="shared" si="56"/>
        <v>0</v>
      </c>
      <c r="K137" s="69"/>
      <c r="L137" s="69"/>
      <c r="M137" s="69"/>
      <c r="N137" s="69"/>
      <c r="O137" s="69"/>
      <c r="P137" s="69">
        <f t="shared" si="55"/>
        <v>853000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</row>
    <row r="138" spans="1:529" s="27" customFormat="1" x14ac:dyDescent="0.25">
      <c r="A138" s="161"/>
      <c r="B138" s="162"/>
      <c r="C138" s="162"/>
      <c r="D138" s="165" t="s">
        <v>457</v>
      </c>
      <c r="E138" s="160">
        <f t="shared" si="54"/>
        <v>853000</v>
      </c>
      <c r="F138" s="160">
        <v>853000</v>
      </c>
      <c r="G138" s="160"/>
      <c r="H138" s="160"/>
      <c r="I138" s="160"/>
      <c r="J138" s="160">
        <f t="shared" si="56"/>
        <v>0</v>
      </c>
      <c r="K138" s="160"/>
      <c r="L138" s="160"/>
      <c r="M138" s="160"/>
      <c r="N138" s="160"/>
      <c r="O138" s="160"/>
      <c r="P138" s="160">
        <f t="shared" si="55"/>
        <v>853000</v>
      </c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  <c r="JD138" s="36"/>
      <c r="JE138" s="36"/>
      <c r="JF138" s="36"/>
      <c r="JG138" s="36"/>
      <c r="JH138" s="36"/>
      <c r="JI138" s="36"/>
      <c r="JJ138" s="36"/>
      <c r="JK138" s="36"/>
      <c r="JL138" s="36"/>
      <c r="JM138" s="36"/>
      <c r="JN138" s="36"/>
      <c r="JO138" s="36"/>
      <c r="JP138" s="36"/>
      <c r="JQ138" s="36"/>
      <c r="JR138" s="36"/>
      <c r="JS138" s="36"/>
      <c r="JT138" s="36"/>
      <c r="JU138" s="36"/>
      <c r="JV138" s="36"/>
      <c r="JW138" s="36"/>
      <c r="JX138" s="36"/>
      <c r="JY138" s="36"/>
      <c r="JZ138" s="36"/>
      <c r="KA138" s="36"/>
      <c r="KB138" s="36"/>
      <c r="KC138" s="36"/>
      <c r="KD138" s="36"/>
      <c r="KE138" s="36"/>
      <c r="KF138" s="36"/>
      <c r="KG138" s="36"/>
      <c r="KH138" s="36"/>
      <c r="KI138" s="36"/>
      <c r="KJ138" s="36"/>
      <c r="KK138" s="36"/>
      <c r="KL138" s="36"/>
      <c r="KM138" s="36"/>
      <c r="KN138" s="36"/>
      <c r="KO138" s="36"/>
      <c r="KP138" s="36"/>
      <c r="KQ138" s="36"/>
      <c r="KR138" s="36"/>
      <c r="KS138" s="36"/>
      <c r="KT138" s="36"/>
      <c r="KU138" s="36"/>
      <c r="KV138" s="36"/>
      <c r="KW138" s="36"/>
      <c r="KX138" s="36"/>
      <c r="KY138" s="36"/>
      <c r="KZ138" s="36"/>
      <c r="LA138" s="36"/>
      <c r="LB138" s="36"/>
      <c r="LC138" s="36"/>
      <c r="LD138" s="36"/>
      <c r="LE138" s="36"/>
      <c r="LF138" s="36"/>
      <c r="LG138" s="36"/>
      <c r="LH138" s="36"/>
      <c r="LI138" s="36"/>
      <c r="LJ138" s="36"/>
      <c r="LK138" s="36"/>
      <c r="LL138" s="36"/>
      <c r="LM138" s="36"/>
      <c r="LN138" s="36"/>
      <c r="LO138" s="36"/>
      <c r="LP138" s="36"/>
      <c r="LQ138" s="36"/>
      <c r="LR138" s="36"/>
      <c r="LS138" s="36"/>
      <c r="LT138" s="36"/>
      <c r="LU138" s="36"/>
      <c r="LV138" s="36"/>
      <c r="LW138" s="36"/>
      <c r="LX138" s="36"/>
      <c r="LY138" s="36"/>
      <c r="LZ138" s="36"/>
      <c r="MA138" s="36"/>
      <c r="MB138" s="36"/>
      <c r="MC138" s="36"/>
      <c r="MD138" s="36"/>
      <c r="ME138" s="36"/>
      <c r="MF138" s="36"/>
      <c r="MG138" s="36"/>
      <c r="MH138" s="36"/>
      <c r="MI138" s="36"/>
      <c r="MJ138" s="36"/>
      <c r="MK138" s="36"/>
      <c r="ML138" s="36"/>
      <c r="MM138" s="36"/>
      <c r="MN138" s="36"/>
      <c r="MO138" s="36"/>
      <c r="MP138" s="36"/>
      <c r="MQ138" s="36"/>
      <c r="MR138" s="36"/>
      <c r="MS138" s="36"/>
      <c r="MT138" s="36"/>
      <c r="MU138" s="36"/>
      <c r="MV138" s="36"/>
      <c r="MW138" s="36"/>
      <c r="MX138" s="36"/>
      <c r="MY138" s="36"/>
      <c r="MZ138" s="36"/>
      <c r="NA138" s="36"/>
      <c r="NB138" s="36"/>
      <c r="NC138" s="36"/>
      <c r="ND138" s="36"/>
      <c r="NE138" s="36"/>
      <c r="NF138" s="36"/>
      <c r="NG138" s="36"/>
      <c r="NH138" s="36"/>
      <c r="NI138" s="36"/>
      <c r="NJ138" s="36"/>
      <c r="NK138" s="36"/>
      <c r="NL138" s="36"/>
      <c r="NM138" s="36"/>
      <c r="NN138" s="36"/>
      <c r="NO138" s="36"/>
      <c r="NP138" s="36"/>
      <c r="NQ138" s="36"/>
      <c r="NR138" s="36"/>
      <c r="NS138" s="36"/>
      <c r="NT138" s="36"/>
      <c r="NU138" s="36"/>
      <c r="NV138" s="36"/>
      <c r="NW138" s="36"/>
      <c r="NX138" s="36"/>
      <c r="NY138" s="36"/>
      <c r="NZ138" s="36"/>
      <c r="OA138" s="36"/>
      <c r="OB138" s="36"/>
      <c r="OC138" s="36"/>
      <c r="OD138" s="36"/>
      <c r="OE138" s="36"/>
      <c r="OF138" s="36"/>
      <c r="OG138" s="36"/>
      <c r="OH138" s="36"/>
      <c r="OI138" s="36"/>
      <c r="OJ138" s="36"/>
      <c r="OK138" s="36"/>
      <c r="OL138" s="36"/>
      <c r="OM138" s="36"/>
      <c r="ON138" s="36"/>
      <c r="OO138" s="36"/>
      <c r="OP138" s="36"/>
      <c r="OQ138" s="36"/>
      <c r="OR138" s="36"/>
      <c r="OS138" s="36"/>
      <c r="OT138" s="36"/>
      <c r="OU138" s="36"/>
      <c r="OV138" s="36"/>
      <c r="OW138" s="36"/>
      <c r="OX138" s="36"/>
      <c r="OY138" s="36"/>
      <c r="OZ138" s="36"/>
      <c r="PA138" s="36"/>
      <c r="PB138" s="36"/>
      <c r="PC138" s="36"/>
      <c r="PD138" s="36"/>
      <c r="PE138" s="36"/>
      <c r="PF138" s="36"/>
      <c r="PG138" s="36"/>
      <c r="PH138" s="36"/>
      <c r="PI138" s="36"/>
      <c r="PJ138" s="36"/>
      <c r="PK138" s="36"/>
      <c r="PL138" s="36"/>
      <c r="PM138" s="36"/>
      <c r="PN138" s="36"/>
      <c r="PO138" s="36"/>
      <c r="PP138" s="36"/>
      <c r="PQ138" s="36"/>
      <c r="PR138" s="36"/>
      <c r="PS138" s="36"/>
      <c r="PT138" s="36"/>
      <c r="PU138" s="36"/>
      <c r="PV138" s="36"/>
      <c r="PW138" s="36"/>
      <c r="PX138" s="36"/>
      <c r="PY138" s="36"/>
      <c r="PZ138" s="36"/>
      <c r="QA138" s="36"/>
      <c r="QB138" s="36"/>
      <c r="QC138" s="36"/>
      <c r="QD138" s="36"/>
      <c r="QE138" s="36"/>
      <c r="QF138" s="36"/>
      <c r="QG138" s="36"/>
      <c r="QH138" s="36"/>
      <c r="QI138" s="36"/>
      <c r="QJ138" s="36"/>
      <c r="QK138" s="36"/>
      <c r="QL138" s="36"/>
      <c r="QM138" s="36"/>
      <c r="QN138" s="36"/>
      <c r="QO138" s="36"/>
      <c r="QP138" s="36"/>
      <c r="QQ138" s="36"/>
      <c r="QR138" s="36"/>
      <c r="QS138" s="36"/>
      <c r="QT138" s="36"/>
      <c r="QU138" s="36"/>
      <c r="QV138" s="36"/>
      <c r="QW138" s="36"/>
      <c r="QX138" s="36"/>
      <c r="QY138" s="36"/>
      <c r="QZ138" s="36"/>
      <c r="RA138" s="36"/>
      <c r="RB138" s="36"/>
      <c r="RC138" s="36"/>
      <c r="RD138" s="36"/>
      <c r="RE138" s="36"/>
      <c r="RF138" s="36"/>
      <c r="RG138" s="36"/>
      <c r="RH138" s="36"/>
      <c r="RI138" s="36"/>
      <c r="RJ138" s="36"/>
      <c r="RK138" s="36"/>
      <c r="RL138" s="36"/>
      <c r="RM138" s="36"/>
      <c r="RN138" s="36"/>
      <c r="RO138" s="36"/>
      <c r="RP138" s="36"/>
      <c r="RQ138" s="36"/>
      <c r="RR138" s="36"/>
      <c r="RS138" s="36"/>
      <c r="RT138" s="36"/>
      <c r="RU138" s="36"/>
      <c r="RV138" s="36"/>
      <c r="RW138" s="36"/>
      <c r="RX138" s="36"/>
      <c r="RY138" s="36"/>
      <c r="RZ138" s="36"/>
      <c r="SA138" s="36"/>
      <c r="SB138" s="36"/>
      <c r="SC138" s="36"/>
      <c r="SD138" s="36"/>
      <c r="SE138" s="36"/>
      <c r="SF138" s="36"/>
      <c r="SG138" s="36"/>
      <c r="SH138" s="36"/>
      <c r="SI138" s="36"/>
      <c r="SJ138" s="36"/>
      <c r="SK138" s="36"/>
      <c r="SL138" s="36"/>
      <c r="SM138" s="36"/>
      <c r="SN138" s="36"/>
      <c r="SO138" s="36"/>
      <c r="SP138" s="36"/>
      <c r="SQ138" s="36"/>
      <c r="SR138" s="36"/>
      <c r="SS138" s="36"/>
      <c r="ST138" s="36"/>
      <c r="SU138" s="36"/>
      <c r="SV138" s="36"/>
      <c r="SW138" s="36"/>
      <c r="SX138" s="36"/>
      <c r="SY138" s="36"/>
      <c r="SZ138" s="36"/>
      <c r="TA138" s="36"/>
      <c r="TB138" s="36"/>
      <c r="TC138" s="36"/>
      <c r="TD138" s="36"/>
      <c r="TE138" s="36"/>
      <c r="TF138" s="36"/>
      <c r="TG138" s="36"/>
      <c r="TH138" s="36"/>
      <c r="TI138" s="36"/>
    </row>
    <row r="139" spans="1:529" s="23" customFormat="1" ht="38.25" customHeight="1" x14ac:dyDescent="0.25">
      <c r="A139" s="43" t="s">
        <v>386</v>
      </c>
      <c r="B139" s="44" t="str">
        <f>'дод 4'!A80</f>
        <v>3090</v>
      </c>
      <c r="C139" s="44" t="str">
        <f>'дод 4'!B80</f>
        <v>1030</v>
      </c>
      <c r="D139" s="24" t="str">
        <f>'дод 4'!C80</f>
        <v>Видатки на поховання учасників бойових дій та осіб з інвалідністю внаслідок війни, у т.ч. за рахунок:</v>
      </c>
      <c r="E139" s="69">
        <f t="shared" si="54"/>
        <v>228400</v>
      </c>
      <c r="F139" s="69">
        <v>228400</v>
      </c>
      <c r="G139" s="69"/>
      <c r="H139" s="69"/>
      <c r="I139" s="69"/>
      <c r="J139" s="69">
        <f t="shared" si="56"/>
        <v>0</v>
      </c>
      <c r="K139" s="69"/>
      <c r="L139" s="69"/>
      <c r="M139" s="69"/>
      <c r="N139" s="69"/>
      <c r="O139" s="69"/>
      <c r="P139" s="69">
        <f t="shared" si="55"/>
        <v>228400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7" customFormat="1" x14ac:dyDescent="0.25">
      <c r="A140" s="161"/>
      <c r="B140" s="162"/>
      <c r="C140" s="162"/>
      <c r="D140" s="165" t="s">
        <v>457</v>
      </c>
      <c r="E140" s="160">
        <f t="shared" si="54"/>
        <v>228400</v>
      </c>
      <c r="F140" s="160">
        <v>228400</v>
      </c>
      <c r="G140" s="160"/>
      <c r="H140" s="160"/>
      <c r="I140" s="160"/>
      <c r="J140" s="160">
        <f t="shared" si="56"/>
        <v>0</v>
      </c>
      <c r="K140" s="160"/>
      <c r="L140" s="160"/>
      <c r="M140" s="160"/>
      <c r="N140" s="160"/>
      <c r="O140" s="160"/>
      <c r="P140" s="160">
        <f t="shared" si="55"/>
        <v>228400</v>
      </c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  <c r="RM140" s="36"/>
      <c r="RN140" s="36"/>
      <c r="RO140" s="36"/>
      <c r="RP140" s="36"/>
      <c r="RQ140" s="36"/>
      <c r="RR140" s="36"/>
      <c r="RS140" s="36"/>
      <c r="RT140" s="36"/>
      <c r="RU140" s="36"/>
      <c r="RV140" s="36"/>
      <c r="RW140" s="36"/>
      <c r="RX140" s="36"/>
      <c r="RY140" s="36"/>
      <c r="RZ140" s="36"/>
      <c r="SA140" s="36"/>
      <c r="SB140" s="36"/>
      <c r="SC140" s="36"/>
      <c r="SD140" s="36"/>
      <c r="SE140" s="36"/>
      <c r="SF140" s="36"/>
      <c r="SG140" s="36"/>
      <c r="SH140" s="36"/>
      <c r="SI140" s="36"/>
      <c r="SJ140" s="36"/>
      <c r="SK140" s="36"/>
      <c r="SL140" s="36"/>
      <c r="SM140" s="36"/>
      <c r="SN140" s="36"/>
      <c r="SO140" s="36"/>
      <c r="SP140" s="36"/>
      <c r="SQ140" s="36"/>
      <c r="SR140" s="36"/>
      <c r="SS140" s="36"/>
      <c r="ST140" s="36"/>
      <c r="SU140" s="36"/>
      <c r="SV140" s="36"/>
      <c r="SW140" s="36"/>
      <c r="SX140" s="36"/>
      <c r="SY140" s="36"/>
      <c r="SZ140" s="36"/>
      <c r="TA140" s="36"/>
      <c r="TB140" s="36"/>
      <c r="TC140" s="36"/>
      <c r="TD140" s="36"/>
      <c r="TE140" s="36"/>
      <c r="TF140" s="36"/>
      <c r="TG140" s="36"/>
      <c r="TH140" s="36"/>
      <c r="TI140" s="36"/>
    </row>
    <row r="141" spans="1:529" s="23" customFormat="1" ht="60.75" customHeight="1" x14ac:dyDescent="0.25">
      <c r="A141" s="43" t="s">
        <v>201</v>
      </c>
      <c r="B141" s="44" t="str">
        <f>'дод 4'!A82</f>
        <v>3104</v>
      </c>
      <c r="C141" s="44" t="str">
        <f>'дод 4'!B82</f>
        <v>1020</v>
      </c>
      <c r="D141" s="24" t="str">
        <f>'дод 4'!C82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1" s="69">
        <f t="shared" si="54"/>
        <v>13559330</v>
      </c>
      <c r="F141" s="69">
        <f>13527630+2100+29600</f>
        <v>13559330</v>
      </c>
      <c r="G141" s="69">
        <v>10389550</v>
      </c>
      <c r="H141" s="69">
        <v>230060</v>
      </c>
      <c r="I141" s="69"/>
      <c r="J141" s="69">
        <f t="shared" si="56"/>
        <v>471000</v>
      </c>
      <c r="K141" s="69">
        <f>342900+20000</f>
        <v>362900</v>
      </c>
      <c r="L141" s="69">
        <v>108100</v>
      </c>
      <c r="M141" s="69">
        <v>85100</v>
      </c>
      <c r="N141" s="69"/>
      <c r="O141" s="69">
        <f>342900+20000</f>
        <v>362900</v>
      </c>
      <c r="P141" s="69">
        <f t="shared" si="55"/>
        <v>14030330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</row>
    <row r="142" spans="1:529" s="23" customFormat="1" ht="71.25" customHeight="1" x14ac:dyDescent="0.25">
      <c r="A142" s="43" t="s">
        <v>202</v>
      </c>
      <c r="B142" s="44" t="str">
        <f>'дод 4'!A88</f>
        <v>3160</v>
      </c>
      <c r="C142" s="44">
        <f>'дод 4'!B88</f>
        <v>1010</v>
      </c>
      <c r="D142" s="24" t="str">
        <f>'дод 4'!C88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2" s="69">
        <f t="shared" si="54"/>
        <v>1884220</v>
      </c>
      <c r="F142" s="69">
        <f>1911000-16000-10780</f>
        <v>1884220</v>
      </c>
      <c r="G142" s="69"/>
      <c r="H142" s="69"/>
      <c r="I142" s="69"/>
      <c r="J142" s="69">
        <f t="shared" si="56"/>
        <v>0</v>
      </c>
      <c r="K142" s="69"/>
      <c r="L142" s="69"/>
      <c r="M142" s="69"/>
      <c r="N142" s="69"/>
      <c r="O142" s="69"/>
      <c r="P142" s="69">
        <f t="shared" si="55"/>
        <v>1884220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3" customFormat="1" ht="55.5" customHeight="1" x14ac:dyDescent="0.25">
      <c r="A143" s="43" t="s">
        <v>388</v>
      </c>
      <c r="B143" s="44" t="str">
        <f>'дод 4'!A89</f>
        <v>3171</v>
      </c>
      <c r="C143" s="44">
        <f>'дод 4'!B89</f>
        <v>1010</v>
      </c>
      <c r="D143" s="24" t="str">
        <f>'дод 4'!C89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43" s="69">
        <f t="shared" si="54"/>
        <v>228095</v>
      </c>
      <c r="F143" s="69">
        <v>228095</v>
      </c>
      <c r="G143" s="69"/>
      <c r="H143" s="69"/>
      <c r="I143" s="69"/>
      <c r="J143" s="69">
        <f t="shared" si="56"/>
        <v>0</v>
      </c>
      <c r="K143" s="69"/>
      <c r="L143" s="69"/>
      <c r="M143" s="69"/>
      <c r="N143" s="69"/>
      <c r="O143" s="69"/>
      <c r="P143" s="69">
        <f t="shared" si="55"/>
        <v>228095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7" customFormat="1" x14ac:dyDescent="0.25">
      <c r="A144" s="161"/>
      <c r="B144" s="162"/>
      <c r="C144" s="162"/>
      <c r="D144" s="165" t="s">
        <v>457</v>
      </c>
      <c r="E144" s="160">
        <f t="shared" si="54"/>
        <v>228095</v>
      </c>
      <c r="F144" s="160">
        <v>228095</v>
      </c>
      <c r="G144" s="160"/>
      <c r="H144" s="160"/>
      <c r="I144" s="160"/>
      <c r="J144" s="160">
        <f t="shared" si="56"/>
        <v>0</v>
      </c>
      <c r="K144" s="160"/>
      <c r="L144" s="160"/>
      <c r="M144" s="160"/>
      <c r="N144" s="160"/>
      <c r="O144" s="160"/>
      <c r="P144" s="160">
        <f t="shared" si="55"/>
        <v>228095</v>
      </c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  <c r="ID144" s="36"/>
      <c r="IE144" s="36"/>
      <c r="IF144" s="36"/>
      <c r="IG144" s="36"/>
      <c r="IH144" s="36"/>
      <c r="II144" s="36"/>
      <c r="IJ144" s="36"/>
      <c r="IK144" s="36"/>
      <c r="IL144" s="36"/>
      <c r="IM144" s="36"/>
      <c r="IN144" s="36"/>
      <c r="IO144" s="36"/>
      <c r="IP144" s="36"/>
      <c r="IQ144" s="36"/>
      <c r="IR144" s="36"/>
      <c r="IS144" s="36"/>
      <c r="IT144" s="36"/>
      <c r="IU144" s="36"/>
      <c r="IV144" s="36"/>
      <c r="IW144" s="36"/>
      <c r="IX144" s="36"/>
      <c r="IY144" s="36"/>
      <c r="IZ144" s="36"/>
      <c r="JA144" s="36"/>
      <c r="JB144" s="36"/>
      <c r="JC144" s="36"/>
      <c r="JD144" s="36"/>
      <c r="JE144" s="36"/>
      <c r="JF144" s="36"/>
      <c r="JG144" s="36"/>
      <c r="JH144" s="36"/>
      <c r="JI144" s="36"/>
      <c r="JJ144" s="36"/>
      <c r="JK144" s="36"/>
      <c r="JL144" s="36"/>
      <c r="JM144" s="36"/>
      <c r="JN144" s="36"/>
      <c r="JO144" s="36"/>
      <c r="JP144" s="36"/>
      <c r="JQ144" s="36"/>
      <c r="JR144" s="36"/>
      <c r="JS144" s="36"/>
      <c r="JT144" s="36"/>
      <c r="JU144" s="36"/>
      <c r="JV144" s="36"/>
      <c r="JW144" s="36"/>
      <c r="JX144" s="36"/>
      <c r="JY144" s="36"/>
      <c r="JZ144" s="36"/>
      <c r="KA144" s="36"/>
      <c r="KB144" s="36"/>
      <c r="KC144" s="36"/>
      <c r="KD144" s="36"/>
      <c r="KE144" s="36"/>
      <c r="KF144" s="36"/>
      <c r="KG144" s="36"/>
      <c r="KH144" s="36"/>
      <c r="KI144" s="36"/>
      <c r="KJ144" s="36"/>
      <c r="KK144" s="36"/>
      <c r="KL144" s="36"/>
      <c r="KM144" s="36"/>
      <c r="KN144" s="36"/>
      <c r="KO144" s="36"/>
      <c r="KP144" s="36"/>
      <c r="KQ144" s="36"/>
      <c r="KR144" s="36"/>
      <c r="KS144" s="36"/>
      <c r="KT144" s="36"/>
      <c r="KU144" s="36"/>
      <c r="KV144" s="36"/>
      <c r="KW144" s="36"/>
      <c r="KX144" s="36"/>
      <c r="KY144" s="36"/>
      <c r="KZ144" s="36"/>
      <c r="LA144" s="36"/>
      <c r="LB144" s="36"/>
      <c r="LC144" s="36"/>
      <c r="LD144" s="36"/>
      <c r="LE144" s="36"/>
      <c r="LF144" s="36"/>
      <c r="LG144" s="36"/>
      <c r="LH144" s="36"/>
      <c r="LI144" s="36"/>
      <c r="LJ144" s="36"/>
      <c r="LK144" s="36"/>
      <c r="LL144" s="36"/>
      <c r="LM144" s="36"/>
      <c r="LN144" s="36"/>
      <c r="LO144" s="36"/>
      <c r="LP144" s="36"/>
      <c r="LQ144" s="36"/>
      <c r="LR144" s="36"/>
      <c r="LS144" s="36"/>
      <c r="LT144" s="36"/>
      <c r="LU144" s="36"/>
      <c r="LV144" s="36"/>
      <c r="LW144" s="36"/>
      <c r="LX144" s="36"/>
      <c r="LY144" s="36"/>
      <c r="LZ144" s="36"/>
      <c r="MA144" s="36"/>
      <c r="MB144" s="36"/>
      <c r="MC144" s="36"/>
      <c r="MD144" s="36"/>
      <c r="ME144" s="36"/>
      <c r="MF144" s="36"/>
      <c r="MG144" s="36"/>
      <c r="MH144" s="36"/>
      <c r="MI144" s="36"/>
      <c r="MJ144" s="36"/>
      <c r="MK144" s="36"/>
      <c r="ML144" s="36"/>
      <c r="MM144" s="36"/>
      <c r="MN144" s="36"/>
      <c r="MO144" s="36"/>
      <c r="MP144" s="36"/>
      <c r="MQ144" s="36"/>
      <c r="MR144" s="36"/>
      <c r="MS144" s="36"/>
      <c r="MT144" s="36"/>
      <c r="MU144" s="36"/>
      <c r="MV144" s="36"/>
      <c r="MW144" s="36"/>
      <c r="MX144" s="36"/>
      <c r="MY144" s="36"/>
      <c r="MZ144" s="36"/>
      <c r="NA144" s="36"/>
      <c r="NB144" s="36"/>
      <c r="NC144" s="36"/>
      <c r="ND144" s="36"/>
      <c r="NE144" s="36"/>
      <c r="NF144" s="36"/>
      <c r="NG144" s="36"/>
      <c r="NH144" s="36"/>
      <c r="NI144" s="36"/>
      <c r="NJ144" s="36"/>
      <c r="NK144" s="36"/>
      <c r="NL144" s="36"/>
      <c r="NM144" s="36"/>
      <c r="NN144" s="36"/>
      <c r="NO144" s="36"/>
      <c r="NP144" s="36"/>
      <c r="NQ144" s="36"/>
      <c r="NR144" s="36"/>
      <c r="NS144" s="36"/>
      <c r="NT144" s="36"/>
      <c r="NU144" s="36"/>
      <c r="NV144" s="36"/>
      <c r="NW144" s="36"/>
      <c r="NX144" s="36"/>
      <c r="NY144" s="36"/>
      <c r="NZ144" s="36"/>
      <c r="OA144" s="36"/>
      <c r="OB144" s="36"/>
      <c r="OC144" s="36"/>
      <c r="OD144" s="36"/>
      <c r="OE144" s="36"/>
      <c r="OF144" s="36"/>
      <c r="OG144" s="36"/>
      <c r="OH144" s="36"/>
      <c r="OI144" s="36"/>
      <c r="OJ144" s="36"/>
      <c r="OK144" s="36"/>
      <c r="OL144" s="36"/>
      <c r="OM144" s="36"/>
      <c r="ON144" s="36"/>
      <c r="OO144" s="36"/>
      <c r="OP144" s="36"/>
      <c r="OQ144" s="36"/>
      <c r="OR144" s="36"/>
      <c r="OS144" s="36"/>
      <c r="OT144" s="36"/>
      <c r="OU144" s="36"/>
      <c r="OV144" s="36"/>
      <c r="OW144" s="36"/>
      <c r="OX144" s="36"/>
      <c r="OY144" s="36"/>
      <c r="OZ144" s="36"/>
      <c r="PA144" s="36"/>
      <c r="PB144" s="36"/>
      <c r="PC144" s="36"/>
      <c r="PD144" s="36"/>
      <c r="PE144" s="36"/>
      <c r="PF144" s="36"/>
      <c r="PG144" s="36"/>
      <c r="PH144" s="36"/>
      <c r="PI144" s="36"/>
      <c r="PJ144" s="36"/>
      <c r="PK144" s="36"/>
      <c r="PL144" s="36"/>
      <c r="PM144" s="36"/>
      <c r="PN144" s="36"/>
      <c r="PO144" s="36"/>
      <c r="PP144" s="36"/>
      <c r="PQ144" s="36"/>
      <c r="PR144" s="36"/>
      <c r="PS144" s="36"/>
      <c r="PT144" s="36"/>
      <c r="PU144" s="36"/>
      <c r="PV144" s="36"/>
      <c r="PW144" s="36"/>
      <c r="PX144" s="36"/>
      <c r="PY144" s="36"/>
      <c r="PZ144" s="36"/>
      <c r="QA144" s="36"/>
      <c r="QB144" s="36"/>
      <c r="QC144" s="36"/>
      <c r="QD144" s="36"/>
      <c r="QE144" s="36"/>
      <c r="QF144" s="36"/>
      <c r="QG144" s="36"/>
      <c r="QH144" s="36"/>
      <c r="QI144" s="36"/>
      <c r="QJ144" s="36"/>
      <c r="QK144" s="36"/>
      <c r="QL144" s="36"/>
      <c r="QM144" s="36"/>
      <c r="QN144" s="36"/>
      <c r="QO144" s="36"/>
      <c r="QP144" s="36"/>
      <c r="QQ144" s="36"/>
      <c r="QR144" s="36"/>
      <c r="QS144" s="36"/>
      <c r="QT144" s="36"/>
      <c r="QU144" s="36"/>
      <c r="QV144" s="36"/>
      <c r="QW144" s="36"/>
      <c r="QX144" s="36"/>
      <c r="QY144" s="36"/>
      <c r="QZ144" s="36"/>
      <c r="RA144" s="36"/>
      <c r="RB144" s="36"/>
      <c r="RC144" s="36"/>
      <c r="RD144" s="36"/>
      <c r="RE144" s="36"/>
      <c r="RF144" s="36"/>
      <c r="RG144" s="36"/>
      <c r="RH144" s="36"/>
      <c r="RI144" s="36"/>
      <c r="RJ144" s="36"/>
      <c r="RK144" s="36"/>
      <c r="RL144" s="36"/>
      <c r="RM144" s="36"/>
      <c r="RN144" s="36"/>
      <c r="RO144" s="36"/>
      <c r="RP144" s="36"/>
      <c r="RQ144" s="36"/>
      <c r="RR144" s="36"/>
      <c r="RS144" s="36"/>
      <c r="RT144" s="36"/>
      <c r="RU144" s="36"/>
      <c r="RV144" s="36"/>
      <c r="RW144" s="36"/>
      <c r="RX144" s="36"/>
      <c r="RY144" s="36"/>
      <c r="RZ144" s="36"/>
      <c r="SA144" s="36"/>
      <c r="SB144" s="36"/>
      <c r="SC144" s="36"/>
      <c r="SD144" s="36"/>
      <c r="SE144" s="36"/>
      <c r="SF144" s="36"/>
      <c r="SG144" s="36"/>
      <c r="SH144" s="36"/>
      <c r="SI144" s="36"/>
      <c r="SJ144" s="36"/>
      <c r="SK144" s="36"/>
      <c r="SL144" s="36"/>
      <c r="SM144" s="36"/>
      <c r="SN144" s="36"/>
      <c r="SO144" s="36"/>
      <c r="SP144" s="36"/>
      <c r="SQ144" s="36"/>
      <c r="SR144" s="36"/>
      <c r="SS144" s="36"/>
      <c r="ST144" s="36"/>
      <c r="SU144" s="36"/>
      <c r="SV144" s="36"/>
      <c r="SW144" s="36"/>
      <c r="SX144" s="36"/>
      <c r="SY144" s="36"/>
      <c r="SZ144" s="36"/>
      <c r="TA144" s="36"/>
      <c r="TB144" s="36"/>
      <c r="TC144" s="36"/>
      <c r="TD144" s="36"/>
      <c r="TE144" s="36"/>
      <c r="TF144" s="36"/>
      <c r="TG144" s="36"/>
      <c r="TH144" s="36"/>
      <c r="TI144" s="36"/>
    </row>
    <row r="145" spans="1:529" s="23" customFormat="1" ht="28.5" customHeight="1" x14ac:dyDescent="0.25">
      <c r="A145" s="43" t="s">
        <v>389</v>
      </c>
      <c r="B145" s="44" t="str">
        <f>'дод 4'!A91</f>
        <v>3172</v>
      </c>
      <c r="C145" s="44">
        <f>'дод 4'!B91</f>
        <v>1010</v>
      </c>
      <c r="D145" s="24" t="str">
        <f>'дод 4'!C91</f>
        <v>Встановлення телефонів особам з інвалідністю I і II груп, у т.ч. за рахунок:</v>
      </c>
      <c r="E145" s="69">
        <f t="shared" si="54"/>
        <v>90</v>
      </c>
      <c r="F145" s="69">
        <v>90</v>
      </c>
      <c r="G145" s="69"/>
      <c r="H145" s="69"/>
      <c r="I145" s="69"/>
      <c r="J145" s="69">
        <f t="shared" si="56"/>
        <v>0</v>
      </c>
      <c r="K145" s="69"/>
      <c r="L145" s="69"/>
      <c r="M145" s="69"/>
      <c r="N145" s="69"/>
      <c r="O145" s="69"/>
      <c r="P145" s="69">
        <f t="shared" si="55"/>
        <v>90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7" customFormat="1" x14ac:dyDescent="0.25">
      <c r="A146" s="161"/>
      <c r="B146" s="162"/>
      <c r="C146" s="162"/>
      <c r="D146" s="165" t="s">
        <v>457</v>
      </c>
      <c r="E146" s="160">
        <f t="shared" si="54"/>
        <v>90</v>
      </c>
      <c r="F146" s="160">
        <v>90</v>
      </c>
      <c r="G146" s="160"/>
      <c r="H146" s="160"/>
      <c r="I146" s="160"/>
      <c r="J146" s="160">
        <f t="shared" si="56"/>
        <v>0</v>
      </c>
      <c r="K146" s="160"/>
      <c r="L146" s="160"/>
      <c r="M146" s="160"/>
      <c r="N146" s="160"/>
      <c r="O146" s="160"/>
      <c r="P146" s="160">
        <f t="shared" si="55"/>
        <v>90</v>
      </c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36"/>
      <c r="IA146" s="36"/>
      <c r="IB146" s="36"/>
      <c r="IC146" s="36"/>
      <c r="ID146" s="36"/>
      <c r="IE146" s="36"/>
      <c r="IF146" s="36"/>
      <c r="IG146" s="36"/>
      <c r="IH146" s="36"/>
      <c r="II146" s="36"/>
      <c r="IJ146" s="36"/>
      <c r="IK146" s="36"/>
      <c r="IL146" s="36"/>
      <c r="IM146" s="36"/>
      <c r="IN146" s="36"/>
      <c r="IO146" s="36"/>
      <c r="IP146" s="36"/>
      <c r="IQ146" s="36"/>
      <c r="IR146" s="36"/>
      <c r="IS146" s="36"/>
      <c r="IT146" s="36"/>
      <c r="IU146" s="36"/>
      <c r="IV146" s="36"/>
      <c r="IW146" s="36"/>
      <c r="IX146" s="36"/>
      <c r="IY146" s="36"/>
      <c r="IZ146" s="36"/>
      <c r="JA146" s="36"/>
      <c r="JB146" s="36"/>
      <c r="JC146" s="36"/>
      <c r="JD146" s="36"/>
      <c r="JE146" s="36"/>
      <c r="JF146" s="36"/>
      <c r="JG146" s="36"/>
      <c r="JH146" s="36"/>
      <c r="JI146" s="36"/>
      <c r="JJ146" s="36"/>
      <c r="JK146" s="36"/>
      <c r="JL146" s="36"/>
      <c r="JM146" s="36"/>
      <c r="JN146" s="36"/>
      <c r="JO146" s="36"/>
      <c r="JP146" s="36"/>
      <c r="JQ146" s="36"/>
      <c r="JR146" s="36"/>
      <c r="JS146" s="36"/>
      <c r="JT146" s="36"/>
      <c r="JU146" s="36"/>
      <c r="JV146" s="36"/>
      <c r="JW146" s="36"/>
      <c r="JX146" s="36"/>
      <c r="JY146" s="36"/>
      <c r="JZ146" s="36"/>
      <c r="KA146" s="36"/>
      <c r="KB146" s="36"/>
      <c r="KC146" s="36"/>
      <c r="KD146" s="36"/>
      <c r="KE146" s="36"/>
      <c r="KF146" s="36"/>
      <c r="KG146" s="36"/>
      <c r="KH146" s="36"/>
      <c r="KI146" s="36"/>
      <c r="KJ146" s="36"/>
      <c r="KK146" s="36"/>
      <c r="KL146" s="36"/>
      <c r="KM146" s="36"/>
      <c r="KN146" s="36"/>
      <c r="KO146" s="36"/>
      <c r="KP146" s="36"/>
      <c r="KQ146" s="36"/>
      <c r="KR146" s="36"/>
      <c r="KS146" s="36"/>
      <c r="KT146" s="36"/>
      <c r="KU146" s="36"/>
      <c r="KV146" s="36"/>
      <c r="KW146" s="36"/>
      <c r="KX146" s="36"/>
      <c r="KY146" s="36"/>
      <c r="KZ146" s="36"/>
      <c r="LA146" s="36"/>
      <c r="LB146" s="36"/>
      <c r="LC146" s="36"/>
      <c r="LD146" s="36"/>
      <c r="LE146" s="36"/>
      <c r="LF146" s="36"/>
      <c r="LG146" s="36"/>
      <c r="LH146" s="36"/>
      <c r="LI146" s="36"/>
      <c r="LJ146" s="36"/>
      <c r="LK146" s="36"/>
      <c r="LL146" s="36"/>
      <c r="LM146" s="36"/>
      <c r="LN146" s="36"/>
      <c r="LO146" s="36"/>
      <c r="LP146" s="36"/>
      <c r="LQ146" s="36"/>
      <c r="LR146" s="36"/>
      <c r="LS146" s="36"/>
      <c r="LT146" s="36"/>
      <c r="LU146" s="36"/>
      <c r="LV146" s="36"/>
      <c r="LW146" s="36"/>
      <c r="LX146" s="36"/>
      <c r="LY146" s="36"/>
      <c r="LZ146" s="36"/>
      <c r="MA146" s="36"/>
      <c r="MB146" s="36"/>
      <c r="MC146" s="36"/>
      <c r="MD146" s="36"/>
      <c r="ME146" s="36"/>
      <c r="MF146" s="36"/>
      <c r="MG146" s="36"/>
      <c r="MH146" s="36"/>
      <c r="MI146" s="36"/>
      <c r="MJ146" s="36"/>
      <c r="MK146" s="36"/>
      <c r="ML146" s="36"/>
      <c r="MM146" s="36"/>
      <c r="MN146" s="36"/>
      <c r="MO146" s="36"/>
      <c r="MP146" s="36"/>
      <c r="MQ146" s="36"/>
      <c r="MR146" s="36"/>
      <c r="MS146" s="36"/>
      <c r="MT146" s="36"/>
      <c r="MU146" s="36"/>
      <c r="MV146" s="36"/>
      <c r="MW146" s="36"/>
      <c r="MX146" s="36"/>
      <c r="MY146" s="36"/>
      <c r="MZ146" s="36"/>
      <c r="NA146" s="36"/>
      <c r="NB146" s="36"/>
      <c r="NC146" s="36"/>
      <c r="ND146" s="36"/>
      <c r="NE146" s="36"/>
      <c r="NF146" s="36"/>
      <c r="NG146" s="36"/>
      <c r="NH146" s="36"/>
      <c r="NI146" s="36"/>
      <c r="NJ146" s="36"/>
      <c r="NK146" s="36"/>
      <c r="NL146" s="36"/>
      <c r="NM146" s="36"/>
      <c r="NN146" s="36"/>
      <c r="NO146" s="36"/>
      <c r="NP146" s="36"/>
      <c r="NQ146" s="36"/>
      <c r="NR146" s="36"/>
      <c r="NS146" s="36"/>
      <c r="NT146" s="36"/>
      <c r="NU146" s="36"/>
      <c r="NV146" s="36"/>
      <c r="NW146" s="36"/>
      <c r="NX146" s="36"/>
      <c r="NY146" s="36"/>
      <c r="NZ146" s="36"/>
      <c r="OA146" s="36"/>
      <c r="OB146" s="36"/>
      <c r="OC146" s="36"/>
      <c r="OD146" s="36"/>
      <c r="OE146" s="36"/>
      <c r="OF146" s="36"/>
      <c r="OG146" s="36"/>
      <c r="OH146" s="36"/>
      <c r="OI146" s="36"/>
      <c r="OJ146" s="36"/>
      <c r="OK146" s="36"/>
      <c r="OL146" s="36"/>
      <c r="OM146" s="36"/>
      <c r="ON146" s="36"/>
      <c r="OO146" s="36"/>
      <c r="OP146" s="36"/>
      <c r="OQ146" s="36"/>
      <c r="OR146" s="36"/>
      <c r="OS146" s="36"/>
      <c r="OT146" s="36"/>
      <c r="OU146" s="36"/>
      <c r="OV146" s="36"/>
      <c r="OW146" s="36"/>
      <c r="OX146" s="36"/>
      <c r="OY146" s="36"/>
      <c r="OZ146" s="36"/>
      <c r="PA146" s="36"/>
      <c r="PB146" s="36"/>
      <c r="PC146" s="36"/>
      <c r="PD146" s="36"/>
      <c r="PE146" s="36"/>
      <c r="PF146" s="36"/>
      <c r="PG146" s="36"/>
      <c r="PH146" s="36"/>
      <c r="PI146" s="36"/>
      <c r="PJ146" s="36"/>
      <c r="PK146" s="36"/>
      <c r="PL146" s="36"/>
      <c r="PM146" s="36"/>
      <c r="PN146" s="36"/>
      <c r="PO146" s="36"/>
      <c r="PP146" s="36"/>
      <c r="PQ146" s="36"/>
      <c r="PR146" s="36"/>
      <c r="PS146" s="36"/>
      <c r="PT146" s="36"/>
      <c r="PU146" s="36"/>
      <c r="PV146" s="36"/>
      <c r="PW146" s="36"/>
      <c r="PX146" s="36"/>
      <c r="PY146" s="36"/>
      <c r="PZ146" s="36"/>
      <c r="QA146" s="36"/>
      <c r="QB146" s="36"/>
      <c r="QC146" s="36"/>
      <c r="QD146" s="36"/>
      <c r="QE146" s="36"/>
      <c r="QF146" s="36"/>
      <c r="QG146" s="36"/>
      <c r="QH146" s="36"/>
      <c r="QI146" s="36"/>
      <c r="QJ146" s="36"/>
      <c r="QK146" s="36"/>
      <c r="QL146" s="36"/>
      <c r="QM146" s="36"/>
      <c r="QN146" s="36"/>
      <c r="QO146" s="36"/>
      <c r="QP146" s="36"/>
      <c r="QQ146" s="36"/>
      <c r="QR146" s="36"/>
      <c r="QS146" s="36"/>
      <c r="QT146" s="36"/>
      <c r="QU146" s="36"/>
      <c r="QV146" s="36"/>
      <c r="QW146" s="36"/>
      <c r="QX146" s="36"/>
      <c r="QY146" s="36"/>
      <c r="QZ146" s="36"/>
      <c r="RA146" s="36"/>
      <c r="RB146" s="36"/>
      <c r="RC146" s="36"/>
      <c r="RD146" s="36"/>
      <c r="RE146" s="36"/>
      <c r="RF146" s="36"/>
      <c r="RG146" s="36"/>
      <c r="RH146" s="36"/>
      <c r="RI146" s="36"/>
      <c r="RJ146" s="36"/>
      <c r="RK146" s="36"/>
      <c r="RL146" s="36"/>
      <c r="RM146" s="36"/>
      <c r="RN146" s="36"/>
      <c r="RO146" s="36"/>
      <c r="RP146" s="36"/>
      <c r="RQ146" s="36"/>
      <c r="RR146" s="36"/>
      <c r="RS146" s="36"/>
      <c r="RT146" s="36"/>
      <c r="RU146" s="36"/>
      <c r="RV146" s="36"/>
      <c r="RW146" s="36"/>
      <c r="RX146" s="36"/>
      <c r="RY146" s="36"/>
      <c r="RZ146" s="36"/>
      <c r="SA146" s="36"/>
      <c r="SB146" s="36"/>
      <c r="SC146" s="36"/>
      <c r="SD146" s="36"/>
      <c r="SE146" s="36"/>
      <c r="SF146" s="36"/>
      <c r="SG146" s="36"/>
      <c r="SH146" s="36"/>
      <c r="SI146" s="36"/>
      <c r="SJ146" s="36"/>
      <c r="SK146" s="36"/>
      <c r="SL146" s="36"/>
      <c r="SM146" s="36"/>
      <c r="SN146" s="36"/>
      <c r="SO146" s="36"/>
      <c r="SP146" s="36"/>
      <c r="SQ146" s="36"/>
      <c r="SR146" s="36"/>
      <c r="SS146" s="36"/>
      <c r="ST146" s="36"/>
      <c r="SU146" s="36"/>
      <c r="SV146" s="36"/>
      <c r="SW146" s="36"/>
      <c r="SX146" s="36"/>
      <c r="SY146" s="36"/>
      <c r="SZ146" s="36"/>
      <c r="TA146" s="36"/>
      <c r="TB146" s="36"/>
      <c r="TC146" s="36"/>
      <c r="TD146" s="36"/>
      <c r="TE146" s="36"/>
      <c r="TF146" s="36"/>
      <c r="TG146" s="36"/>
      <c r="TH146" s="36"/>
      <c r="TI146" s="36"/>
    </row>
    <row r="147" spans="1:529" s="23" customFormat="1" ht="65.25" customHeight="1" x14ac:dyDescent="0.25">
      <c r="A147" s="43" t="s">
        <v>203</v>
      </c>
      <c r="B147" s="44" t="str">
        <f>'дод 4'!A93</f>
        <v>3180</v>
      </c>
      <c r="C147" s="44" t="str">
        <f>'дод 4'!B93</f>
        <v>1060</v>
      </c>
      <c r="D147" s="24" t="str">
        <f>'дод 4'!C93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47" s="69">
        <f t="shared" si="54"/>
        <v>2075000</v>
      </c>
      <c r="F147" s="69">
        <f>1876300+198700</f>
        <v>2075000</v>
      </c>
      <c r="G147" s="69"/>
      <c r="H147" s="69"/>
      <c r="I147" s="69"/>
      <c r="J147" s="69">
        <f t="shared" si="56"/>
        <v>0</v>
      </c>
      <c r="K147" s="69"/>
      <c r="L147" s="69"/>
      <c r="M147" s="69"/>
      <c r="N147" s="69"/>
      <c r="O147" s="69"/>
      <c r="P147" s="69">
        <f t="shared" si="55"/>
        <v>2075000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</row>
    <row r="148" spans="1:529" s="23" customFormat="1" ht="27" customHeight="1" x14ac:dyDescent="0.25">
      <c r="A148" s="43" t="s">
        <v>338</v>
      </c>
      <c r="B148" s="44" t="str">
        <f>'дод 4'!A94</f>
        <v>3191</v>
      </c>
      <c r="C148" s="44" t="str">
        <f>'дод 4'!B94</f>
        <v>1030</v>
      </c>
      <c r="D148" s="24" t="str">
        <f>'дод 4'!C94</f>
        <v>Інші видатки на соціальний захист ветеранів війни та праці</v>
      </c>
      <c r="E148" s="69">
        <f t="shared" si="54"/>
        <v>2170968</v>
      </c>
      <c r="F148" s="69">
        <f>2178000-7032</f>
        <v>2170968</v>
      </c>
      <c r="G148" s="69"/>
      <c r="H148" s="69"/>
      <c r="I148" s="69"/>
      <c r="J148" s="69">
        <f t="shared" si="56"/>
        <v>0</v>
      </c>
      <c r="K148" s="69"/>
      <c r="L148" s="69"/>
      <c r="M148" s="69"/>
      <c r="N148" s="69"/>
      <c r="O148" s="69"/>
      <c r="P148" s="69">
        <f t="shared" si="55"/>
        <v>2170968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23" customFormat="1" ht="45" x14ac:dyDescent="0.25">
      <c r="A149" s="43" t="s">
        <v>339</v>
      </c>
      <c r="B149" s="44" t="str">
        <f>'дод 4'!A95</f>
        <v>3192</v>
      </c>
      <c r="C149" s="44" t="str">
        <f>'дод 4'!B95</f>
        <v>1030</v>
      </c>
      <c r="D149" s="24" t="str">
        <f>'дод 4'!C95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49" s="69">
        <f t="shared" si="54"/>
        <v>1892237</v>
      </c>
      <c r="F149" s="69">
        <f>1478776+413461</f>
        <v>1892237</v>
      </c>
      <c r="G149" s="69"/>
      <c r="H149" s="69"/>
      <c r="I149" s="69"/>
      <c r="J149" s="69">
        <f t="shared" si="56"/>
        <v>0</v>
      </c>
      <c r="K149" s="69"/>
      <c r="L149" s="69"/>
      <c r="M149" s="69"/>
      <c r="N149" s="69"/>
      <c r="O149" s="69"/>
      <c r="P149" s="69">
        <f t="shared" si="55"/>
        <v>1892237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</row>
    <row r="150" spans="1:529" s="23" customFormat="1" ht="41.25" customHeight="1" x14ac:dyDescent="0.25">
      <c r="A150" s="43" t="s">
        <v>204</v>
      </c>
      <c r="B150" s="44" t="str">
        <f>'дод 4'!A96</f>
        <v>3200</v>
      </c>
      <c r="C150" s="44" t="str">
        <f>'дод 4'!B96</f>
        <v>1090</v>
      </c>
      <c r="D150" s="24" t="str">
        <f>'дод 4'!C96</f>
        <v>Забезпечення обробки інформації з нарахування та виплати допомог і компенсацій</v>
      </c>
      <c r="E150" s="69">
        <f t="shared" si="54"/>
        <v>86500</v>
      </c>
      <c r="F150" s="69">
        <v>86500</v>
      </c>
      <c r="G150" s="69"/>
      <c r="H150" s="69"/>
      <c r="I150" s="69"/>
      <c r="J150" s="69">
        <f t="shared" si="56"/>
        <v>0</v>
      </c>
      <c r="K150" s="69"/>
      <c r="L150" s="69"/>
      <c r="M150" s="69"/>
      <c r="N150" s="69"/>
      <c r="O150" s="69"/>
      <c r="P150" s="69">
        <f t="shared" si="55"/>
        <v>86500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3" customFormat="1" ht="19.5" customHeight="1" x14ac:dyDescent="0.25">
      <c r="A151" s="52" t="s">
        <v>340</v>
      </c>
      <c r="B151" s="45" t="str">
        <f>'дод 4'!A97</f>
        <v>3210</v>
      </c>
      <c r="C151" s="45" t="str">
        <f>'дод 4'!B97</f>
        <v>1050</v>
      </c>
      <c r="D151" s="22" t="str">
        <f>'дод 4'!C97</f>
        <v>Організація та проведення громадських робіт</v>
      </c>
      <c r="E151" s="69">
        <f t="shared" si="54"/>
        <v>200000</v>
      </c>
      <c r="F151" s="69">
        <v>200000</v>
      </c>
      <c r="G151" s="69">
        <v>163935</v>
      </c>
      <c r="H151" s="69"/>
      <c r="I151" s="69"/>
      <c r="J151" s="69">
        <f t="shared" si="56"/>
        <v>0</v>
      </c>
      <c r="K151" s="69"/>
      <c r="L151" s="69"/>
      <c r="M151" s="69"/>
      <c r="N151" s="69"/>
      <c r="O151" s="69"/>
      <c r="P151" s="69">
        <f t="shared" si="55"/>
        <v>200000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23" customFormat="1" ht="31.5" customHeight="1" x14ac:dyDescent="0.25">
      <c r="A152" s="43" t="s">
        <v>337</v>
      </c>
      <c r="B152" s="44" t="str">
        <f>'дод 4'!A98</f>
        <v>3241</v>
      </c>
      <c r="C152" s="44" t="str">
        <f>'дод 4'!B98</f>
        <v>1090</v>
      </c>
      <c r="D152" s="24" t="str">
        <f>'дод 4'!C98</f>
        <v>Забезпечення діяльності інших закладів у сфері соціального захисту і соціального забезпечення</v>
      </c>
      <c r="E152" s="69">
        <f t="shared" si="54"/>
        <v>5520906</v>
      </c>
      <c r="F152" s="69">
        <f>5445830+31200-41000+61876-10000+33000</f>
        <v>5520906</v>
      </c>
      <c r="G152" s="69">
        <v>3343340</v>
      </c>
      <c r="H152" s="69">
        <f>543630-41000-10000</f>
        <v>492630</v>
      </c>
      <c r="I152" s="69"/>
      <c r="J152" s="69">
        <f t="shared" ref="J152:J156" si="57">L152+O152</f>
        <v>561000</v>
      </c>
      <c r="K152" s="69">
        <f>200000+500000+40000+21000-200000</f>
        <v>561000</v>
      </c>
      <c r="L152" s="69"/>
      <c r="M152" s="69"/>
      <c r="N152" s="69"/>
      <c r="O152" s="69">
        <f>200000+500000+40000+21000-200000</f>
        <v>561000</v>
      </c>
      <c r="P152" s="69">
        <f t="shared" si="55"/>
        <v>6081906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</row>
    <row r="153" spans="1:529" s="23" customFormat="1" ht="33" customHeight="1" x14ac:dyDescent="0.25">
      <c r="A153" s="43" t="s">
        <v>390</v>
      </c>
      <c r="B153" s="44" t="str">
        <f>'дод 4'!A99</f>
        <v>3242</v>
      </c>
      <c r="C153" s="44" t="str">
        <f>'дод 4'!B99</f>
        <v>1090</v>
      </c>
      <c r="D153" s="24" t="s">
        <v>484</v>
      </c>
      <c r="E153" s="69">
        <f t="shared" si="54"/>
        <v>34421568</v>
      </c>
      <c r="F153" s="69">
        <f>29645360-11+360800-350000+439024+43903+350000+2246300+418550+70000-29600+470500+63000+16000-7170+42400+133500-12220+32000+13000+7032+18200+109500+3000+13500+315000+10000</f>
        <v>34421568</v>
      </c>
      <c r="G153" s="69"/>
      <c r="H153" s="69"/>
      <c r="I153" s="69"/>
      <c r="J153" s="69">
        <f t="shared" si="57"/>
        <v>35640</v>
      </c>
      <c r="K153" s="69">
        <v>35640</v>
      </c>
      <c r="L153" s="69"/>
      <c r="M153" s="69"/>
      <c r="N153" s="69"/>
      <c r="O153" s="69">
        <v>35640</v>
      </c>
      <c r="P153" s="69">
        <f t="shared" si="55"/>
        <v>34457208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</row>
    <row r="154" spans="1:529" s="27" customFormat="1" x14ac:dyDescent="0.25">
      <c r="A154" s="161"/>
      <c r="B154" s="162"/>
      <c r="C154" s="162"/>
      <c r="D154" s="165" t="s">
        <v>457</v>
      </c>
      <c r="E154" s="160">
        <f t="shared" si="54"/>
        <v>360800</v>
      </c>
      <c r="F154" s="160">
        <f>316800+32000+12000</f>
        <v>360800</v>
      </c>
      <c r="G154" s="160"/>
      <c r="H154" s="160"/>
      <c r="I154" s="160"/>
      <c r="J154" s="160">
        <f t="shared" si="57"/>
        <v>0</v>
      </c>
      <c r="K154" s="160"/>
      <c r="L154" s="160"/>
      <c r="M154" s="160"/>
      <c r="N154" s="160"/>
      <c r="O154" s="160"/>
      <c r="P154" s="160">
        <f t="shared" si="55"/>
        <v>360800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6"/>
      <c r="JC154" s="36"/>
      <c r="JD154" s="36"/>
      <c r="JE154" s="36"/>
      <c r="JF154" s="36"/>
      <c r="JG154" s="36"/>
      <c r="JH154" s="36"/>
      <c r="JI154" s="36"/>
      <c r="JJ154" s="36"/>
      <c r="JK154" s="36"/>
      <c r="JL154" s="36"/>
      <c r="JM154" s="36"/>
      <c r="JN154" s="36"/>
      <c r="JO154" s="36"/>
      <c r="JP154" s="36"/>
      <c r="JQ154" s="36"/>
      <c r="JR154" s="36"/>
      <c r="JS154" s="36"/>
      <c r="JT154" s="36"/>
      <c r="JU154" s="36"/>
      <c r="JV154" s="36"/>
      <c r="JW154" s="36"/>
      <c r="JX154" s="36"/>
      <c r="JY154" s="36"/>
      <c r="JZ154" s="36"/>
      <c r="KA154" s="36"/>
      <c r="KB154" s="36"/>
      <c r="KC154" s="36"/>
      <c r="KD154" s="36"/>
      <c r="KE154" s="36"/>
      <c r="KF154" s="36"/>
      <c r="KG154" s="36"/>
      <c r="KH154" s="36"/>
      <c r="KI154" s="36"/>
      <c r="KJ154" s="36"/>
      <c r="KK154" s="36"/>
      <c r="KL154" s="36"/>
      <c r="KM154" s="36"/>
      <c r="KN154" s="36"/>
      <c r="KO154" s="36"/>
      <c r="KP154" s="36"/>
      <c r="KQ154" s="36"/>
      <c r="KR154" s="36"/>
      <c r="KS154" s="36"/>
      <c r="KT154" s="36"/>
      <c r="KU154" s="36"/>
      <c r="KV154" s="36"/>
      <c r="KW154" s="36"/>
      <c r="KX154" s="36"/>
      <c r="KY154" s="36"/>
      <c r="KZ154" s="36"/>
      <c r="LA154" s="36"/>
      <c r="LB154" s="36"/>
      <c r="LC154" s="36"/>
      <c r="LD154" s="36"/>
      <c r="LE154" s="36"/>
      <c r="LF154" s="36"/>
      <c r="LG154" s="36"/>
      <c r="LH154" s="36"/>
      <c r="LI154" s="36"/>
      <c r="LJ154" s="36"/>
      <c r="LK154" s="36"/>
      <c r="LL154" s="36"/>
      <c r="LM154" s="36"/>
      <c r="LN154" s="36"/>
      <c r="LO154" s="36"/>
      <c r="LP154" s="36"/>
      <c r="LQ154" s="36"/>
      <c r="LR154" s="36"/>
      <c r="LS154" s="36"/>
      <c r="LT154" s="36"/>
      <c r="LU154" s="36"/>
      <c r="LV154" s="36"/>
      <c r="LW154" s="36"/>
      <c r="LX154" s="36"/>
      <c r="LY154" s="36"/>
      <c r="LZ154" s="36"/>
      <c r="MA154" s="36"/>
      <c r="MB154" s="36"/>
      <c r="MC154" s="36"/>
      <c r="MD154" s="36"/>
      <c r="ME154" s="36"/>
      <c r="MF154" s="36"/>
      <c r="MG154" s="36"/>
      <c r="MH154" s="36"/>
      <c r="MI154" s="36"/>
      <c r="MJ154" s="36"/>
      <c r="MK154" s="36"/>
      <c r="ML154" s="36"/>
      <c r="MM154" s="36"/>
      <c r="MN154" s="36"/>
      <c r="MO154" s="36"/>
      <c r="MP154" s="36"/>
      <c r="MQ154" s="36"/>
      <c r="MR154" s="36"/>
      <c r="MS154" s="36"/>
      <c r="MT154" s="36"/>
      <c r="MU154" s="36"/>
      <c r="MV154" s="36"/>
      <c r="MW154" s="36"/>
      <c r="MX154" s="36"/>
      <c r="MY154" s="36"/>
      <c r="MZ154" s="36"/>
      <c r="NA154" s="36"/>
      <c r="NB154" s="36"/>
      <c r="NC154" s="36"/>
      <c r="ND154" s="36"/>
      <c r="NE154" s="36"/>
      <c r="NF154" s="36"/>
      <c r="NG154" s="36"/>
      <c r="NH154" s="36"/>
      <c r="NI154" s="36"/>
      <c r="NJ154" s="36"/>
      <c r="NK154" s="36"/>
      <c r="NL154" s="36"/>
      <c r="NM154" s="36"/>
      <c r="NN154" s="36"/>
      <c r="NO154" s="36"/>
      <c r="NP154" s="36"/>
      <c r="NQ154" s="36"/>
      <c r="NR154" s="36"/>
      <c r="NS154" s="36"/>
      <c r="NT154" s="36"/>
      <c r="NU154" s="36"/>
      <c r="NV154" s="36"/>
      <c r="NW154" s="36"/>
      <c r="NX154" s="36"/>
      <c r="NY154" s="36"/>
      <c r="NZ154" s="36"/>
      <c r="OA154" s="36"/>
      <c r="OB154" s="36"/>
      <c r="OC154" s="36"/>
      <c r="OD154" s="36"/>
      <c r="OE154" s="36"/>
      <c r="OF154" s="36"/>
      <c r="OG154" s="36"/>
      <c r="OH154" s="36"/>
      <c r="OI154" s="36"/>
      <c r="OJ154" s="36"/>
      <c r="OK154" s="36"/>
      <c r="OL154" s="36"/>
      <c r="OM154" s="36"/>
      <c r="ON154" s="36"/>
      <c r="OO154" s="36"/>
      <c r="OP154" s="36"/>
      <c r="OQ154" s="36"/>
      <c r="OR154" s="36"/>
      <c r="OS154" s="36"/>
      <c r="OT154" s="36"/>
      <c r="OU154" s="36"/>
      <c r="OV154" s="36"/>
      <c r="OW154" s="36"/>
      <c r="OX154" s="36"/>
      <c r="OY154" s="36"/>
      <c r="OZ154" s="36"/>
      <c r="PA154" s="36"/>
      <c r="PB154" s="36"/>
      <c r="PC154" s="36"/>
      <c r="PD154" s="36"/>
      <c r="PE154" s="36"/>
      <c r="PF154" s="36"/>
      <c r="PG154" s="36"/>
      <c r="PH154" s="36"/>
      <c r="PI154" s="36"/>
      <c r="PJ154" s="36"/>
      <c r="PK154" s="36"/>
      <c r="PL154" s="36"/>
      <c r="PM154" s="36"/>
      <c r="PN154" s="36"/>
      <c r="PO154" s="36"/>
      <c r="PP154" s="36"/>
      <c r="PQ154" s="36"/>
      <c r="PR154" s="36"/>
      <c r="PS154" s="36"/>
      <c r="PT154" s="36"/>
      <c r="PU154" s="36"/>
      <c r="PV154" s="36"/>
      <c r="PW154" s="36"/>
      <c r="PX154" s="36"/>
      <c r="PY154" s="36"/>
      <c r="PZ154" s="36"/>
      <c r="QA154" s="36"/>
      <c r="QB154" s="36"/>
      <c r="QC154" s="36"/>
      <c r="QD154" s="36"/>
      <c r="QE154" s="36"/>
      <c r="QF154" s="36"/>
      <c r="QG154" s="36"/>
      <c r="QH154" s="36"/>
      <c r="QI154" s="36"/>
      <c r="QJ154" s="36"/>
      <c r="QK154" s="36"/>
      <c r="QL154" s="36"/>
      <c r="QM154" s="36"/>
      <c r="QN154" s="36"/>
      <c r="QO154" s="36"/>
      <c r="QP154" s="36"/>
      <c r="QQ154" s="36"/>
      <c r="QR154" s="36"/>
      <c r="QS154" s="36"/>
      <c r="QT154" s="36"/>
      <c r="QU154" s="36"/>
      <c r="QV154" s="36"/>
      <c r="QW154" s="36"/>
      <c r="QX154" s="36"/>
      <c r="QY154" s="36"/>
      <c r="QZ154" s="36"/>
      <c r="RA154" s="36"/>
      <c r="RB154" s="36"/>
      <c r="RC154" s="36"/>
      <c r="RD154" s="36"/>
      <c r="RE154" s="36"/>
      <c r="RF154" s="36"/>
      <c r="RG154" s="36"/>
      <c r="RH154" s="36"/>
      <c r="RI154" s="36"/>
      <c r="RJ154" s="36"/>
      <c r="RK154" s="36"/>
      <c r="RL154" s="36"/>
      <c r="RM154" s="36"/>
      <c r="RN154" s="36"/>
      <c r="RO154" s="36"/>
      <c r="RP154" s="36"/>
      <c r="RQ154" s="36"/>
      <c r="RR154" s="36"/>
      <c r="RS154" s="36"/>
      <c r="RT154" s="36"/>
      <c r="RU154" s="36"/>
      <c r="RV154" s="36"/>
      <c r="RW154" s="36"/>
      <c r="RX154" s="36"/>
      <c r="RY154" s="36"/>
      <c r="RZ154" s="36"/>
      <c r="SA154" s="36"/>
      <c r="SB154" s="36"/>
      <c r="SC154" s="36"/>
      <c r="SD154" s="36"/>
      <c r="SE154" s="36"/>
      <c r="SF154" s="36"/>
      <c r="SG154" s="36"/>
      <c r="SH154" s="36"/>
      <c r="SI154" s="36"/>
      <c r="SJ154" s="36"/>
      <c r="SK154" s="36"/>
      <c r="SL154" s="36"/>
      <c r="SM154" s="36"/>
      <c r="SN154" s="36"/>
      <c r="SO154" s="36"/>
      <c r="SP154" s="36"/>
      <c r="SQ154" s="36"/>
      <c r="SR154" s="36"/>
      <c r="SS154" s="36"/>
      <c r="ST154" s="36"/>
      <c r="SU154" s="36"/>
      <c r="SV154" s="36"/>
      <c r="SW154" s="36"/>
      <c r="SX154" s="36"/>
      <c r="SY154" s="36"/>
      <c r="SZ154" s="36"/>
      <c r="TA154" s="36"/>
      <c r="TB154" s="36"/>
      <c r="TC154" s="36"/>
      <c r="TD154" s="36"/>
      <c r="TE154" s="36"/>
      <c r="TF154" s="36"/>
      <c r="TG154" s="36"/>
      <c r="TH154" s="36"/>
      <c r="TI154" s="36"/>
    </row>
    <row r="155" spans="1:529" s="23" customFormat="1" x14ac:dyDescent="0.25">
      <c r="A155" s="43" t="s">
        <v>503</v>
      </c>
      <c r="B155" s="44"/>
      <c r="C155" s="44"/>
      <c r="D155" s="24" t="s">
        <v>504</v>
      </c>
      <c r="E155" s="69">
        <f t="shared" si="54"/>
        <v>0</v>
      </c>
      <c r="F155" s="69"/>
      <c r="G155" s="69"/>
      <c r="H155" s="69"/>
      <c r="I155" s="69"/>
      <c r="J155" s="69">
        <f t="shared" si="57"/>
        <v>200000</v>
      </c>
      <c r="K155" s="69">
        <v>200000</v>
      </c>
      <c r="L155" s="69"/>
      <c r="M155" s="69"/>
      <c r="N155" s="69"/>
      <c r="O155" s="69">
        <v>200000</v>
      </c>
      <c r="P155" s="69">
        <f t="shared" si="55"/>
        <v>200000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</row>
    <row r="156" spans="1:529" s="23" customFormat="1" ht="31.5" customHeight="1" x14ac:dyDescent="0.25">
      <c r="A156" s="43" t="s">
        <v>287</v>
      </c>
      <c r="B156" s="44" t="str">
        <f>'дод 4'!A187</f>
        <v>9770</v>
      </c>
      <c r="C156" s="44" t="str">
        <f>'дод 4'!B187</f>
        <v>0180</v>
      </c>
      <c r="D156" s="24" t="str">
        <f>'дод 4'!C187</f>
        <v>Інші субвенції з місцевого бюджету</v>
      </c>
      <c r="E156" s="69">
        <f t="shared" si="54"/>
        <v>1070000</v>
      </c>
      <c r="F156" s="69">
        <v>1070000</v>
      </c>
      <c r="G156" s="69"/>
      <c r="H156" s="69"/>
      <c r="I156" s="69"/>
      <c r="J156" s="69">
        <f t="shared" si="57"/>
        <v>0</v>
      </c>
      <c r="K156" s="69"/>
      <c r="L156" s="69"/>
      <c r="M156" s="69"/>
      <c r="N156" s="69"/>
      <c r="O156" s="69"/>
      <c r="P156" s="69">
        <f t="shared" si="55"/>
        <v>1070000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31" customFormat="1" ht="28.5" customHeight="1" x14ac:dyDescent="0.2">
      <c r="A157" s="85" t="s">
        <v>205</v>
      </c>
      <c r="B157" s="72"/>
      <c r="C157" s="72"/>
      <c r="D157" s="30" t="s">
        <v>401</v>
      </c>
      <c r="E157" s="66">
        <f>E158</f>
        <v>5077200</v>
      </c>
      <c r="F157" s="66">
        <f t="shared" ref="F157:J157" si="58">F158</f>
        <v>5077200</v>
      </c>
      <c r="G157" s="66">
        <f t="shared" si="58"/>
        <v>3933800</v>
      </c>
      <c r="H157" s="66">
        <f t="shared" si="58"/>
        <v>57500</v>
      </c>
      <c r="I157" s="66">
        <f t="shared" si="58"/>
        <v>0</v>
      </c>
      <c r="J157" s="66">
        <f t="shared" si="58"/>
        <v>20000</v>
      </c>
      <c r="K157" s="66">
        <f t="shared" ref="K157" si="59">K158</f>
        <v>20000</v>
      </c>
      <c r="L157" s="66">
        <f t="shared" ref="L157" si="60">L158</f>
        <v>0</v>
      </c>
      <c r="M157" s="66">
        <f t="shared" ref="M157" si="61">M158</f>
        <v>0</v>
      </c>
      <c r="N157" s="66">
        <f t="shared" ref="N157" si="62">N158</f>
        <v>0</v>
      </c>
      <c r="O157" s="66">
        <f t="shared" ref="O157:P157" si="63">O158</f>
        <v>20000</v>
      </c>
      <c r="P157" s="66">
        <f t="shared" si="63"/>
        <v>5097200</v>
      </c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  <c r="IW157" s="38"/>
      <c r="IX157" s="38"/>
      <c r="IY157" s="38"/>
      <c r="IZ157" s="38"/>
      <c r="JA157" s="38"/>
      <c r="JB157" s="38"/>
      <c r="JC157" s="38"/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/>
      <c r="LL157" s="38"/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/>
      <c r="MG157" s="38"/>
      <c r="MH157" s="38"/>
      <c r="MI157" s="38"/>
      <c r="MJ157" s="38"/>
      <c r="MK157" s="38"/>
      <c r="ML157" s="38"/>
      <c r="MM157" s="38"/>
      <c r="MN157" s="38"/>
      <c r="MO157" s="38"/>
      <c r="MP157" s="38"/>
      <c r="MQ157" s="38"/>
      <c r="MR157" s="38"/>
      <c r="MS157" s="38"/>
      <c r="MT157" s="38"/>
      <c r="MU157" s="38"/>
      <c r="MV157" s="38"/>
      <c r="MW157" s="38"/>
      <c r="MX157" s="38"/>
      <c r="MY157" s="38"/>
      <c r="MZ157" s="38"/>
      <c r="NA157" s="38"/>
      <c r="NB157" s="38"/>
      <c r="NC157" s="38"/>
      <c r="ND157" s="38"/>
      <c r="NE157" s="38"/>
      <c r="NF157" s="38"/>
      <c r="NG157" s="38"/>
      <c r="NH157" s="3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/>
      <c r="OH157" s="38"/>
      <c r="OI157" s="38"/>
      <c r="OJ157" s="38"/>
      <c r="OK157" s="38"/>
      <c r="OL157" s="38"/>
      <c r="OM157" s="38"/>
      <c r="ON157" s="38"/>
      <c r="OO157" s="38"/>
      <c r="OP157" s="38"/>
      <c r="OQ157" s="38"/>
      <c r="OR157" s="38"/>
      <c r="OS157" s="38"/>
      <c r="OT157" s="38"/>
      <c r="OU157" s="38"/>
      <c r="OV157" s="38"/>
      <c r="OW157" s="38"/>
      <c r="OX157" s="38"/>
      <c r="OY157" s="38"/>
      <c r="OZ157" s="38"/>
      <c r="PA157" s="38"/>
      <c r="PB157" s="38"/>
      <c r="PC157" s="38"/>
      <c r="PD157" s="38"/>
      <c r="PE157" s="38"/>
      <c r="PF157" s="38"/>
      <c r="PG157" s="38"/>
      <c r="PH157" s="38"/>
      <c r="PI157" s="38"/>
      <c r="PJ157" s="38"/>
      <c r="PK157" s="38"/>
      <c r="PL157" s="38"/>
      <c r="PM157" s="38"/>
      <c r="PN157" s="38"/>
      <c r="PO157" s="38"/>
      <c r="PP157" s="38"/>
      <c r="PQ157" s="38"/>
      <c r="PR157" s="38"/>
      <c r="PS157" s="38"/>
      <c r="PT157" s="38"/>
      <c r="PU157" s="38"/>
      <c r="PV157" s="38"/>
      <c r="PW157" s="38"/>
      <c r="PX157" s="38"/>
      <c r="PY157" s="38"/>
      <c r="PZ157" s="38"/>
      <c r="QA157" s="38"/>
      <c r="QB157" s="38"/>
      <c r="QC157" s="38"/>
      <c r="QD157" s="38"/>
      <c r="QE157" s="38"/>
      <c r="QF157" s="38"/>
      <c r="QG157" s="38"/>
      <c r="QH157" s="38"/>
      <c r="QI157" s="38"/>
      <c r="QJ157" s="38"/>
      <c r="QK157" s="38"/>
      <c r="QL157" s="38"/>
      <c r="QM157" s="38"/>
      <c r="QN157" s="38"/>
      <c r="QO157" s="38"/>
      <c r="QP157" s="38"/>
      <c r="QQ157" s="38"/>
      <c r="QR157" s="38"/>
      <c r="QS157" s="38"/>
      <c r="QT157" s="38"/>
      <c r="QU157" s="38"/>
      <c r="QV157" s="38"/>
      <c r="QW157" s="38"/>
      <c r="QX157" s="38"/>
      <c r="QY157" s="38"/>
      <c r="QZ157" s="38"/>
      <c r="RA157" s="38"/>
      <c r="RB157" s="38"/>
      <c r="RC157" s="38"/>
      <c r="RD157" s="38"/>
      <c r="RE157" s="38"/>
      <c r="RF157" s="38"/>
      <c r="RG157" s="38"/>
      <c r="RH157" s="38"/>
      <c r="RI157" s="38"/>
      <c r="RJ157" s="38"/>
      <c r="RK157" s="38"/>
      <c r="RL157" s="38"/>
      <c r="RM157" s="38"/>
      <c r="RN157" s="38"/>
      <c r="RO157" s="38"/>
      <c r="RP157" s="38"/>
      <c r="RQ157" s="38"/>
      <c r="RR157" s="38"/>
      <c r="RS157" s="38"/>
      <c r="RT157" s="38"/>
      <c r="RU157" s="38"/>
      <c r="RV157" s="38"/>
      <c r="RW157" s="38"/>
      <c r="RX157" s="38"/>
      <c r="RY157" s="38"/>
      <c r="RZ157" s="38"/>
      <c r="SA157" s="38"/>
      <c r="SB157" s="38"/>
      <c r="SC157" s="38"/>
      <c r="SD157" s="38"/>
      <c r="SE157" s="38"/>
      <c r="SF157" s="38"/>
      <c r="SG157" s="38"/>
      <c r="SH157" s="38"/>
      <c r="SI157" s="38"/>
      <c r="SJ157" s="38"/>
      <c r="SK157" s="38"/>
      <c r="SL157" s="38"/>
      <c r="SM157" s="38"/>
      <c r="SN157" s="38"/>
      <c r="SO157" s="38"/>
      <c r="SP157" s="38"/>
      <c r="SQ157" s="38"/>
      <c r="SR157" s="38"/>
      <c r="SS157" s="38"/>
      <c r="ST157" s="38"/>
      <c r="SU157" s="38"/>
      <c r="SV157" s="38"/>
      <c r="SW157" s="38"/>
      <c r="SX157" s="38"/>
      <c r="SY157" s="38"/>
      <c r="SZ157" s="38"/>
      <c r="TA157" s="38"/>
      <c r="TB157" s="38"/>
      <c r="TC157" s="38"/>
      <c r="TD157" s="38"/>
      <c r="TE157" s="38"/>
      <c r="TF157" s="38"/>
      <c r="TG157" s="38"/>
      <c r="TH157" s="38"/>
      <c r="TI157" s="38"/>
    </row>
    <row r="158" spans="1:529" s="40" customFormat="1" ht="29.25" customHeight="1" x14ac:dyDescent="0.25">
      <c r="A158" s="86" t="s">
        <v>206</v>
      </c>
      <c r="B158" s="73"/>
      <c r="C158" s="73"/>
      <c r="D158" s="33" t="s">
        <v>401</v>
      </c>
      <c r="E158" s="68">
        <f>E159+E160+E161</f>
        <v>5077200</v>
      </c>
      <c r="F158" s="68">
        <f t="shared" ref="F158:P158" si="64">F159+F160+F161</f>
        <v>5077200</v>
      </c>
      <c r="G158" s="68">
        <f t="shared" si="64"/>
        <v>3933800</v>
      </c>
      <c r="H158" s="68">
        <f t="shared" si="64"/>
        <v>57500</v>
      </c>
      <c r="I158" s="68">
        <f t="shared" si="64"/>
        <v>0</v>
      </c>
      <c r="J158" s="68">
        <f t="shared" si="64"/>
        <v>20000</v>
      </c>
      <c r="K158" s="68">
        <f t="shared" si="64"/>
        <v>20000</v>
      </c>
      <c r="L158" s="68">
        <f t="shared" si="64"/>
        <v>0</v>
      </c>
      <c r="M158" s="68">
        <f t="shared" si="64"/>
        <v>0</v>
      </c>
      <c r="N158" s="68">
        <f t="shared" si="64"/>
        <v>0</v>
      </c>
      <c r="O158" s="68">
        <f t="shared" si="64"/>
        <v>20000</v>
      </c>
      <c r="P158" s="68">
        <f t="shared" si="64"/>
        <v>5097200</v>
      </c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/>
      <c r="JH158" s="39"/>
      <c r="JI158" s="39"/>
      <c r="JJ158" s="39"/>
      <c r="JK158" s="39"/>
      <c r="JL158" s="39"/>
      <c r="JM158" s="39"/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/>
      <c r="KN158" s="39"/>
      <c r="KO158" s="39"/>
      <c r="KP158" s="39"/>
      <c r="KQ158" s="39"/>
      <c r="KR158" s="39"/>
      <c r="KS158" s="39"/>
      <c r="KT158" s="39"/>
      <c r="KU158" s="39"/>
      <c r="KV158" s="39"/>
      <c r="KW158" s="39"/>
      <c r="KX158" s="39"/>
      <c r="KY158" s="39"/>
      <c r="KZ158" s="39"/>
      <c r="LA158" s="39"/>
      <c r="LB158" s="39"/>
      <c r="LC158" s="39"/>
      <c r="LD158" s="39"/>
      <c r="LE158" s="39"/>
      <c r="LF158" s="39"/>
      <c r="LG158" s="39"/>
      <c r="LH158" s="39"/>
      <c r="LI158" s="39"/>
      <c r="LJ158" s="39"/>
      <c r="LK158" s="39"/>
      <c r="LL158" s="39"/>
      <c r="LM158" s="39"/>
      <c r="LN158" s="39"/>
      <c r="LO158" s="39"/>
      <c r="LP158" s="39"/>
      <c r="LQ158" s="39"/>
      <c r="LR158" s="39"/>
      <c r="LS158" s="39"/>
      <c r="LT158" s="39"/>
      <c r="LU158" s="39"/>
      <c r="LV158" s="39"/>
      <c r="LW158" s="39"/>
      <c r="LX158" s="39"/>
      <c r="LY158" s="39"/>
      <c r="LZ158" s="39"/>
      <c r="MA158" s="39"/>
      <c r="MB158" s="39"/>
      <c r="MC158" s="39"/>
      <c r="MD158" s="39"/>
      <c r="ME158" s="39"/>
      <c r="MF158" s="39"/>
      <c r="MG158" s="39"/>
      <c r="MH158" s="39"/>
      <c r="MI158" s="39"/>
      <c r="MJ158" s="39"/>
      <c r="MK158" s="39"/>
      <c r="ML158" s="39"/>
      <c r="MM158" s="39"/>
      <c r="MN158" s="39"/>
      <c r="MO158" s="39"/>
      <c r="MP158" s="39"/>
      <c r="MQ158" s="39"/>
      <c r="MR158" s="39"/>
      <c r="MS158" s="39"/>
      <c r="MT158" s="39"/>
      <c r="MU158" s="39"/>
      <c r="MV158" s="39"/>
      <c r="MW158" s="39"/>
      <c r="MX158" s="39"/>
      <c r="MY158" s="39"/>
      <c r="MZ158" s="39"/>
      <c r="NA158" s="39"/>
      <c r="NB158" s="39"/>
      <c r="NC158" s="39"/>
      <c r="ND158" s="39"/>
      <c r="NE158" s="39"/>
      <c r="NF158" s="39"/>
      <c r="NG158" s="39"/>
      <c r="NH158" s="39"/>
      <c r="NI158" s="39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/>
      <c r="NT158" s="39"/>
      <c r="NU158" s="39"/>
      <c r="NV158" s="39"/>
      <c r="NW158" s="39"/>
      <c r="NX158" s="39"/>
      <c r="NY158" s="39"/>
      <c r="NZ158" s="39"/>
      <c r="OA158" s="39"/>
      <c r="OB158" s="39"/>
      <c r="OC158" s="39"/>
      <c r="OD158" s="39"/>
      <c r="OE158" s="39"/>
      <c r="OF158" s="39"/>
      <c r="OG158" s="39"/>
      <c r="OH158" s="39"/>
      <c r="OI158" s="39"/>
      <c r="OJ158" s="39"/>
      <c r="OK158" s="39"/>
      <c r="OL158" s="39"/>
      <c r="OM158" s="39"/>
      <c r="ON158" s="39"/>
      <c r="OO158" s="39"/>
      <c r="OP158" s="39"/>
      <c r="OQ158" s="39"/>
      <c r="OR158" s="39"/>
      <c r="OS158" s="39"/>
      <c r="OT158" s="39"/>
      <c r="OU158" s="39"/>
      <c r="OV158" s="39"/>
      <c r="OW158" s="39"/>
      <c r="OX158" s="39"/>
      <c r="OY158" s="39"/>
      <c r="OZ158" s="39"/>
      <c r="PA158" s="39"/>
      <c r="PB158" s="39"/>
      <c r="PC158" s="39"/>
      <c r="PD158" s="39"/>
      <c r="PE158" s="39"/>
      <c r="PF158" s="39"/>
      <c r="PG158" s="39"/>
      <c r="PH158" s="39"/>
      <c r="PI158" s="39"/>
      <c r="PJ158" s="39"/>
      <c r="PK158" s="39"/>
      <c r="PL158" s="39"/>
      <c r="PM158" s="39"/>
      <c r="PN158" s="39"/>
      <c r="PO158" s="39"/>
      <c r="PP158" s="39"/>
      <c r="PQ158" s="39"/>
      <c r="PR158" s="39"/>
      <c r="PS158" s="39"/>
      <c r="PT158" s="39"/>
      <c r="PU158" s="39"/>
      <c r="PV158" s="39"/>
      <c r="PW158" s="39"/>
      <c r="PX158" s="39"/>
      <c r="PY158" s="39"/>
      <c r="PZ158" s="39"/>
      <c r="QA158" s="39"/>
      <c r="QB158" s="39"/>
      <c r="QC158" s="39"/>
      <c r="QD158" s="39"/>
      <c r="QE158" s="39"/>
      <c r="QF158" s="39"/>
      <c r="QG158" s="39"/>
      <c r="QH158" s="39"/>
      <c r="QI158" s="39"/>
      <c r="QJ158" s="39"/>
      <c r="QK158" s="39"/>
      <c r="QL158" s="39"/>
      <c r="QM158" s="39"/>
      <c r="QN158" s="39"/>
      <c r="QO158" s="39"/>
      <c r="QP158" s="39"/>
      <c r="QQ158" s="39"/>
      <c r="QR158" s="39"/>
      <c r="QS158" s="39"/>
      <c r="QT158" s="39"/>
      <c r="QU158" s="39"/>
      <c r="QV158" s="39"/>
      <c r="QW158" s="39"/>
      <c r="QX158" s="39"/>
      <c r="QY158" s="39"/>
      <c r="QZ158" s="39"/>
      <c r="RA158" s="39"/>
      <c r="RB158" s="39"/>
      <c r="RC158" s="39"/>
      <c r="RD158" s="39"/>
      <c r="RE158" s="39"/>
      <c r="RF158" s="39"/>
      <c r="RG158" s="39"/>
      <c r="RH158" s="39"/>
      <c r="RI158" s="39"/>
      <c r="RJ158" s="39"/>
      <c r="RK158" s="39"/>
      <c r="RL158" s="39"/>
      <c r="RM158" s="39"/>
      <c r="RN158" s="39"/>
      <c r="RO158" s="39"/>
      <c r="RP158" s="39"/>
      <c r="RQ158" s="39"/>
      <c r="RR158" s="39"/>
      <c r="RS158" s="39"/>
      <c r="RT158" s="39"/>
      <c r="RU158" s="39"/>
      <c r="RV158" s="39"/>
      <c r="RW158" s="39"/>
      <c r="RX158" s="39"/>
      <c r="RY158" s="39"/>
      <c r="RZ158" s="39"/>
      <c r="SA158" s="39"/>
      <c r="SB158" s="39"/>
      <c r="SC158" s="39"/>
      <c r="SD158" s="39"/>
      <c r="SE158" s="39"/>
      <c r="SF158" s="39"/>
      <c r="SG158" s="39"/>
      <c r="SH158" s="39"/>
      <c r="SI158" s="39"/>
      <c r="SJ158" s="39"/>
      <c r="SK158" s="39"/>
      <c r="SL158" s="39"/>
      <c r="SM158" s="39"/>
      <c r="SN158" s="39"/>
      <c r="SO158" s="39"/>
      <c r="SP158" s="39"/>
      <c r="SQ158" s="39"/>
      <c r="SR158" s="39"/>
      <c r="SS158" s="39"/>
      <c r="ST158" s="39"/>
      <c r="SU158" s="39"/>
      <c r="SV158" s="39"/>
      <c r="SW158" s="39"/>
      <c r="SX158" s="39"/>
      <c r="SY158" s="39"/>
      <c r="SZ158" s="39"/>
      <c r="TA158" s="39"/>
      <c r="TB158" s="39"/>
      <c r="TC158" s="39"/>
      <c r="TD158" s="39"/>
      <c r="TE158" s="39"/>
      <c r="TF158" s="39"/>
      <c r="TG158" s="39"/>
      <c r="TH158" s="39"/>
      <c r="TI158" s="39"/>
    </row>
    <row r="159" spans="1:529" s="23" customFormat="1" ht="42.75" customHeight="1" x14ac:dyDescent="0.25">
      <c r="A159" s="43" t="s">
        <v>207</v>
      </c>
      <c r="B159" s="44" t="str">
        <f>'дод 4'!A20</f>
        <v>0160</v>
      </c>
      <c r="C159" s="44" t="str">
        <f>'дод 4'!B20</f>
        <v>0111</v>
      </c>
      <c r="D159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59" s="69">
        <f>F159+I159</f>
        <v>4986700</v>
      </c>
      <c r="F159" s="69">
        <f>5240600+10300-253200-11000</f>
        <v>4986700</v>
      </c>
      <c r="G159" s="69">
        <f>4150400-207600-9000</f>
        <v>3933800</v>
      </c>
      <c r="H159" s="69">
        <v>57500</v>
      </c>
      <c r="I159" s="69"/>
      <c r="J159" s="69">
        <f>L159+O159</f>
        <v>0</v>
      </c>
      <c r="K159" s="69"/>
      <c r="L159" s="69"/>
      <c r="M159" s="69"/>
      <c r="N159" s="69"/>
      <c r="O159" s="69"/>
      <c r="P159" s="69">
        <f>E159+J159</f>
        <v>4986700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23" customFormat="1" ht="60" x14ac:dyDescent="0.25">
      <c r="A160" s="43" t="s">
        <v>368</v>
      </c>
      <c r="B160" s="44">
        <v>3111</v>
      </c>
      <c r="C160" s="44">
        <v>1040</v>
      </c>
      <c r="D160" s="22" t="str">
        <f>'дод 4'!C83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60" s="69">
        <f>F160+I160</f>
        <v>0</v>
      </c>
      <c r="F160" s="69"/>
      <c r="G160" s="69"/>
      <c r="H160" s="69"/>
      <c r="I160" s="69"/>
      <c r="J160" s="69">
        <f t="shared" ref="J160:J161" si="65">L160+O160</f>
        <v>20000</v>
      </c>
      <c r="K160" s="69">
        <v>20000</v>
      </c>
      <c r="L160" s="69"/>
      <c r="M160" s="69"/>
      <c r="N160" s="69"/>
      <c r="O160" s="69">
        <v>20000</v>
      </c>
      <c r="P160" s="69">
        <f>E160+J160</f>
        <v>20000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23" customFormat="1" ht="36.75" customHeight="1" x14ac:dyDescent="0.25">
      <c r="A161" s="43" t="s">
        <v>208</v>
      </c>
      <c r="B161" s="44" t="str">
        <f>'дод 4'!A84</f>
        <v>3112</v>
      </c>
      <c r="C161" s="44" t="str">
        <f>'дод 4'!B84</f>
        <v>1040</v>
      </c>
      <c r="D161" s="24" t="str">
        <f>'дод 4'!C84</f>
        <v>Заходи державної політики з питань дітей та їх соціального захисту</v>
      </c>
      <c r="E161" s="69">
        <f>F161+I161</f>
        <v>90500</v>
      </c>
      <c r="F161" s="69">
        <v>90500</v>
      </c>
      <c r="G161" s="69"/>
      <c r="H161" s="69"/>
      <c r="I161" s="69"/>
      <c r="J161" s="69">
        <f t="shared" si="65"/>
        <v>0</v>
      </c>
      <c r="K161" s="69"/>
      <c r="L161" s="69"/>
      <c r="M161" s="69"/>
      <c r="N161" s="69"/>
      <c r="O161" s="69"/>
      <c r="P161" s="69">
        <f>E161+J161</f>
        <v>90500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</row>
    <row r="162" spans="1:529" s="31" customFormat="1" ht="22.5" customHeight="1" x14ac:dyDescent="0.2">
      <c r="A162" s="156" t="s">
        <v>29</v>
      </c>
      <c r="B162" s="74"/>
      <c r="C162" s="74"/>
      <c r="D162" s="30" t="s">
        <v>370</v>
      </c>
      <c r="E162" s="66">
        <f>E163</f>
        <v>65030815</v>
      </c>
      <c r="F162" s="66">
        <f t="shared" ref="F162:J162" si="66">F163</f>
        <v>65030815</v>
      </c>
      <c r="G162" s="66">
        <f t="shared" si="66"/>
        <v>47805300</v>
      </c>
      <c r="H162" s="66">
        <f t="shared" si="66"/>
        <v>2002760</v>
      </c>
      <c r="I162" s="66">
        <f t="shared" si="66"/>
        <v>0</v>
      </c>
      <c r="J162" s="66">
        <f t="shared" si="66"/>
        <v>4109635</v>
      </c>
      <c r="K162" s="66">
        <f t="shared" ref="K162" si="67">K163</f>
        <v>1290995</v>
      </c>
      <c r="L162" s="66">
        <f t="shared" ref="L162" si="68">L163</f>
        <v>2813920</v>
      </c>
      <c r="M162" s="66">
        <f t="shared" ref="M162" si="69">M163</f>
        <v>2279416</v>
      </c>
      <c r="N162" s="66">
        <f t="shared" ref="N162" si="70">N163</f>
        <v>3300</v>
      </c>
      <c r="O162" s="66">
        <f t="shared" ref="O162:P162" si="71">O163</f>
        <v>1295715</v>
      </c>
      <c r="P162" s="66">
        <f t="shared" si="71"/>
        <v>69140450</v>
      </c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/>
      <c r="OI162" s="38"/>
      <c r="OJ162" s="38"/>
      <c r="OK162" s="38"/>
      <c r="OL162" s="38"/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38"/>
      <c r="PM162" s="38"/>
      <c r="PN162" s="38"/>
      <c r="PO162" s="38"/>
      <c r="PP162" s="38"/>
      <c r="PQ162" s="38"/>
      <c r="PR162" s="38"/>
      <c r="PS162" s="38"/>
      <c r="PT162" s="38"/>
      <c r="PU162" s="38"/>
      <c r="PV162" s="38"/>
      <c r="PW162" s="38"/>
      <c r="PX162" s="38"/>
      <c r="PY162" s="38"/>
      <c r="PZ162" s="38"/>
      <c r="QA162" s="38"/>
      <c r="QB162" s="38"/>
      <c r="QC162" s="38"/>
      <c r="QD162" s="38"/>
      <c r="QE162" s="38"/>
      <c r="QF162" s="38"/>
      <c r="QG162" s="38"/>
      <c r="QH162" s="38"/>
      <c r="QI162" s="38"/>
      <c r="QJ162" s="38"/>
      <c r="QK162" s="38"/>
      <c r="QL162" s="38"/>
      <c r="QM162" s="38"/>
      <c r="QN162" s="38"/>
      <c r="QO162" s="38"/>
      <c r="QP162" s="38"/>
      <c r="QQ162" s="38"/>
      <c r="QR162" s="38"/>
      <c r="QS162" s="38"/>
      <c r="QT162" s="38"/>
      <c r="QU162" s="38"/>
      <c r="QV162" s="38"/>
      <c r="QW162" s="38"/>
      <c r="QX162" s="38"/>
      <c r="QY162" s="38"/>
      <c r="QZ162" s="38"/>
      <c r="RA162" s="38"/>
      <c r="RB162" s="38"/>
      <c r="RC162" s="38"/>
      <c r="RD162" s="38"/>
      <c r="RE162" s="38"/>
      <c r="RF162" s="38"/>
      <c r="RG162" s="38"/>
      <c r="RH162" s="38"/>
      <c r="RI162" s="38"/>
      <c r="RJ162" s="38"/>
      <c r="RK162" s="38"/>
      <c r="RL162" s="38"/>
      <c r="RM162" s="38"/>
      <c r="RN162" s="38"/>
      <c r="RO162" s="38"/>
      <c r="RP162" s="38"/>
      <c r="RQ162" s="38"/>
      <c r="RR162" s="38"/>
      <c r="RS162" s="38"/>
      <c r="RT162" s="38"/>
      <c r="RU162" s="38"/>
      <c r="RV162" s="38"/>
      <c r="RW162" s="38"/>
      <c r="RX162" s="38"/>
      <c r="RY162" s="38"/>
      <c r="RZ162" s="38"/>
      <c r="SA162" s="38"/>
      <c r="SB162" s="38"/>
      <c r="SC162" s="38"/>
      <c r="SD162" s="38"/>
      <c r="SE162" s="38"/>
      <c r="SF162" s="38"/>
      <c r="SG162" s="38"/>
      <c r="SH162" s="38"/>
      <c r="SI162" s="38"/>
      <c r="SJ162" s="38"/>
      <c r="SK162" s="38"/>
      <c r="SL162" s="38"/>
      <c r="SM162" s="38"/>
      <c r="SN162" s="38"/>
      <c r="SO162" s="38"/>
      <c r="SP162" s="38"/>
      <c r="SQ162" s="38"/>
      <c r="SR162" s="38"/>
      <c r="SS162" s="38"/>
      <c r="ST162" s="38"/>
      <c r="SU162" s="38"/>
      <c r="SV162" s="38"/>
      <c r="SW162" s="38"/>
      <c r="SX162" s="38"/>
      <c r="SY162" s="38"/>
      <c r="SZ162" s="38"/>
      <c r="TA162" s="38"/>
      <c r="TB162" s="38"/>
      <c r="TC162" s="38"/>
      <c r="TD162" s="38"/>
      <c r="TE162" s="38"/>
      <c r="TF162" s="38"/>
      <c r="TG162" s="38"/>
      <c r="TH162" s="38"/>
      <c r="TI162" s="38"/>
    </row>
    <row r="163" spans="1:529" s="40" customFormat="1" ht="21.75" customHeight="1" x14ac:dyDescent="0.25">
      <c r="A163" s="76" t="s">
        <v>209</v>
      </c>
      <c r="B163" s="75"/>
      <c r="C163" s="75"/>
      <c r="D163" s="33" t="s">
        <v>370</v>
      </c>
      <c r="E163" s="68">
        <f>E164+E165+E166+E168+E169++E170+E167+E171</f>
        <v>65030815</v>
      </c>
      <c r="F163" s="68">
        <f t="shared" ref="F163:P163" si="72">F164+F165+F166+F168+F169++F170+F167+F171</f>
        <v>65030815</v>
      </c>
      <c r="G163" s="68">
        <f t="shared" si="72"/>
        <v>47805300</v>
      </c>
      <c r="H163" s="68">
        <f t="shared" si="72"/>
        <v>2002760</v>
      </c>
      <c r="I163" s="68">
        <f t="shared" si="72"/>
        <v>0</v>
      </c>
      <c r="J163" s="68">
        <f t="shared" si="72"/>
        <v>4109635</v>
      </c>
      <c r="K163" s="68">
        <f>K164+K165+K166+K168+K169++K170+K167+K171</f>
        <v>1290995</v>
      </c>
      <c r="L163" s="68">
        <f t="shared" si="72"/>
        <v>2813920</v>
      </c>
      <c r="M163" s="68">
        <f t="shared" si="72"/>
        <v>2279416</v>
      </c>
      <c r="N163" s="68">
        <f t="shared" si="72"/>
        <v>3300</v>
      </c>
      <c r="O163" s="68">
        <f t="shared" si="72"/>
        <v>1295715</v>
      </c>
      <c r="P163" s="68">
        <f t="shared" si="72"/>
        <v>69140450</v>
      </c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/>
      <c r="KN163" s="39"/>
      <c r="KO163" s="39"/>
      <c r="KP163" s="39"/>
      <c r="KQ163" s="39"/>
      <c r="KR163" s="39"/>
      <c r="KS163" s="39"/>
      <c r="KT163" s="39"/>
      <c r="KU163" s="39"/>
      <c r="KV163" s="39"/>
      <c r="KW163" s="39"/>
      <c r="KX163" s="39"/>
      <c r="KY163" s="39"/>
      <c r="KZ163" s="39"/>
      <c r="LA163" s="39"/>
      <c r="LB163" s="39"/>
      <c r="LC163" s="39"/>
      <c r="LD163" s="39"/>
      <c r="LE163" s="39"/>
      <c r="LF163" s="39"/>
      <c r="LG163" s="39"/>
      <c r="LH163" s="39"/>
      <c r="LI163" s="39"/>
      <c r="LJ163" s="39"/>
      <c r="LK163" s="39"/>
      <c r="LL163" s="39"/>
      <c r="LM163" s="39"/>
      <c r="LN163" s="39"/>
      <c r="LO163" s="39"/>
      <c r="LP163" s="39"/>
      <c r="LQ163" s="39"/>
      <c r="LR163" s="39"/>
      <c r="LS163" s="39"/>
      <c r="LT163" s="39"/>
      <c r="LU163" s="39"/>
      <c r="LV163" s="39"/>
      <c r="LW163" s="39"/>
      <c r="LX163" s="39"/>
      <c r="LY163" s="39"/>
      <c r="LZ163" s="39"/>
      <c r="MA163" s="39"/>
      <c r="MB163" s="39"/>
      <c r="MC163" s="39"/>
      <c r="MD163" s="39"/>
      <c r="ME163" s="39"/>
      <c r="MF163" s="39"/>
      <c r="MG163" s="39"/>
      <c r="MH163" s="39"/>
      <c r="MI163" s="39"/>
      <c r="MJ163" s="39"/>
      <c r="MK163" s="39"/>
      <c r="ML163" s="39"/>
      <c r="MM163" s="39"/>
      <c r="MN163" s="39"/>
      <c r="MO163" s="39"/>
      <c r="MP163" s="39"/>
      <c r="MQ163" s="39"/>
      <c r="MR163" s="39"/>
      <c r="MS163" s="39"/>
      <c r="MT163" s="39"/>
      <c r="MU163" s="39"/>
      <c r="MV163" s="39"/>
      <c r="MW163" s="39"/>
      <c r="MX163" s="39"/>
      <c r="MY163" s="39"/>
      <c r="MZ163" s="39"/>
      <c r="NA163" s="39"/>
      <c r="NB163" s="39"/>
      <c r="NC163" s="39"/>
      <c r="ND163" s="39"/>
      <c r="NE163" s="39"/>
      <c r="NF163" s="39"/>
      <c r="NG163" s="39"/>
      <c r="NH163" s="39"/>
      <c r="NI163" s="39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/>
      <c r="NT163" s="39"/>
      <c r="NU163" s="39"/>
      <c r="NV163" s="39"/>
      <c r="NW163" s="39"/>
      <c r="NX163" s="39"/>
      <c r="NY163" s="39"/>
      <c r="NZ163" s="39"/>
      <c r="OA163" s="39"/>
      <c r="OB163" s="39"/>
      <c r="OC163" s="39"/>
      <c r="OD163" s="39"/>
      <c r="OE163" s="39"/>
      <c r="OF163" s="39"/>
      <c r="OG163" s="39"/>
      <c r="OH163" s="39"/>
      <c r="OI163" s="39"/>
      <c r="OJ163" s="39"/>
      <c r="OK163" s="39"/>
      <c r="OL163" s="39"/>
      <c r="OM163" s="39"/>
      <c r="ON163" s="39"/>
      <c r="OO163" s="39"/>
      <c r="OP163" s="39"/>
      <c r="OQ163" s="39"/>
      <c r="OR163" s="39"/>
      <c r="OS163" s="39"/>
      <c r="OT163" s="39"/>
      <c r="OU163" s="39"/>
      <c r="OV163" s="39"/>
      <c r="OW163" s="39"/>
      <c r="OX163" s="39"/>
      <c r="OY163" s="39"/>
      <c r="OZ163" s="39"/>
      <c r="PA163" s="39"/>
      <c r="PB163" s="39"/>
      <c r="PC163" s="39"/>
      <c r="PD163" s="39"/>
      <c r="PE163" s="39"/>
      <c r="PF163" s="39"/>
      <c r="PG163" s="39"/>
      <c r="PH163" s="39"/>
      <c r="PI163" s="39"/>
      <c r="PJ163" s="39"/>
      <c r="PK163" s="39"/>
      <c r="PL163" s="39"/>
      <c r="PM163" s="39"/>
      <c r="PN163" s="39"/>
      <c r="PO163" s="39"/>
      <c r="PP163" s="39"/>
      <c r="PQ163" s="39"/>
      <c r="PR163" s="39"/>
      <c r="PS163" s="39"/>
      <c r="PT163" s="39"/>
      <c r="PU163" s="39"/>
      <c r="PV163" s="39"/>
      <c r="PW163" s="39"/>
      <c r="PX163" s="39"/>
      <c r="PY163" s="39"/>
      <c r="PZ163" s="39"/>
      <c r="QA163" s="39"/>
      <c r="QB163" s="39"/>
      <c r="QC163" s="39"/>
      <c r="QD163" s="39"/>
      <c r="QE163" s="39"/>
      <c r="QF163" s="39"/>
      <c r="QG163" s="39"/>
      <c r="QH163" s="39"/>
      <c r="QI163" s="39"/>
      <c r="QJ163" s="39"/>
      <c r="QK163" s="39"/>
      <c r="QL163" s="39"/>
      <c r="QM163" s="39"/>
      <c r="QN163" s="39"/>
      <c r="QO163" s="39"/>
      <c r="QP163" s="39"/>
      <c r="QQ163" s="39"/>
      <c r="QR163" s="39"/>
      <c r="QS163" s="39"/>
      <c r="QT163" s="39"/>
      <c r="QU163" s="39"/>
      <c r="QV163" s="39"/>
      <c r="QW163" s="39"/>
      <c r="QX163" s="39"/>
      <c r="QY163" s="39"/>
      <c r="QZ163" s="39"/>
      <c r="RA163" s="39"/>
      <c r="RB163" s="39"/>
      <c r="RC163" s="39"/>
      <c r="RD163" s="39"/>
      <c r="RE163" s="39"/>
      <c r="RF163" s="39"/>
      <c r="RG163" s="39"/>
      <c r="RH163" s="39"/>
      <c r="RI163" s="39"/>
      <c r="RJ163" s="39"/>
      <c r="RK163" s="39"/>
      <c r="RL163" s="39"/>
      <c r="RM163" s="39"/>
      <c r="RN163" s="39"/>
      <c r="RO163" s="39"/>
      <c r="RP163" s="39"/>
      <c r="RQ163" s="39"/>
      <c r="RR163" s="39"/>
      <c r="RS163" s="39"/>
      <c r="RT163" s="39"/>
      <c r="RU163" s="39"/>
      <c r="RV163" s="39"/>
      <c r="RW163" s="39"/>
      <c r="RX163" s="39"/>
      <c r="RY163" s="39"/>
      <c r="RZ163" s="39"/>
      <c r="SA163" s="39"/>
      <c r="SB163" s="39"/>
      <c r="SC163" s="39"/>
      <c r="SD163" s="39"/>
      <c r="SE163" s="39"/>
      <c r="SF163" s="39"/>
      <c r="SG163" s="39"/>
      <c r="SH163" s="39"/>
      <c r="SI163" s="39"/>
      <c r="SJ163" s="39"/>
      <c r="SK163" s="39"/>
      <c r="SL163" s="39"/>
      <c r="SM163" s="39"/>
      <c r="SN163" s="39"/>
      <c r="SO163" s="39"/>
      <c r="SP163" s="39"/>
      <c r="SQ163" s="39"/>
      <c r="SR163" s="39"/>
      <c r="SS163" s="39"/>
      <c r="ST163" s="39"/>
      <c r="SU163" s="39"/>
      <c r="SV163" s="39"/>
      <c r="SW163" s="39"/>
      <c r="SX163" s="39"/>
      <c r="SY163" s="39"/>
      <c r="SZ163" s="39"/>
      <c r="TA163" s="39"/>
      <c r="TB163" s="39"/>
      <c r="TC163" s="39"/>
      <c r="TD163" s="39"/>
      <c r="TE163" s="39"/>
      <c r="TF163" s="39"/>
      <c r="TG163" s="39"/>
      <c r="TH163" s="39"/>
      <c r="TI163" s="39"/>
    </row>
    <row r="164" spans="1:529" s="23" customFormat="1" ht="48" customHeight="1" x14ac:dyDescent="0.25">
      <c r="A164" s="43" t="s">
        <v>150</v>
      </c>
      <c r="B164" s="44" t="str">
        <f>'дод 4'!A20</f>
        <v>0160</v>
      </c>
      <c r="C164" s="44" t="str">
        <f>'дод 4'!B20</f>
        <v>0111</v>
      </c>
      <c r="D164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64" s="69">
        <f t="shared" ref="E164:E171" si="73">F164+I164</f>
        <v>1905700</v>
      </c>
      <c r="F164" s="69">
        <f>1862800+4400-90500+134000-5000</f>
        <v>1905700</v>
      </c>
      <c r="G164" s="69">
        <f>1461200-74200-4100</f>
        <v>1382900</v>
      </c>
      <c r="H164" s="69">
        <v>17700</v>
      </c>
      <c r="I164" s="69"/>
      <c r="J164" s="69">
        <f>L164+O164</f>
        <v>0</v>
      </c>
      <c r="K164" s="69"/>
      <c r="L164" s="69"/>
      <c r="M164" s="69"/>
      <c r="N164" s="69"/>
      <c r="O164" s="69"/>
      <c r="P164" s="69">
        <f t="shared" ref="P164:P171" si="74">E164+J164</f>
        <v>1905700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</row>
    <row r="165" spans="1:529" s="23" customFormat="1" ht="33.75" customHeight="1" x14ac:dyDescent="0.25">
      <c r="A165" s="43" t="s">
        <v>240</v>
      </c>
      <c r="B165" s="44" t="str">
        <f>'дод 4'!A42</f>
        <v>1100</v>
      </c>
      <c r="C165" s="44" t="str">
        <f>'дод 4'!B42</f>
        <v>0960</v>
      </c>
      <c r="D165" s="24" t="str">
        <f>'дод 4'!C42</f>
        <v>Надання спеціальної освіти мистецькими школами</v>
      </c>
      <c r="E165" s="69">
        <f t="shared" si="73"/>
        <v>39034600</v>
      </c>
      <c r="F165" s="69">
        <f>38963600+75000+63000+13000-80000</f>
        <v>39034600</v>
      </c>
      <c r="G165" s="69">
        <v>30830000</v>
      </c>
      <c r="H165" s="69">
        <f>793600-80000</f>
        <v>713600</v>
      </c>
      <c r="I165" s="69"/>
      <c r="J165" s="69">
        <f t="shared" ref="J165:J171" si="75">L165+O165</f>
        <v>3336640</v>
      </c>
      <c r="K165" s="69">
        <f>100000+400000+7000+5000+30000+15000</f>
        <v>557000</v>
      </c>
      <c r="L165" s="69">
        <v>2774920</v>
      </c>
      <c r="M165" s="69">
        <v>2267316</v>
      </c>
      <c r="N165" s="69"/>
      <c r="O165" s="69">
        <f>4720+500000+7000+5000+30000+15000</f>
        <v>561720</v>
      </c>
      <c r="P165" s="69">
        <f t="shared" si="74"/>
        <v>42371240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</row>
    <row r="166" spans="1:529" s="23" customFormat="1" ht="21" customHeight="1" x14ac:dyDescent="0.25">
      <c r="A166" s="43" t="s">
        <v>210</v>
      </c>
      <c r="B166" s="44" t="str">
        <f>'дод 4'!A102</f>
        <v>4030</v>
      </c>
      <c r="C166" s="44" t="str">
        <f>'дод 4'!B102</f>
        <v>0824</v>
      </c>
      <c r="D166" s="24" t="str">
        <f>'дод 4'!C102</f>
        <v>Забезпечення діяльності бібліотек</v>
      </c>
      <c r="E166" s="69">
        <f t="shared" si="73"/>
        <v>19183964</v>
      </c>
      <c r="F166" s="69">
        <f>19098200+20000+169535+7000+8350-18671+18550-119000</f>
        <v>19183964</v>
      </c>
      <c r="G166" s="69">
        <f>13804000-15304</f>
        <v>13788696</v>
      </c>
      <c r="H166" s="69">
        <f>1346200-119000</f>
        <v>1227200</v>
      </c>
      <c r="I166" s="69"/>
      <c r="J166" s="69">
        <f t="shared" si="75"/>
        <v>346795</v>
      </c>
      <c r="K166" s="69">
        <f>100000+216795</f>
        <v>316795</v>
      </c>
      <c r="L166" s="69">
        <v>30000</v>
      </c>
      <c r="M166" s="69">
        <v>12100</v>
      </c>
      <c r="N166" s="69"/>
      <c r="O166" s="69">
        <f>100000+216795</f>
        <v>316795</v>
      </c>
      <c r="P166" s="69">
        <f t="shared" si="74"/>
        <v>19530759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3" customFormat="1" ht="27.75" customHeight="1" x14ac:dyDescent="0.25">
      <c r="A167" s="43">
        <v>1014060</v>
      </c>
      <c r="B167" s="44" t="str">
        <f>'дод 4'!A103</f>
        <v>4060</v>
      </c>
      <c r="C167" s="44" t="str">
        <f>'дод 4'!B103</f>
        <v>0828</v>
      </c>
      <c r="D167" s="24" t="str">
        <f>'дод 4'!C103</f>
        <v>Забезпечення діяльності палаців i будинків культури, клубів, центрів дозвілля та iнших клубних закладів</v>
      </c>
      <c r="E167" s="69">
        <f t="shared" si="73"/>
        <v>628280</v>
      </c>
      <c r="F167" s="69">
        <f>546680+61800+19800</f>
        <v>628280</v>
      </c>
      <c r="G167" s="69">
        <v>424400</v>
      </c>
      <c r="H167" s="69">
        <v>11360</v>
      </c>
      <c r="I167" s="69"/>
      <c r="J167" s="69">
        <f t="shared" si="75"/>
        <v>27200</v>
      </c>
      <c r="K167" s="69">
        <v>21200</v>
      </c>
      <c r="L167" s="69">
        <v>6000</v>
      </c>
      <c r="M167" s="69"/>
      <c r="N167" s="69">
        <v>3300</v>
      </c>
      <c r="O167" s="69">
        <v>21200</v>
      </c>
      <c r="P167" s="69">
        <f t="shared" si="74"/>
        <v>655480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</row>
    <row r="168" spans="1:529" s="27" customFormat="1" ht="33.75" customHeight="1" x14ac:dyDescent="0.25">
      <c r="A168" s="43">
        <v>1014081</v>
      </c>
      <c r="B168" s="44" t="str">
        <f>'дод 4'!A104</f>
        <v>4081</v>
      </c>
      <c r="C168" s="44" t="str">
        <f>'дод 4'!B104</f>
        <v>0829</v>
      </c>
      <c r="D168" s="24" t="str">
        <f>'дод 4'!C104</f>
        <v>Забезпечення діяльності інших закладів в галузі культури і мистецтва</v>
      </c>
      <c r="E168" s="69">
        <f t="shared" si="73"/>
        <v>1821671</v>
      </c>
      <c r="F168" s="69">
        <f>1803000+18671</f>
        <v>1821671</v>
      </c>
      <c r="G168" s="69">
        <f>1364000+15304</f>
        <v>1379304</v>
      </c>
      <c r="H168" s="69">
        <v>32900</v>
      </c>
      <c r="I168" s="69"/>
      <c r="J168" s="69">
        <f t="shared" si="75"/>
        <v>0</v>
      </c>
      <c r="K168" s="69"/>
      <c r="L168" s="69"/>
      <c r="M168" s="69"/>
      <c r="N168" s="69"/>
      <c r="O168" s="69"/>
      <c r="P168" s="69">
        <f t="shared" si="74"/>
        <v>1821671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6"/>
      <c r="KK168" s="36"/>
      <c r="KL168" s="36"/>
      <c r="KM168" s="36"/>
      <c r="KN168" s="36"/>
      <c r="KO168" s="36"/>
      <c r="KP168" s="36"/>
      <c r="KQ168" s="36"/>
      <c r="KR168" s="36"/>
      <c r="KS168" s="36"/>
      <c r="KT168" s="36"/>
      <c r="KU168" s="36"/>
      <c r="KV168" s="36"/>
      <c r="KW168" s="36"/>
      <c r="KX168" s="36"/>
      <c r="KY168" s="36"/>
      <c r="KZ168" s="36"/>
      <c r="LA168" s="36"/>
      <c r="LB168" s="36"/>
      <c r="LC168" s="36"/>
      <c r="LD168" s="36"/>
      <c r="LE168" s="36"/>
      <c r="LF168" s="36"/>
      <c r="LG168" s="36"/>
      <c r="LH168" s="36"/>
      <c r="LI168" s="36"/>
      <c r="LJ168" s="36"/>
      <c r="LK168" s="36"/>
      <c r="LL168" s="36"/>
      <c r="LM168" s="36"/>
      <c r="LN168" s="36"/>
      <c r="LO168" s="36"/>
      <c r="LP168" s="36"/>
      <c r="LQ168" s="36"/>
      <c r="LR168" s="36"/>
      <c r="LS168" s="36"/>
      <c r="LT168" s="36"/>
      <c r="LU168" s="36"/>
      <c r="LV168" s="36"/>
      <c r="LW168" s="36"/>
      <c r="LX168" s="36"/>
      <c r="LY168" s="36"/>
      <c r="LZ168" s="36"/>
      <c r="MA168" s="36"/>
      <c r="MB168" s="36"/>
      <c r="MC168" s="36"/>
      <c r="MD168" s="36"/>
      <c r="ME168" s="36"/>
      <c r="MF168" s="36"/>
      <c r="MG168" s="36"/>
      <c r="MH168" s="36"/>
      <c r="MI168" s="36"/>
      <c r="MJ168" s="36"/>
      <c r="MK168" s="36"/>
      <c r="ML168" s="36"/>
      <c r="MM168" s="36"/>
      <c r="MN168" s="36"/>
      <c r="MO168" s="36"/>
      <c r="MP168" s="36"/>
      <c r="MQ168" s="36"/>
      <c r="MR168" s="36"/>
      <c r="MS168" s="36"/>
      <c r="MT168" s="36"/>
      <c r="MU168" s="36"/>
      <c r="MV168" s="36"/>
      <c r="MW168" s="36"/>
      <c r="MX168" s="36"/>
      <c r="MY168" s="36"/>
      <c r="MZ168" s="36"/>
      <c r="NA168" s="36"/>
      <c r="NB168" s="36"/>
      <c r="NC168" s="36"/>
      <c r="ND168" s="36"/>
      <c r="NE168" s="36"/>
      <c r="NF168" s="36"/>
      <c r="NG168" s="36"/>
      <c r="NH168" s="36"/>
      <c r="NI168" s="36"/>
      <c r="NJ168" s="36"/>
      <c r="NK168" s="36"/>
      <c r="NL168" s="36"/>
      <c r="NM168" s="36"/>
      <c r="NN168" s="36"/>
      <c r="NO168" s="36"/>
      <c r="NP168" s="36"/>
      <c r="NQ168" s="36"/>
      <c r="NR168" s="36"/>
      <c r="NS168" s="36"/>
      <c r="NT168" s="36"/>
      <c r="NU168" s="36"/>
      <c r="NV168" s="36"/>
      <c r="NW168" s="36"/>
      <c r="NX168" s="36"/>
      <c r="NY168" s="36"/>
      <c r="NZ168" s="36"/>
      <c r="OA168" s="36"/>
      <c r="OB168" s="36"/>
      <c r="OC168" s="36"/>
      <c r="OD168" s="36"/>
      <c r="OE168" s="36"/>
      <c r="OF168" s="36"/>
      <c r="OG168" s="36"/>
      <c r="OH168" s="36"/>
      <c r="OI168" s="36"/>
      <c r="OJ168" s="36"/>
      <c r="OK168" s="36"/>
      <c r="OL168" s="36"/>
      <c r="OM168" s="36"/>
      <c r="ON168" s="36"/>
      <c r="OO168" s="36"/>
      <c r="OP168" s="36"/>
      <c r="OQ168" s="36"/>
      <c r="OR168" s="36"/>
      <c r="OS168" s="36"/>
      <c r="OT168" s="36"/>
      <c r="OU168" s="36"/>
      <c r="OV168" s="36"/>
      <c r="OW168" s="36"/>
      <c r="OX168" s="36"/>
      <c r="OY168" s="36"/>
      <c r="OZ168" s="36"/>
      <c r="PA168" s="36"/>
      <c r="PB168" s="36"/>
      <c r="PC168" s="36"/>
      <c r="PD168" s="36"/>
      <c r="PE168" s="36"/>
      <c r="PF168" s="36"/>
      <c r="PG168" s="36"/>
      <c r="PH168" s="36"/>
      <c r="PI168" s="36"/>
      <c r="PJ168" s="36"/>
      <c r="PK168" s="36"/>
      <c r="PL168" s="36"/>
      <c r="PM168" s="36"/>
      <c r="PN168" s="36"/>
      <c r="PO168" s="36"/>
      <c r="PP168" s="36"/>
      <c r="PQ168" s="36"/>
      <c r="PR168" s="36"/>
      <c r="PS168" s="36"/>
      <c r="PT168" s="36"/>
      <c r="PU168" s="36"/>
      <c r="PV168" s="36"/>
      <c r="PW168" s="36"/>
      <c r="PX168" s="36"/>
      <c r="PY168" s="36"/>
      <c r="PZ168" s="36"/>
      <c r="QA168" s="36"/>
      <c r="QB168" s="36"/>
      <c r="QC168" s="36"/>
      <c r="QD168" s="36"/>
      <c r="QE168" s="36"/>
      <c r="QF168" s="36"/>
      <c r="QG168" s="36"/>
      <c r="QH168" s="36"/>
      <c r="QI168" s="36"/>
      <c r="QJ168" s="36"/>
      <c r="QK168" s="36"/>
      <c r="QL168" s="36"/>
      <c r="QM168" s="36"/>
      <c r="QN168" s="36"/>
      <c r="QO168" s="36"/>
      <c r="QP168" s="36"/>
      <c r="QQ168" s="36"/>
      <c r="QR168" s="36"/>
      <c r="QS168" s="36"/>
      <c r="QT168" s="36"/>
      <c r="QU168" s="36"/>
      <c r="QV168" s="36"/>
      <c r="QW168" s="36"/>
      <c r="QX168" s="36"/>
      <c r="QY168" s="36"/>
      <c r="QZ168" s="36"/>
      <c r="RA168" s="36"/>
      <c r="RB168" s="36"/>
      <c r="RC168" s="36"/>
      <c r="RD168" s="36"/>
      <c r="RE168" s="36"/>
      <c r="RF168" s="36"/>
      <c r="RG168" s="36"/>
      <c r="RH168" s="36"/>
      <c r="RI168" s="36"/>
      <c r="RJ168" s="36"/>
      <c r="RK168" s="36"/>
      <c r="RL168" s="36"/>
      <c r="RM168" s="36"/>
      <c r="RN168" s="36"/>
      <c r="RO168" s="36"/>
      <c r="RP168" s="36"/>
      <c r="RQ168" s="36"/>
      <c r="RR168" s="36"/>
      <c r="RS168" s="36"/>
      <c r="RT168" s="36"/>
      <c r="RU168" s="36"/>
      <c r="RV168" s="36"/>
      <c r="RW168" s="36"/>
      <c r="RX168" s="36"/>
      <c r="RY168" s="36"/>
      <c r="RZ168" s="36"/>
      <c r="SA168" s="36"/>
      <c r="SB168" s="36"/>
      <c r="SC168" s="36"/>
      <c r="SD168" s="36"/>
      <c r="SE168" s="36"/>
      <c r="SF168" s="36"/>
      <c r="SG168" s="36"/>
      <c r="SH168" s="36"/>
      <c r="SI168" s="36"/>
      <c r="SJ168" s="36"/>
      <c r="SK168" s="36"/>
      <c r="SL168" s="36"/>
      <c r="SM168" s="36"/>
      <c r="SN168" s="36"/>
      <c r="SO168" s="36"/>
      <c r="SP168" s="36"/>
      <c r="SQ168" s="36"/>
      <c r="SR168" s="36"/>
      <c r="SS168" s="36"/>
      <c r="ST168" s="36"/>
      <c r="SU168" s="36"/>
      <c r="SV168" s="36"/>
      <c r="SW168" s="36"/>
      <c r="SX168" s="36"/>
      <c r="SY168" s="36"/>
      <c r="SZ168" s="36"/>
      <c r="TA168" s="36"/>
      <c r="TB168" s="36"/>
      <c r="TC168" s="36"/>
      <c r="TD168" s="36"/>
      <c r="TE168" s="36"/>
      <c r="TF168" s="36"/>
      <c r="TG168" s="36"/>
      <c r="TH168" s="36"/>
      <c r="TI168" s="36"/>
    </row>
    <row r="169" spans="1:529" s="27" customFormat="1" ht="25.5" customHeight="1" x14ac:dyDescent="0.25">
      <c r="A169" s="43">
        <v>1014082</v>
      </c>
      <c r="B169" s="44" t="str">
        <f>'дод 4'!A105</f>
        <v>4082</v>
      </c>
      <c r="C169" s="44" t="str">
        <f>'дод 4'!B105</f>
        <v>0829</v>
      </c>
      <c r="D169" s="24" t="str">
        <f>'дод 4'!C105</f>
        <v>Інші заходи в галузі культури і мистецтва</v>
      </c>
      <c r="E169" s="69">
        <f t="shared" si="73"/>
        <v>2456600</v>
      </c>
      <c r="F169" s="69">
        <f>2265700+15000+100000+120000-44100</f>
        <v>2456600</v>
      </c>
      <c r="G169" s="69"/>
      <c r="H169" s="69"/>
      <c r="I169" s="69"/>
      <c r="J169" s="69">
        <f t="shared" si="75"/>
        <v>0</v>
      </c>
      <c r="K169" s="69"/>
      <c r="L169" s="69"/>
      <c r="M169" s="69"/>
      <c r="N169" s="69"/>
      <c r="O169" s="69"/>
      <c r="P169" s="69">
        <f t="shared" si="74"/>
        <v>2456600</v>
      </c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  <c r="HY169" s="36"/>
      <c r="HZ169" s="36"/>
      <c r="IA169" s="36"/>
      <c r="IB169" s="36"/>
      <c r="IC169" s="36"/>
      <c r="ID169" s="36"/>
      <c r="IE169" s="36"/>
      <c r="IF169" s="36"/>
      <c r="IG169" s="36"/>
      <c r="IH169" s="36"/>
      <c r="II169" s="36"/>
      <c r="IJ169" s="36"/>
      <c r="IK169" s="36"/>
      <c r="IL169" s="36"/>
      <c r="IM169" s="36"/>
      <c r="IN169" s="36"/>
      <c r="IO169" s="36"/>
      <c r="IP169" s="36"/>
      <c r="IQ169" s="36"/>
      <c r="IR169" s="36"/>
      <c r="IS169" s="36"/>
      <c r="IT169" s="36"/>
      <c r="IU169" s="36"/>
      <c r="IV169" s="36"/>
      <c r="IW169" s="36"/>
      <c r="IX169" s="36"/>
      <c r="IY169" s="36"/>
      <c r="IZ169" s="36"/>
      <c r="JA169" s="36"/>
      <c r="JB169" s="36"/>
      <c r="JC169" s="36"/>
      <c r="JD169" s="36"/>
      <c r="JE169" s="36"/>
      <c r="JF169" s="36"/>
      <c r="JG169" s="36"/>
      <c r="JH169" s="36"/>
      <c r="JI169" s="36"/>
      <c r="JJ169" s="36"/>
      <c r="JK169" s="36"/>
      <c r="JL169" s="36"/>
      <c r="JM169" s="36"/>
      <c r="JN169" s="36"/>
      <c r="JO169" s="36"/>
      <c r="JP169" s="36"/>
      <c r="JQ169" s="36"/>
      <c r="JR169" s="36"/>
      <c r="JS169" s="36"/>
      <c r="JT169" s="36"/>
      <c r="JU169" s="36"/>
      <c r="JV169" s="36"/>
      <c r="JW169" s="36"/>
      <c r="JX169" s="36"/>
      <c r="JY169" s="36"/>
      <c r="JZ169" s="36"/>
      <c r="KA169" s="36"/>
      <c r="KB169" s="36"/>
      <c r="KC169" s="36"/>
      <c r="KD169" s="36"/>
      <c r="KE169" s="36"/>
      <c r="KF169" s="36"/>
      <c r="KG169" s="36"/>
      <c r="KH169" s="36"/>
      <c r="KI169" s="36"/>
      <c r="KJ169" s="36"/>
      <c r="KK169" s="36"/>
      <c r="KL169" s="36"/>
      <c r="KM169" s="36"/>
      <c r="KN169" s="36"/>
      <c r="KO169" s="36"/>
      <c r="KP169" s="36"/>
      <c r="KQ169" s="36"/>
      <c r="KR169" s="36"/>
      <c r="KS169" s="36"/>
      <c r="KT169" s="36"/>
      <c r="KU169" s="36"/>
      <c r="KV169" s="36"/>
      <c r="KW169" s="36"/>
      <c r="KX169" s="36"/>
      <c r="KY169" s="36"/>
      <c r="KZ169" s="36"/>
      <c r="LA169" s="36"/>
      <c r="LB169" s="36"/>
      <c r="LC169" s="36"/>
      <c r="LD169" s="36"/>
      <c r="LE169" s="36"/>
      <c r="LF169" s="36"/>
      <c r="LG169" s="36"/>
      <c r="LH169" s="36"/>
      <c r="LI169" s="36"/>
      <c r="LJ169" s="36"/>
      <c r="LK169" s="36"/>
      <c r="LL169" s="36"/>
      <c r="LM169" s="36"/>
      <c r="LN169" s="36"/>
      <c r="LO169" s="36"/>
      <c r="LP169" s="36"/>
      <c r="LQ169" s="36"/>
      <c r="LR169" s="36"/>
      <c r="LS169" s="36"/>
      <c r="LT169" s="36"/>
      <c r="LU169" s="36"/>
      <c r="LV169" s="36"/>
      <c r="LW169" s="36"/>
      <c r="LX169" s="36"/>
      <c r="LY169" s="36"/>
      <c r="LZ169" s="36"/>
      <c r="MA169" s="36"/>
      <c r="MB169" s="36"/>
      <c r="MC169" s="36"/>
      <c r="MD169" s="36"/>
      <c r="ME169" s="36"/>
      <c r="MF169" s="36"/>
      <c r="MG169" s="36"/>
      <c r="MH169" s="36"/>
      <c r="MI169" s="36"/>
      <c r="MJ169" s="36"/>
      <c r="MK169" s="36"/>
      <c r="ML169" s="36"/>
      <c r="MM169" s="36"/>
      <c r="MN169" s="36"/>
      <c r="MO169" s="36"/>
      <c r="MP169" s="36"/>
      <c r="MQ169" s="36"/>
      <c r="MR169" s="36"/>
      <c r="MS169" s="36"/>
      <c r="MT169" s="36"/>
      <c r="MU169" s="36"/>
      <c r="MV169" s="36"/>
      <c r="MW169" s="36"/>
      <c r="MX169" s="36"/>
      <c r="MY169" s="36"/>
      <c r="MZ169" s="36"/>
      <c r="NA169" s="36"/>
      <c r="NB169" s="36"/>
      <c r="NC169" s="36"/>
      <c r="ND169" s="36"/>
      <c r="NE169" s="36"/>
      <c r="NF169" s="36"/>
      <c r="NG169" s="36"/>
      <c r="NH169" s="36"/>
      <c r="NI169" s="36"/>
      <c r="NJ169" s="36"/>
      <c r="NK169" s="36"/>
      <c r="NL169" s="36"/>
      <c r="NM169" s="36"/>
      <c r="NN169" s="36"/>
      <c r="NO169" s="36"/>
      <c r="NP169" s="36"/>
      <c r="NQ169" s="36"/>
      <c r="NR169" s="36"/>
      <c r="NS169" s="36"/>
      <c r="NT169" s="36"/>
      <c r="NU169" s="36"/>
      <c r="NV169" s="36"/>
      <c r="NW169" s="36"/>
      <c r="NX169" s="36"/>
      <c r="NY169" s="36"/>
      <c r="NZ169" s="36"/>
      <c r="OA169" s="36"/>
      <c r="OB169" s="36"/>
      <c r="OC169" s="36"/>
      <c r="OD169" s="36"/>
      <c r="OE169" s="36"/>
      <c r="OF169" s="36"/>
      <c r="OG169" s="36"/>
      <c r="OH169" s="36"/>
      <c r="OI169" s="36"/>
      <c r="OJ169" s="36"/>
      <c r="OK169" s="36"/>
      <c r="OL169" s="36"/>
      <c r="OM169" s="36"/>
      <c r="ON169" s="36"/>
      <c r="OO169" s="36"/>
      <c r="OP169" s="36"/>
      <c r="OQ169" s="36"/>
      <c r="OR169" s="36"/>
      <c r="OS169" s="36"/>
      <c r="OT169" s="36"/>
      <c r="OU169" s="36"/>
      <c r="OV169" s="36"/>
      <c r="OW169" s="36"/>
      <c r="OX169" s="36"/>
      <c r="OY169" s="36"/>
      <c r="OZ169" s="36"/>
      <c r="PA169" s="36"/>
      <c r="PB169" s="36"/>
      <c r="PC169" s="36"/>
      <c r="PD169" s="36"/>
      <c r="PE169" s="36"/>
      <c r="PF169" s="36"/>
      <c r="PG169" s="36"/>
      <c r="PH169" s="36"/>
      <c r="PI169" s="36"/>
      <c r="PJ169" s="36"/>
      <c r="PK169" s="36"/>
      <c r="PL169" s="36"/>
      <c r="PM169" s="36"/>
      <c r="PN169" s="36"/>
      <c r="PO169" s="36"/>
      <c r="PP169" s="36"/>
      <c r="PQ169" s="36"/>
      <c r="PR169" s="36"/>
      <c r="PS169" s="36"/>
      <c r="PT169" s="36"/>
      <c r="PU169" s="36"/>
      <c r="PV169" s="36"/>
      <c r="PW169" s="36"/>
      <c r="PX169" s="36"/>
      <c r="PY169" s="36"/>
      <c r="PZ169" s="36"/>
      <c r="QA169" s="36"/>
      <c r="QB169" s="36"/>
      <c r="QC169" s="36"/>
      <c r="QD169" s="36"/>
      <c r="QE169" s="36"/>
      <c r="QF169" s="36"/>
      <c r="QG169" s="36"/>
      <c r="QH169" s="36"/>
      <c r="QI169" s="36"/>
      <c r="QJ169" s="36"/>
      <c r="QK169" s="36"/>
      <c r="QL169" s="36"/>
      <c r="QM169" s="36"/>
      <c r="QN169" s="36"/>
      <c r="QO169" s="36"/>
      <c r="QP169" s="36"/>
      <c r="QQ169" s="36"/>
      <c r="QR169" s="36"/>
      <c r="QS169" s="36"/>
      <c r="QT169" s="36"/>
      <c r="QU169" s="36"/>
      <c r="QV169" s="36"/>
      <c r="QW169" s="36"/>
      <c r="QX169" s="36"/>
      <c r="QY169" s="36"/>
      <c r="QZ169" s="36"/>
      <c r="RA169" s="36"/>
      <c r="RB169" s="36"/>
      <c r="RC169" s="36"/>
      <c r="RD169" s="36"/>
      <c r="RE169" s="36"/>
      <c r="RF169" s="36"/>
      <c r="RG169" s="36"/>
      <c r="RH169" s="36"/>
      <c r="RI169" s="36"/>
      <c r="RJ169" s="36"/>
      <c r="RK169" s="36"/>
      <c r="RL169" s="36"/>
      <c r="RM169" s="36"/>
      <c r="RN169" s="36"/>
      <c r="RO169" s="36"/>
      <c r="RP169" s="36"/>
      <c r="RQ169" s="36"/>
      <c r="RR169" s="36"/>
      <c r="RS169" s="36"/>
      <c r="RT169" s="36"/>
      <c r="RU169" s="36"/>
      <c r="RV169" s="36"/>
      <c r="RW169" s="36"/>
      <c r="RX169" s="36"/>
      <c r="RY169" s="36"/>
      <c r="RZ169" s="36"/>
      <c r="SA169" s="36"/>
      <c r="SB169" s="36"/>
      <c r="SC169" s="36"/>
      <c r="SD169" s="36"/>
      <c r="SE169" s="36"/>
      <c r="SF169" s="36"/>
      <c r="SG169" s="36"/>
      <c r="SH169" s="36"/>
      <c r="SI169" s="36"/>
      <c r="SJ169" s="36"/>
      <c r="SK169" s="36"/>
      <c r="SL169" s="36"/>
      <c r="SM169" s="36"/>
      <c r="SN169" s="36"/>
      <c r="SO169" s="36"/>
      <c r="SP169" s="36"/>
      <c r="SQ169" s="36"/>
      <c r="SR169" s="36"/>
      <c r="SS169" s="36"/>
      <c r="ST169" s="36"/>
      <c r="SU169" s="36"/>
      <c r="SV169" s="36"/>
      <c r="SW169" s="36"/>
      <c r="SX169" s="36"/>
      <c r="SY169" s="36"/>
      <c r="SZ169" s="36"/>
      <c r="TA169" s="36"/>
      <c r="TB169" s="36"/>
      <c r="TC169" s="36"/>
      <c r="TD169" s="36"/>
      <c r="TE169" s="36"/>
      <c r="TF169" s="36"/>
      <c r="TG169" s="36"/>
      <c r="TH169" s="36"/>
      <c r="TI169" s="36"/>
    </row>
    <row r="170" spans="1:529" s="23" customFormat="1" ht="22.5" customHeight="1" x14ac:dyDescent="0.25">
      <c r="A170" s="43" t="s">
        <v>156</v>
      </c>
      <c r="B170" s="44" t="str">
        <f>'дод 4'!A153</f>
        <v>7640</v>
      </c>
      <c r="C170" s="44" t="str">
        <f>'дод 4'!B153</f>
        <v>0470</v>
      </c>
      <c r="D170" s="24" t="s">
        <v>515</v>
      </c>
      <c r="E170" s="69">
        <f t="shared" si="73"/>
        <v>0</v>
      </c>
      <c r="F170" s="69"/>
      <c r="G170" s="69"/>
      <c r="H170" s="69"/>
      <c r="I170" s="69"/>
      <c r="J170" s="69">
        <f t="shared" si="75"/>
        <v>396000</v>
      </c>
      <c r="K170" s="69">
        <v>396000</v>
      </c>
      <c r="L170" s="69"/>
      <c r="M170" s="69"/>
      <c r="N170" s="69"/>
      <c r="O170" s="69">
        <v>396000</v>
      </c>
      <c r="P170" s="69">
        <f t="shared" si="74"/>
        <v>396000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3" customFormat="1" ht="22.5" customHeight="1" x14ac:dyDescent="0.25">
      <c r="A171" s="43">
        <v>1018340</v>
      </c>
      <c r="B171" s="44" t="str">
        <f>'дод 4'!A174</f>
        <v>8340</v>
      </c>
      <c r="C171" s="44" t="str">
        <f>'дод 4'!B174</f>
        <v>0540</v>
      </c>
      <c r="D171" s="77" t="str">
        <f>'дод 4'!C174</f>
        <v>Природоохоронні заходи за рахунок цільових фондів</v>
      </c>
      <c r="E171" s="69">
        <f t="shared" si="73"/>
        <v>0</v>
      </c>
      <c r="F171" s="69"/>
      <c r="G171" s="69"/>
      <c r="H171" s="69"/>
      <c r="I171" s="69"/>
      <c r="J171" s="69">
        <f t="shared" si="75"/>
        <v>3000</v>
      </c>
      <c r="K171" s="69"/>
      <c r="L171" s="69">
        <v>3000</v>
      </c>
      <c r="M171" s="69"/>
      <c r="N171" s="69"/>
      <c r="O171" s="69"/>
      <c r="P171" s="69">
        <f t="shared" si="74"/>
        <v>3000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31" customFormat="1" ht="34.5" customHeight="1" x14ac:dyDescent="0.2">
      <c r="A172" s="156" t="s">
        <v>211</v>
      </c>
      <c r="B172" s="74"/>
      <c r="C172" s="74"/>
      <c r="D172" s="30" t="s">
        <v>36</v>
      </c>
      <c r="E172" s="66">
        <f>E173</f>
        <v>265635674.95999998</v>
      </c>
      <c r="F172" s="66">
        <f t="shared" ref="F172:J172" si="76">F173</f>
        <v>223026142.95999998</v>
      </c>
      <c r="G172" s="66">
        <f t="shared" si="76"/>
        <v>10410700</v>
      </c>
      <c r="H172" s="66">
        <f t="shared" si="76"/>
        <v>27836106</v>
      </c>
      <c r="I172" s="66">
        <f t="shared" si="76"/>
        <v>42609532</v>
      </c>
      <c r="J172" s="66">
        <f t="shared" si="76"/>
        <v>223237409.63999996</v>
      </c>
      <c r="K172" s="66">
        <f t="shared" ref="K172" si="77">K173</f>
        <v>137268275.91999996</v>
      </c>
      <c r="L172" s="66">
        <f t="shared" ref="L172" si="78">L173</f>
        <v>82026890.269999996</v>
      </c>
      <c r="M172" s="66">
        <f t="shared" ref="M172" si="79">M173</f>
        <v>0</v>
      </c>
      <c r="N172" s="66">
        <f t="shared" ref="N172" si="80">N173</f>
        <v>540000</v>
      </c>
      <c r="O172" s="66">
        <f t="shared" ref="O172:P172" si="81">O173</f>
        <v>141210519.36999997</v>
      </c>
      <c r="P172" s="66">
        <f t="shared" si="81"/>
        <v>488873084.59999996</v>
      </c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  <c r="IH172" s="38"/>
      <c r="II172" s="38"/>
      <c r="IJ172" s="38"/>
      <c r="IK172" s="38"/>
      <c r="IL172" s="38"/>
      <c r="IM172" s="38"/>
      <c r="IN172" s="38"/>
      <c r="IO172" s="38"/>
      <c r="IP172" s="38"/>
      <c r="IQ172" s="38"/>
      <c r="IR172" s="38"/>
      <c r="IS172" s="38"/>
      <c r="IT172" s="38"/>
      <c r="IU172" s="38"/>
      <c r="IV172" s="38"/>
      <c r="IW172" s="38"/>
      <c r="IX172" s="38"/>
      <c r="IY172" s="38"/>
      <c r="IZ172" s="38"/>
      <c r="JA172" s="38"/>
      <c r="JB172" s="38"/>
      <c r="JC172" s="38"/>
      <c r="JD172" s="38"/>
      <c r="JE172" s="38"/>
      <c r="JF172" s="38"/>
      <c r="JG172" s="38"/>
      <c r="JH172" s="38"/>
      <c r="JI172" s="38"/>
      <c r="JJ172" s="38"/>
      <c r="JK172" s="38"/>
      <c r="JL172" s="38"/>
      <c r="JM172" s="38"/>
      <c r="JN172" s="38"/>
      <c r="JO172" s="38"/>
      <c r="JP172" s="38"/>
      <c r="JQ172" s="38"/>
      <c r="JR172" s="38"/>
      <c r="JS172" s="38"/>
      <c r="JT172" s="38"/>
      <c r="JU172" s="38"/>
      <c r="JV172" s="38"/>
      <c r="JW172" s="38"/>
      <c r="JX172" s="38"/>
      <c r="JY172" s="38"/>
      <c r="JZ172" s="38"/>
      <c r="KA172" s="38"/>
      <c r="KB172" s="38"/>
      <c r="KC172" s="38"/>
      <c r="KD172" s="38"/>
      <c r="KE172" s="38"/>
      <c r="KF172" s="38"/>
      <c r="KG172" s="38"/>
      <c r="KH172" s="38"/>
      <c r="KI172" s="38"/>
      <c r="KJ172" s="38"/>
      <c r="KK172" s="38"/>
      <c r="KL172" s="38"/>
      <c r="KM172" s="38"/>
      <c r="KN172" s="38"/>
      <c r="KO172" s="38"/>
      <c r="KP172" s="38"/>
      <c r="KQ172" s="38"/>
      <c r="KR172" s="38"/>
      <c r="KS172" s="38"/>
      <c r="KT172" s="38"/>
      <c r="KU172" s="38"/>
      <c r="KV172" s="38"/>
      <c r="KW172" s="38"/>
      <c r="KX172" s="38"/>
      <c r="KY172" s="38"/>
      <c r="KZ172" s="38"/>
      <c r="LA172" s="38"/>
      <c r="LB172" s="38"/>
      <c r="LC172" s="38"/>
      <c r="LD172" s="38"/>
      <c r="LE172" s="38"/>
      <c r="LF172" s="38"/>
      <c r="LG172" s="38"/>
      <c r="LH172" s="38"/>
      <c r="LI172" s="38"/>
      <c r="LJ172" s="38"/>
      <c r="LK172" s="38"/>
      <c r="LL172" s="38"/>
      <c r="LM172" s="38"/>
      <c r="LN172" s="38"/>
      <c r="LO172" s="38"/>
      <c r="LP172" s="38"/>
      <c r="LQ172" s="38"/>
      <c r="LR172" s="38"/>
      <c r="LS172" s="38"/>
      <c r="LT172" s="38"/>
      <c r="LU172" s="38"/>
      <c r="LV172" s="38"/>
      <c r="LW172" s="38"/>
      <c r="LX172" s="38"/>
      <c r="LY172" s="38"/>
      <c r="LZ172" s="38"/>
      <c r="MA172" s="38"/>
      <c r="MB172" s="38"/>
      <c r="MC172" s="38"/>
      <c r="MD172" s="38"/>
      <c r="ME172" s="38"/>
      <c r="MF172" s="38"/>
      <c r="MG172" s="38"/>
      <c r="MH172" s="38"/>
      <c r="MI172" s="38"/>
      <c r="MJ172" s="38"/>
      <c r="MK172" s="38"/>
      <c r="ML172" s="38"/>
      <c r="MM172" s="38"/>
      <c r="MN172" s="38"/>
      <c r="MO172" s="38"/>
      <c r="MP172" s="38"/>
      <c r="MQ172" s="38"/>
      <c r="MR172" s="38"/>
      <c r="MS172" s="38"/>
      <c r="MT172" s="38"/>
      <c r="MU172" s="38"/>
      <c r="MV172" s="38"/>
      <c r="MW172" s="38"/>
      <c r="MX172" s="38"/>
      <c r="MY172" s="38"/>
      <c r="MZ172" s="38"/>
      <c r="NA172" s="38"/>
      <c r="NB172" s="38"/>
      <c r="NC172" s="38"/>
      <c r="ND172" s="38"/>
      <c r="NE172" s="38"/>
      <c r="NF172" s="38"/>
      <c r="NG172" s="38"/>
      <c r="NH172" s="38"/>
      <c r="NI172" s="38"/>
      <c r="NJ172" s="38"/>
      <c r="NK172" s="38"/>
      <c r="NL172" s="38"/>
      <c r="NM172" s="38"/>
      <c r="NN172" s="38"/>
      <c r="NO172" s="38"/>
      <c r="NP172" s="38"/>
      <c r="NQ172" s="38"/>
      <c r="NR172" s="38"/>
      <c r="NS172" s="38"/>
      <c r="NT172" s="38"/>
      <c r="NU172" s="38"/>
      <c r="NV172" s="38"/>
      <c r="NW172" s="38"/>
      <c r="NX172" s="38"/>
      <c r="NY172" s="38"/>
      <c r="NZ172" s="38"/>
      <c r="OA172" s="38"/>
      <c r="OB172" s="38"/>
      <c r="OC172" s="38"/>
      <c r="OD172" s="38"/>
      <c r="OE172" s="38"/>
      <c r="OF172" s="38"/>
      <c r="OG172" s="38"/>
      <c r="OH172" s="38"/>
      <c r="OI172" s="38"/>
      <c r="OJ172" s="38"/>
      <c r="OK172" s="38"/>
      <c r="OL172" s="38"/>
      <c r="OM172" s="38"/>
      <c r="ON172" s="38"/>
      <c r="OO172" s="38"/>
      <c r="OP172" s="38"/>
      <c r="OQ172" s="38"/>
      <c r="OR172" s="38"/>
      <c r="OS172" s="38"/>
      <c r="OT172" s="38"/>
      <c r="OU172" s="38"/>
      <c r="OV172" s="38"/>
      <c r="OW172" s="38"/>
      <c r="OX172" s="38"/>
      <c r="OY172" s="38"/>
      <c r="OZ172" s="38"/>
      <c r="PA172" s="38"/>
      <c r="PB172" s="38"/>
      <c r="PC172" s="38"/>
      <c r="PD172" s="38"/>
      <c r="PE172" s="38"/>
      <c r="PF172" s="38"/>
      <c r="PG172" s="38"/>
      <c r="PH172" s="38"/>
      <c r="PI172" s="38"/>
      <c r="PJ172" s="38"/>
      <c r="PK172" s="38"/>
      <c r="PL172" s="38"/>
      <c r="PM172" s="38"/>
      <c r="PN172" s="38"/>
      <c r="PO172" s="38"/>
      <c r="PP172" s="38"/>
      <c r="PQ172" s="38"/>
      <c r="PR172" s="38"/>
      <c r="PS172" s="38"/>
      <c r="PT172" s="38"/>
      <c r="PU172" s="38"/>
      <c r="PV172" s="38"/>
      <c r="PW172" s="38"/>
      <c r="PX172" s="38"/>
      <c r="PY172" s="38"/>
      <c r="PZ172" s="38"/>
      <c r="QA172" s="38"/>
      <c r="QB172" s="38"/>
      <c r="QC172" s="38"/>
      <c r="QD172" s="38"/>
      <c r="QE172" s="38"/>
      <c r="QF172" s="38"/>
      <c r="QG172" s="38"/>
      <c r="QH172" s="38"/>
      <c r="QI172" s="38"/>
      <c r="QJ172" s="38"/>
      <c r="QK172" s="38"/>
      <c r="QL172" s="38"/>
      <c r="QM172" s="38"/>
      <c r="QN172" s="38"/>
      <c r="QO172" s="38"/>
      <c r="QP172" s="38"/>
      <c r="QQ172" s="38"/>
      <c r="QR172" s="38"/>
      <c r="QS172" s="38"/>
      <c r="QT172" s="38"/>
      <c r="QU172" s="38"/>
      <c r="QV172" s="38"/>
      <c r="QW172" s="38"/>
      <c r="QX172" s="38"/>
      <c r="QY172" s="38"/>
      <c r="QZ172" s="38"/>
      <c r="RA172" s="38"/>
      <c r="RB172" s="38"/>
      <c r="RC172" s="38"/>
      <c r="RD172" s="38"/>
      <c r="RE172" s="38"/>
      <c r="RF172" s="38"/>
      <c r="RG172" s="38"/>
      <c r="RH172" s="38"/>
      <c r="RI172" s="38"/>
      <c r="RJ172" s="38"/>
      <c r="RK172" s="38"/>
      <c r="RL172" s="38"/>
      <c r="RM172" s="38"/>
      <c r="RN172" s="38"/>
      <c r="RO172" s="38"/>
      <c r="RP172" s="38"/>
      <c r="RQ172" s="38"/>
      <c r="RR172" s="38"/>
      <c r="RS172" s="38"/>
      <c r="RT172" s="38"/>
      <c r="RU172" s="38"/>
      <c r="RV172" s="38"/>
      <c r="RW172" s="38"/>
      <c r="RX172" s="38"/>
      <c r="RY172" s="38"/>
      <c r="RZ172" s="38"/>
      <c r="SA172" s="38"/>
      <c r="SB172" s="38"/>
      <c r="SC172" s="38"/>
      <c r="SD172" s="38"/>
      <c r="SE172" s="38"/>
      <c r="SF172" s="38"/>
      <c r="SG172" s="38"/>
      <c r="SH172" s="38"/>
      <c r="SI172" s="38"/>
      <c r="SJ172" s="38"/>
      <c r="SK172" s="38"/>
      <c r="SL172" s="38"/>
      <c r="SM172" s="38"/>
      <c r="SN172" s="38"/>
      <c r="SO172" s="38"/>
      <c r="SP172" s="38"/>
      <c r="SQ172" s="38"/>
      <c r="SR172" s="38"/>
      <c r="SS172" s="38"/>
      <c r="ST172" s="38"/>
      <c r="SU172" s="38"/>
      <c r="SV172" s="38"/>
      <c r="SW172" s="38"/>
      <c r="SX172" s="38"/>
      <c r="SY172" s="38"/>
      <c r="SZ172" s="38"/>
      <c r="TA172" s="38"/>
      <c r="TB172" s="38"/>
      <c r="TC172" s="38"/>
      <c r="TD172" s="38"/>
      <c r="TE172" s="38"/>
      <c r="TF172" s="38"/>
      <c r="TG172" s="38"/>
      <c r="TH172" s="38"/>
      <c r="TI172" s="38"/>
    </row>
    <row r="173" spans="1:529" s="40" customFormat="1" ht="36.75" customHeight="1" x14ac:dyDescent="0.25">
      <c r="A173" s="76" t="s">
        <v>212</v>
      </c>
      <c r="B173" s="75"/>
      <c r="C173" s="75"/>
      <c r="D173" s="33" t="s">
        <v>460</v>
      </c>
      <c r="E173" s="68">
        <f>E176+E177+E178+E179+E180+E181+E182+E183+E184+E185+E186+E188+E187+E190+E194+E195+E196+E199+E200+E189+E192+E198+E197</f>
        <v>265635674.95999998</v>
      </c>
      <c r="F173" s="68">
        <f>F176+F177+F178+F179+F180+F181+F182+F183+F184+F185+F186+F188+F187+F190+F194+F195+F196+F199+F200+F189+F192+F198+F197</f>
        <v>223026142.95999998</v>
      </c>
      <c r="G173" s="68">
        <f t="shared" ref="G173:P173" si="82">G176+G177+G178+G179+G180+G181+G182+G183+G184+G185+G186+G188+G187+G190+G194+G195+G196+G199+G200+G189+G192+G198+G197</f>
        <v>10410700</v>
      </c>
      <c r="H173" s="68">
        <f t="shared" si="82"/>
        <v>27836106</v>
      </c>
      <c r="I173" s="68">
        <f t="shared" si="82"/>
        <v>42609532</v>
      </c>
      <c r="J173" s="68">
        <f t="shared" si="82"/>
        <v>223237409.63999996</v>
      </c>
      <c r="K173" s="68">
        <f t="shared" si="82"/>
        <v>137268275.91999996</v>
      </c>
      <c r="L173" s="68">
        <f t="shared" si="82"/>
        <v>82026890.269999996</v>
      </c>
      <c r="M173" s="68">
        <f t="shared" si="82"/>
        <v>0</v>
      </c>
      <c r="N173" s="68">
        <f t="shared" si="82"/>
        <v>540000</v>
      </c>
      <c r="O173" s="68">
        <f t="shared" si="82"/>
        <v>141210519.36999997</v>
      </c>
      <c r="P173" s="68">
        <f t="shared" si="82"/>
        <v>488873084.59999996</v>
      </c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/>
      <c r="IV173" s="39"/>
      <c r="IW173" s="39"/>
      <c r="IX173" s="39"/>
      <c r="IY173" s="39"/>
      <c r="IZ173" s="39"/>
      <c r="JA173" s="39"/>
      <c r="JB173" s="39"/>
      <c r="JC173" s="39"/>
      <c r="JD173" s="39"/>
      <c r="JE173" s="39"/>
      <c r="JF173" s="39"/>
      <c r="JG173" s="39"/>
      <c r="JH173" s="39"/>
      <c r="JI173" s="39"/>
      <c r="JJ173" s="39"/>
      <c r="JK173" s="39"/>
      <c r="JL173" s="39"/>
      <c r="JM173" s="39"/>
      <c r="JN173" s="39"/>
      <c r="JO173" s="39"/>
      <c r="JP173" s="39"/>
      <c r="JQ173" s="39"/>
      <c r="JR173" s="39"/>
      <c r="JS173" s="39"/>
      <c r="JT173" s="39"/>
      <c r="JU173" s="39"/>
      <c r="JV173" s="39"/>
      <c r="JW173" s="39"/>
      <c r="JX173" s="39"/>
      <c r="JY173" s="39"/>
      <c r="JZ173" s="39"/>
      <c r="KA173" s="39"/>
      <c r="KB173" s="39"/>
      <c r="KC173" s="39"/>
      <c r="KD173" s="39"/>
      <c r="KE173" s="39"/>
      <c r="KF173" s="39"/>
      <c r="KG173" s="39"/>
      <c r="KH173" s="39"/>
      <c r="KI173" s="39"/>
      <c r="KJ173" s="39"/>
      <c r="KK173" s="39"/>
      <c r="KL173" s="39"/>
      <c r="KM173" s="39"/>
      <c r="KN173" s="39"/>
      <c r="KO173" s="39"/>
      <c r="KP173" s="39"/>
      <c r="KQ173" s="39"/>
      <c r="KR173" s="39"/>
      <c r="KS173" s="39"/>
      <c r="KT173" s="39"/>
      <c r="KU173" s="39"/>
      <c r="KV173" s="39"/>
      <c r="KW173" s="39"/>
      <c r="KX173" s="39"/>
      <c r="KY173" s="39"/>
      <c r="KZ173" s="39"/>
      <c r="LA173" s="39"/>
      <c r="LB173" s="39"/>
      <c r="LC173" s="39"/>
      <c r="LD173" s="39"/>
      <c r="LE173" s="39"/>
      <c r="LF173" s="39"/>
      <c r="LG173" s="39"/>
      <c r="LH173" s="39"/>
      <c r="LI173" s="39"/>
      <c r="LJ173" s="39"/>
      <c r="LK173" s="39"/>
      <c r="LL173" s="39"/>
      <c r="LM173" s="39"/>
      <c r="LN173" s="39"/>
      <c r="LO173" s="39"/>
      <c r="LP173" s="39"/>
      <c r="LQ173" s="39"/>
      <c r="LR173" s="39"/>
      <c r="LS173" s="39"/>
      <c r="LT173" s="39"/>
      <c r="LU173" s="39"/>
      <c r="LV173" s="39"/>
      <c r="LW173" s="39"/>
      <c r="LX173" s="39"/>
      <c r="LY173" s="39"/>
      <c r="LZ173" s="39"/>
      <c r="MA173" s="39"/>
      <c r="MB173" s="39"/>
      <c r="MC173" s="39"/>
      <c r="MD173" s="39"/>
      <c r="ME173" s="39"/>
      <c r="MF173" s="39"/>
      <c r="MG173" s="39"/>
      <c r="MH173" s="39"/>
      <c r="MI173" s="39"/>
      <c r="MJ173" s="39"/>
      <c r="MK173" s="39"/>
      <c r="ML173" s="39"/>
      <c r="MM173" s="39"/>
      <c r="MN173" s="39"/>
      <c r="MO173" s="39"/>
      <c r="MP173" s="39"/>
      <c r="MQ173" s="39"/>
      <c r="MR173" s="39"/>
      <c r="MS173" s="39"/>
      <c r="MT173" s="39"/>
      <c r="MU173" s="39"/>
      <c r="MV173" s="39"/>
      <c r="MW173" s="39"/>
      <c r="MX173" s="39"/>
      <c r="MY173" s="39"/>
      <c r="MZ173" s="39"/>
      <c r="NA173" s="39"/>
      <c r="NB173" s="39"/>
      <c r="NC173" s="39"/>
      <c r="ND173" s="39"/>
      <c r="NE173" s="39"/>
      <c r="NF173" s="39"/>
      <c r="NG173" s="39"/>
      <c r="NH173" s="39"/>
      <c r="NI173" s="39"/>
      <c r="NJ173" s="39"/>
      <c r="NK173" s="39"/>
      <c r="NL173" s="39"/>
      <c r="NM173" s="39"/>
      <c r="NN173" s="39"/>
      <c r="NO173" s="39"/>
      <c r="NP173" s="39"/>
      <c r="NQ173" s="39"/>
      <c r="NR173" s="39"/>
      <c r="NS173" s="39"/>
      <c r="NT173" s="39"/>
      <c r="NU173" s="39"/>
      <c r="NV173" s="39"/>
      <c r="NW173" s="39"/>
      <c r="NX173" s="39"/>
      <c r="NY173" s="39"/>
      <c r="NZ173" s="39"/>
      <c r="OA173" s="39"/>
      <c r="OB173" s="39"/>
      <c r="OC173" s="39"/>
      <c r="OD173" s="39"/>
      <c r="OE173" s="39"/>
      <c r="OF173" s="39"/>
      <c r="OG173" s="39"/>
      <c r="OH173" s="39"/>
      <c r="OI173" s="39"/>
      <c r="OJ173" s="39"/>
      <c r="OK173" s="39"/>
      <c r="OL173" s="39"/>
      <c r="OM173" s="39"/>
      <c r="ON173" s="39"/>
      <c r="OO173" s="39"/>
      <c r="OP173" s="39"/>
      <c r="OQ173" s="39"/>
      <c r="OR173" s="39"/>
      <c r="OS173" s="39"/>
      <c r="OT173" s="39"/>
      <c r="OU173" s="39"/>
      <c r="OV173" s="39"/>
      <c r="OW173" s="39"/>
      <c r="OX173" s="39"/>
      <c r="OY173" s="39"/>
      <c r="OZ173" s="39"/>
      <c r="PA173" s="39"/>
      <c r="PB173" s="39"/>
      <c r="PC173" s="39"/>
      <c r="PD173" s="39"/>
      <c r="PE173" s="39"/>
      <c r="PF173" s="39"/>
      <c r="PG173" s="39"/>
      <c r="PH173" s="39"/>
      <c r="PI173" s="39"/>
      <c r="PJ173" s="39"/>
      <c r="PK173" s="39"/>
      <c r="PL173" s="39"/>
      <c r="PM173" s="39"/>
      <c r="PN173" s="39"/>
      <c r="PO173" s="39"/>
      <c r="PP173" s="39"/>
      <c r="PQ173" s="39"/>
      <c r="PR173" s="39"/>
      <c r="PS173" s="39"/>
      <c r="PT173" s="39"/>
      <c r="PU173" s="39"/>
      <c r="PV173" s="39"/>
      <c r="PW173" s="39"/>
      <c r="PX173" s="39"/>
      <c r="PY173" s="39"/>
      <c r="PZ173" s="39"/>
      <c r="QA173" s="39"/>
      <c r="QB173" s="39"/>
      <c r="QC173" s="39"/>
      <c r="QD173" s="39"/>
      <c r="QE173" s="39"/>
      <c r="QF173" s="39"/>
      <c r="QG173" s="39"/>
      <c r="QH173" s="39"/>
      <c r="QI173" s="39"/>
      <c r="QJ173" s="39"/>
      <c r="QK173" s="39"/>
      <c r="QL173" s="39"/>
      <c r="QM173" s="39"/>
      <c r="QN173" s="39"/>
      <c r="QO173" s="39"/>
      <c r="QP173" s="39"/>
      <c r="QQ173" s="39"/>
      <c r="QR173" s="39"/>
      <c r="QS173" s="39"/>
      <c r="QT173" s="39"/>
      <c r="QU173" s="39"/>
      <c r="QV173" s="39"/>
      <c r="QW173" s="39"/>
      <c r="QX173" s="39"/>
      <c r="QY173" s="39"/>
      <c r="QZ173" s="39"/>
      <c r="RA173" s="39"/>
      <c r="RB173" s="39"/>
      <c r="RC173" s="39"/>
      <c r="RD173" s="39"/>
      <c r="RE173" s="39"/>
      <c r="RF173" s="39"/>
      <c r="RG173" s="39"/>
      <c r="RH173" s="39"/>
      <c r="RI173" s="39"/>
      <c r="RJ173" s="39"/>
      <c r="RK173" s="39"/>
      <c r="RL173" s="39"/>
      <c r="RM173" s="39"/>
      <c r="RN173" s="39"/>
      <c r="RO173" s="39"/>
      <c r="RP173" s="39"/>
      <c r="RQ173" s="39"/>
      <c r="RR173" s="39"/>
      <c r="RS173" s="39"/>
      <c r="RT173" s="39"/>
      <c r="RU173" s="39"/>
      <c r="RV173" s="39"/>
      <c r="RW173" s="39"/>
      <c r="RX173" s="39"/>
      <c r="RY173" s="39"/>
      <c r="RZ173" s="39"/>
      <c r="SA173" s="39"/>
      <c r="SB173" s="39"/>
      <c r="SC173" s="39"/>
      <c r="SD173" s="39"/>
      <c r="SE173" s="39"/>
      <c r="SF173" s="39"/>
      <c r="SG173" s="39"/>
      <c r="SH173" s="39"/>
      <c r="SI173" s="39"/>
      <c r="SJ173" s="39"/>
      <c r="SK173" s="39"/>
      <c r="SL173" s="39"/>
      <c r="SM173" s="39"/>
      <c r="SN173" s="39"/>
      <c r="SO173" s="39"/>
      <c r="SP173" s="39"/>
      <c r="SQ173" s="39"/>
      <c r="SR173" s="39"/>
      <c r="SS173" s="39"/>
      <c r="ST173" s="39"/>
      <c r="SU173" s="39"/>
      <c r="SV173" s="39"/>
      <c r="SW173" s="39"/>
      <c r="SX173" s="39"/>
      <c r="SY173" s="39"/>
      <c r="SZ173" s="39"/>
      <c r="TA173" s="39"/>
      <c r="TB173" s="39"/>
      <c r="TC173" s="39"/>
      <c r="TD173" s="39"/>
      <c r="TE173" s="39"/>
      <c r="TF173" s="39"/>
      <c r="TG173" s="39"/>
      <c r="TH173" s="39"/>
      <c r="TI173" s="39"/>
    </row>
    <row r="174" spans="1:529" s="40" customFormat="1" ht="45" x14ac:dyDescent="0.25">
      <c r="A174" s="76"/>
      <c r="B174" s="75"/>
      <c r="C174" s="75"/>
      <c r="D174" s="33" t="s">
        <v>452</v>
      </c>
      <c r="E174" s="68">
        <f>E191</f>
        <v>0</v>
      </c>
      <c r="F174" s="68">
        <f t="shared" ref="F174:P174" si="83">F191</f>
        <v>0</v>
      </c>
      <c r="G174" s="68">
        <f t="shared" si="83"/>
        <v>0</v>
      </c>
      <c r="H174" s="68">
        <f t="shared" si="83"/>
        <v>0</v>
      </c>
      <c r="I174" s="68">
        <f t="shared" si="83"/>
        <v>0</v>
      </c>
      <c r="J174" s="68">
        <f t="shared" si="83"/>
        <v>937420.38</v>
      </c>
      <c r="K174" s="68">
        <f t="shared" si="83"/>
        <v>937420.38</v>
      </c>
      <c r="L174" s="68">
        <f t="shared" si="83"/>
        <v>0</v>
      </c>
      <c r="M174" s="68">
        <f t="shared" si="83"/>
        <v>0</v>
      </c>
      <c r="N174" s="68">
        <f t="shared" si="83"/>
        <v>0</v>
      </c>
      <c r="O174" s="68">
        <f t="shared" si="83"/>
        <v>937420.38</v>
      </c>
      <c r="P174" s="68">
        <f t="shared" si="83"/>
        <v>937420.38</v>
      </c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</row>
    <row r="175" spans="1:529" s="40" customFormat="1" ht="105" x14ac:dyDescent="0.25">
      <c r="A175" s="76"/>
      <c r="B175" s="75"/>
      <c r="C175" s="75"/>
      <c r="D175" s="33" t="s">
        <v>461</v>
      </c>
      <c r="E175" s="68">
        <f>E193</f>
        <v>0</v>
      </c>
      <c r="F175" s="68">
        <f t="shared" ref="F175:P175" si="84">F193</f>
        <v>0</v>
      </c>
      <c r="G175" s="68">
        <f t="shared" si="84"/>
        <v>0</v>
      </c>
      <c r="H175" s="68">
        <f t="shared" si="84"/>
        <v>0</v>
      </c>
      <c r="I175" s="68">
        <f t="shared" si="84"/>
        <v>0</v>
      </c>
      <c r="J175" s="68">
        <f t="shared" si="84"/>
        <v>80000000</v>
      </c>
      <c r="K175" s="68">
        <f t="shared" si="84"/>
        <v>0</v>
      </c>
      <c r="L175" s="68">
        <f t="shared" si="84"/>
        <v>80000000</v>
      </c>
      <c r="M175" s="68">
        <f t="shared" si="84"/>
        <v>0</v>
      </c>
      <c r="N175" s="68">
        <f t="shared" si="84"/>
        <v>0</v>
      </c>
      <c r="O175" s="68">
        <f t="shared" si="84"/>
        <v>0</v>
      </c>
      <c r="P175" s="68">
        <f t="shared" si="84"/>
        <v>80000000</v>
      </c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/>
      <c r="IW175" s="39"/>
      <c r="IX175" s="39"/>
      <c r="IY175" s="39"/>
      <c r="IZ175" s="39"/>
      <c r="JA175" s="39"/>
      <c r="JB175" s="39"/>
      <c r="JC175" s="39"/>
      <c r="JD175" s="39"/>
      <c r="JE175" s="39"/>
      <c r="JF175" s="39"/>
      <c r="JG175" s="39"/>
      <c r="JH175" s="39"/>
      <c r="JI175" s="39"/>
      <c r="JJ175" s="39"/>
      <c r="JK175" s="39"/>
      <c r="JL175" s="39"/>
      <c r="JM175" s="39"/>
      <c r="JN175" s="39"/>
      <c r="JO175" s="39"/>
      <c r="JP175" s="39"/>
      <c r="JQ175" s="39"/>
      <c r="JR175" s="39"/>
      <c r="JS175" s="39"/>
      <c r="JT175" s="39"/>
      <c r="JU175" s="39"/>
      <c r="JV175" s="39"/>
      <c r="JW175" s="39"/>
      <c r="JX175" s="39"/>
      <c r="JY175" s="39"/>
      <c r="JZ175" s="39"/>
      <c r="KA175" s="39"/>
      <c r="KB175" s="39"/>
      <c r="KC175" s="39"/>
      <c r="KD175" s="39"/>
      <c r="KE175" s="39"/>
      <c r="KF175" s="39"/>
      <c r="KG175" s="39"/>
      <c r="KH175" s="39"/>
      <c r="KI175" s="39"/>
      <c r="KJ175" s="39"/>
      <c r="KK175" s="39"/>
      <c r="KL175" s="39"/>
      <c r="KM175" s="39"/>
      <c r="KN175" s="39"/>
      <c r="KO175" s="39"/>
      <c r="KP175" s="39"/>
      <c r="KQ175" s="39"/>
      <c r="KR175" s="39"/>
      <c r="KS175" s="39"/>
      <c r="KT175" s="39"/>
      <c r="KU175" s="39"/>
      <c r="KV175" s="39"/>
      <c r="KW175" s="39"/>
      <c r="KX175" s="39"/>
      <c r="KY175" s="39"/>
      <c r="KZ175" s="39"/>
      <c r="LA175" s="39"/>
      <c r="LB175" s="39"/>
      <c r="LC175" s="39"/>
      <c r="LD175" s="39"/>
      <c r="LE175" s="39"/>
      <c r="LF175" s="39"/>
      <c r="LG175" s="39"/>
      <c r="LH175" s="39"/>
      <c r="LI175" s="39"/>
      <c r="LJ175" s="39"/>
      <c r="LK175" s="39"/>
      <c r="LL175" s="39"/>
      <c r="LM175" s="39"/>
      <c r="LN175" s="39"/>
      <c r="LO175" s="39"/>
      <c r="LP175" s="39"/>
      <c r="LQ175" s="39"/>
      <c r="LR175" s="39"/>
      <c r="LS175" s="39"/>
      <c r="LT175" s="39"/>
      <c r="LU175" s="39"/>
      <c r="LV175" s="39"/>
      <c r="LW175" s="39"/>
      <c r="LX175" s="39"/>
      <c r="LY175" s="39"/>
      <c r="LZ175" s="39"/>
      <c r="MA175" s="39"/>
      <c r="MB175" s="39"/>
      <c r="MC175" s="39"/>
      <c r="MD175" s="39"/>
      <c r="ME175" s="39"/>
      <c r="MF175" s="39"/>
      <c r="MG175" s="39"/>
      <c r="MH175" s="39"/>
      <c r="MI175" s="39"/>
      <c r="MJ175" s="39"/>
      <c r="MK175" s="39"/>
      <c r="ML175" s="39"/>
      <c r="MM175" s="39"/>
      <c r="MN175" s="39"/>
      <c r="MO175" s="39"/>
      <c r="MP175" s="39"/>
      <c r="MQ175" s="39"/>
      <c r="MR175" s="39"/>
      <c r="MS175" s="39"/>
      <c r="MT175" s="39"/>
      <c r="MU175" s="39"/>
      <c r="MV175" s="39"/>
      <c r="MW175" s="39"/>
      <c r="MX175" s="39"/>
      <c r="MY175" s="39"/>
      <c r="MZ175" s="39"/>
      <c r="NA175" s="39"/>
      <c r="NB175" s="39"/>
      <c r="NC175" s="39"/>
      <c r="ND175" s="39"/>
      <c r="NE175" s="39"/>
      <c r="NF175" s="39"/>
      <c r="NG175" s="39"/>
      <c r="NH175" s="39"/>
      <c r="NI175" s="39"/>
      <c r="NJ175" s="39"/>
      <c r="NK175" s="39"/>
      <c r="NL175" s="39"/>
      <c r="NM175" s="39"/>
      <c r="NN175" s="39"/>
      <c r="NO175" s="39"/>
      <c r="NP175" s="39"/>
      <c r="NQ175" s="39"/>
      <c r="NR175" s="39"/>
      <c r="NS175" s="39"/>
      <c r="NT175" s="39"/>
      <c r="NU175" s="39"/>
      <c r="NV175" s="39"/>
      <c r="NW175" s="39"/>
      <c r="NX175" s="39"/>
      <c r="NY175" s="39"/>
      <c r="NZ175" s="39"/>
      <c r="OA175" s="39"/>
      <c r="OB175" s="39"/>
      <c r="OC175" s="39"/>
      <c r="OD175" s="39"/>
      <c r="OE175" s="39"/>
      <c r="OF175" s="39"/>
      <c r="OG175" s="39"/>
      <c r="OH175" s="39"/>
      <c r="OI175" s="39"/>
      <c r="OJ175" s="39"/>
      <c r="OK175" s="39"/>
      <c r="OL175" s="39"/>
      <c r="OM175" s="39"/>
      <c r="ON175" s="39"/>
      <c r="OO175" s="39"/>
      <c r="OP175" s="39"/>
      <c r="OQ175" s="39"/>
      <c r="OR175" s="39"/>
      <c r="OS175" s="39"/>
      <c r="OT175" s="39"/>
      <c r="OU175" s="39"/>
      <c r="OV175" s="39"/>
      <c r="OW175" s="39"/>
      <c r="OX175" s="39"/>
      <c r="OY175" s="39"/>
      <c r="OZ175" s="39"/>
      <c r="PA175" s="39"/>
      <c r="PB175" s="39"/>
      <c r="PC175" s="39"/>
      <c r="PD175" s="39"/>
      <c r="PE175" s="39"/>
      <c r="PF175" s="39"/>
      <c r="PG175" s="39"/>
      <c r="PH175" s="39"/>
      <c r="PI175" s="39"/>
      <c r="PJ175" s="39"/>
      <c r="PK175" s="39"/>
      <c r="PL175" s="39"/>
      <c r="PM175" s="39"/>
      <c r="PN175" s="39"/>
      <c r="PO175" s="39"/>
      <c r="PP175" s="39"/>
      <c r="PQ175" s="39"/>
      <c r="PR175" s="39"/>
      <c r="PS175" s="39"/>
      <c r="PT175" s="39"/>
      <c r="PU175" s="39"/>
      <c r="PV175" s="39"/>
      <c r="PW175" s="39"/>
      <c r="PX175" s="39"/>
      <c r="PY175" s="39"/>
      <c r="PZ175" s="39"/>
      <c r="QA175" s="39"/>
      <c r="QB175" s="39"/>
      <c r="QC175" s="39"/>
      <c r="QD175" s="39"/>
      <c r="QE175" s="39"/>
      <c r="QF175" s="39"/>
      <c r="QG175" s="39"/>
      <c r="QH175" s="39"/>
      <c r="QI175" s="39"/>
      <c r="QJ175" s="39"/>
      <c r="QK175" s="39"/>
      <c r="QL175" s="39"/>
      <c r="QM175" s="39"/>
      <c r="QN175" s="39"/>
      <c r="QO175" s="39"/>
      <c r="QP175" s="39"/>
      <c r="QQ175" s="39"/>
      <c r="QR175" s="39"/>
      <c r="QS175" s="39"/>
      <c r="QT175" s="39"/>
      <c r="QU175" s="39"/>
      <c r="QV175" s="39"/>
      <c r="QW175" s="39"/>
      <c r="QX175" s="39"/>
      <c r="QY175" s="39"/>
      <c r="QZ175" s="39"/>
      <c r="RA175" s="39"/>
      <c r="RB175" s="39"/>
      <c r="RC175" s="39"/>
      <c r="RD175" s="39"/>
      <c r="RE175" s="39"/>
      <c r="RF175" s="39"/>
      <c r="RG175" s="39"/>
      <c r="RH175" s="39"/>
      <c r="RI175" s="39"/>
      <c r="RJ175" s="39"/>
      <c r="RK175" s="39"/>
      <c r="RL175" s="39"/>
      <c r="RM175" s="39"/>
      <c r="RN175" s="39"/>
      <c r="RO175" s="39"/>
      <c r="RP175" s="39"/>
      <c r="RQ175" s="39"/>
      <c r="RR175" s="39"/>
      <c r="RS175" s="39"/>
      <c r="RT175" s="39"/>
      <c r="RU175" s="39"/>
      <c r="RV175" s="39"/>
      <c r="RW175" s="39"/>
      <c r="RX175" s="39"/>
      <c r="RY175" s="39"/>
      <c r="RZ175" s="39"/>
      <c r="SA175" s="39"/>
      <c r="SB175" s="39"/>
      <c r="SC175" s="39"/>
      <c r="SD175" s="39"/>
      <c r="SE175" s="39"/>
      <c r="SF175" s="39"/>
      <c r="SG175" s="39"/>
      <c r="SH175" s="39"/>
      <c r="SI175" s="39"/>
      <c r="SJ175" s="39"/>
      <c r="SK175" s="39"/>
      <c r="SL175" s="39"/>
      <c r="SM175" s="39"/>
      <c r="SN175" s="39"/>
      <c r="SO175" s="39"/>
      <c r="SP175" s="39"/>
      <c r="SQ175" s="39"/>
      <c r="SR175" s="39"/>
      <c r="SS175" s="39"/>
      <c r="ST175" s="39"/>
      <c r="SU175" s="39"/>
      <c r="SV175" s="39"/>
      <c r="SW175" s="39"/>
      <c r="SX175" s="39"/>
      <c r="SY175" s="39"/>
      <c r="SZ175" s="39"/>
      <c r="TA175" s="39"/>
      <c r="TB175" s="39"/>
      <c r="TC175" s="39"/>
      <c r="TD175" s="39"/>
      <c r="TE175" s="39"/>
      <c r="TF175" s="39"/>
      <c r="TG175" s="39"/>
      <c r="TH175" s="39"/>
      <c r="TI175" s="39"/>
    </row>
    <row r="176" spans="1:529" s="23" customFormat="1" ht="48.75" customHeight="1" x14ac:dyDescent="0.25">
      <c r="A176" s="43" t="s">
        <v>213</v>
      </c>
      <c r="B176" s="44" t="str">
        <f>'дод 4'!A20</f>
        <v>0160</v>
      </c>
      <c r="C176" s="44" t="str">
        <f>'дод 4'!B20</f>
        <v>0111</v>
      </c>
      <c r="D176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76" s="69">
        <f t="shared" ref="E176:E200" si="85">F176+I176</f>
        <v>13501800</v>
      </c>
      <c r="F176" s="69">
        <f>13873900+90800-678700+244800-29000</f>
        <v>13501800</v>
      </c>
      <c r="G176" s="69">
        <f>10990800-556300-23800</f>
        <v>10410700</v>
      </c>
      <c r="H176" s="69">
        <v>164000</v>
      </c>
      <c r="I176" s="69"/>
      <c r="J176" s="69">
        <f>L176+O176</f>
        <v>0</v>
      </c>
      <c r="K176" s="69"/>
      <c r="L176" s="69"/>
      <c r="M176" s="69"/>
      <c r="N176" s="69"/>
      <c r="O176" s="69"/>
      <c r="P176" s="69">
        <f t="shared" ref="P176:P200" si="86">E176+J176</f>
        <v>13501800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23" customFormat="1" ht="19.5" customHeight="1" x14ac:dyDescent="0.25">
      <c r="A177" s="52" t="s">
        <v>330</v>
      </c>
      <c r="B177" s="45" t="str">
        <f>'дод 4'!A97</f>
        <v>3210</v>
      </c>
      <c r="C177" s="45" t="str">
        <f>'дод 4'!B97</f>
        <v>1050</v>
      </c>
      <c r="D177" s="22" t="str">
        <f>'дод 4'!C97</f>
        <v>Організація та проведення громадських робіт</v>
      </c>
      <c r="E177" s="69">
        <f t="shared" si="85"/>
        <v>250000</v>
      </c>
      <c r="F177" s="69">
        <f>400000-150000</f>
        <v>250000</v>
      </c>
      <c r="G177" s="69"/>
      <c r="H177" s="69"/>
      <c r="I177" s="69"/>
      <c r="J177" s="69">
        <f t="shared" ref="J177:J200" si="87">L177+O177</f>
        <v>0</v>
      </c>
      <c r="K177" s="69"/>
      <c r="L177" s="69"/>
      <c r="M177" s="69"/>
      <c r="N177" s="69"/>
      <c r="O177" s="69"/>
      <c r="P177" s="69">
        <f t="shared" si="86"/>
        <v>250000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23" customFormat="1" ht="38.25" customHeight="1" x14ac:dyDescent="0.25">
      <c r="A178" s="43" t="s">
        <v>214</v>
      </c>
      <c r="B178" s="44" t="str">
        <f>'дод 4'!A114</f>
        <v>6011</v>
      </c>
      <c r="C178" s="44" t="str">
        <f>'дод 4'!B114</f>
        <v>0610</v>
      </c>
      <c r="D178" s="24" t="str">
        <f>'дод 4'!C114</f>
        <v>Експлуатація та технічне обслуговування житлового фонду</v>
      </c>
      <c r="E178" s="69">
        <f t="shared" si="85"/>
        <v>0</v>
      </c>
      <c r="F178" s="69"/>
      <c r="G178" s="69"/>
      <c r="H178" s="69"/>
      <c r="I178" s="69"/>
      <c r="J178" s="69">
        <f t="shared" si="87"/>
        <v>12300333.93</v>
      </c>
      <c r="K178" s="69">
        <f>20000000-4500000-5000000-1188215.76-766.31+827545+291000+100000+309505+49000+1200000+49266+30000+54000+49000</f>
        <v>12270333.93</v>
      </c>
      <c r="L178" s="69"/>
      <c r="M178" s="69"/>
      <c r="N178" s="69"/>
      <c r="O178" s="69">
        <f>20000000+30000-4500000-5000000-1188215.76-766.31+827545+291000+100000+309505+49000+1200000+49266+30000+54000+49000</f>
        <v>12300333.93</v>
      </c>
      <c r="P178" s="69">
        <f t="shared" si="86"/>
        <v>12300333.93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</row>
    <row r="179" spans="1:529" s="23" customFormat="1" ht="33" customHeight="1" x14ac:dyDescent="0.25">
      <c r="A179" s="43" t="s">
        <v>215</v>
      </c>
      <c r="B179" s="44" t="str">
        <f>'дод 4'!A115</f>
        <v>6013</v>
      </c>
      <c r="C179" s="44" t="str">
        <f>'дод 4'!B115</f>
        <v>0620</v>
      </c>
      <c r="D179" s="24" t="str">
        <f>'дод 4'!C115</f>
        <v>Забезпечення діяльності водопровідно-каналізаційного господарства</v>
      </c>
      <c r="E179" s="69">
        <f t="shared" si="85"/>
        <v>39190000</v>
      </c>
      <c r="F179" s="69">
        <f>775000-350000+80000+185000</f>
        <v>690000</v>
      </c>
      <c r="G179" s="69"/>
      <c r="H179" s="69"/>
      <c r="I179" s="69">
        <f>30150000+350000+8000000</f>
        <v>38500000</v>
      </c>
      <c r="J179" s="69">
        <f t="shared" si="87"/>
        <v>2721000</v>
      </c>
      <c r="K179" s="69">
        <f>1700000+20000+1000+1000000</f>
        <v>2721000</v>
      </c>
      <c r="L179" s="69"/>
      <c r="M179" s="69"/>
      <c r="N179" s="69"/>
      <c r="O179" s="69">
        <f>1700000+20000+1000+1000000</f>
        <v>2721000</v>
      </c>
      <c r="P179" s="69">
        <f t="shared" si="86"/>
        <v>41911000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</row>
    <row r="180" spans="1:529" s="23" customFormat="1" ht="27.75" customHeight="1" x14ac:dyDescent="0.25">
      <c r="A180" s="43" t="s">
        <v>281</v>
      </c>
      <c r="B180" s="44" t="str">
        <f>'дод 4'!A116</f>
        <v>6015</v>
      </c>
      <c r="C180" s="44" t="str">
        <f>'дод 4'!B116</f>
        <v>0620</v>
      </c>
      <c r="D180" s="24" t="str">
        <f>'дод 4'!C116</f>
        <v>Забезпечення надійної та безперебійної експлуатації ліфтів</v>
      </c>
      <c r="E180" s="69">
        <f t="shared" si="85"/>
        <v>193887</v>
      </c>
      <c r="F180" s="69">
        <f>200000-6113</f>
        <v>193887</v>
      </c>
      <c r="G180" s="69"/>
      <c r="H180" s="69"/>
      <c r="I180" s="69"/>
      <c r="J180" s="69">
        <f t="shared" si="87"/>
        <v>13408448.83</v>
      </c>
      <c r="K180" s="69">
        <f>15000000+9-1500000-405560.17+164000+100000-935318+935318</f>
        <v>13358448.83</v>
      </c>
      <c r="L180" s="69"/>
      <c r="M180" s="69"/>
      <c r="N180" s="69"/>
      <c r="O180" s="69">
        <f>15000000+50000+9-1500000-405560.17+164000+100000-935318+935318</f>
        <v>13408448.83</v>
      </c>
      <c r="P180" s="69">
        <f t="shared" si="86"/>
        <v>13602335.83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23" customFormat="1" ht="38.25" customHeight="1" x14ac:dyDescent="0.25">
      <c r="A181" s="43" t="s">
        <v>284</v>
      </c>
      <c r="B181" s="44" t="str">
        <f>'дод 4'!A117</f>
        <v>6017</v>
      </c>
      <c r="C181" s="44" t="str">
        <f>'дод 4'!B117</f>
        <v>0620</v>
      </c>
      <c r="D181" s="24" t="str">
        <f>'дод 4'!C117</f>
        <v>Інша діяльність, пов’язана з експлуатацією об’єктів житлово-комунального господарства</v>
      </c>
      <c r="E181" s="69">
        <f t="shared" si="85"/>
        <v>100000</v>
      </c>
      <c r="F181" s="69">
        <f>100000+1500000-1500000</f>
        <v>100000</v>
      </c>
      <c r="G181" s="69"/>
      <c r="H181" s="69"/>
      <c r="I181" s="69"/>
      <c r="J181" s="69">
        <f t="shared" si="87"/>
        <v>0</v>
      </c>
      <c r="K181" s="69"/>
      <c r="L181" s="69"/>
      <c r="M181" s="69"/>
      <c r="N181" s="69"/>
      <c r="O181" s="69"/>
      <c r="P181" s="69">
        <f t="shared" si="86"/>
        <v>100000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</row>
    <row r="182" spans="1:529" s="23" customFormat="1" ht="45" x14ac:dyDescent="0.25">
      <c r="A182" s="43" t="s">
        <v>216</v>
      </c>
      <c r="B182" s="44" t="str">
        <f>'дод 4'!A118</f>
        <v>6020</v>
      </c>
      <c r="C182" s="44" t="str">
        <f>'дод 4'!B118</f>
        <v>0620</v>
      </c>
      <c r="D182" s="24" t="str">
        <f>'дод 4'!C118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82" s="69">
        <f t="shared" si="85"/>
        <v>2605232</v>
      </c>
      <c r="F182" s="69"/>
      <c r="G182" s="69"/>
      <c r="H182" s="69"/>
      <c r="I182" s="69">
        <f>2595232+2000000+10000-2000000</f>
        <v>2605232</v>
      </c>
      <c r="J182" s="69">
        <f t="shared" si="87"/>
        <v>2000000</v>
      </c>
      <c r="K182" s="69">
        <f>2000000-2000000+2000000</f>
        <v>2000000</v>
      </c>
      <c r="L182" s="69"/>
      <c r="M182" s="69"/>
      <c r="N182" s="69"/>
      <c r="O182" s="69">
        <f>2000000-2000000+2000000</f>
        <v>2000000</v>
      </c>
      <c r="P182" s="69">
        <f t="shared" si="86"/>
        <v>4605232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</row>
    <row r="183" spans="1:529" s="23" customFormat="1" ht="21.75" customHeight="1" x14ac:dyDescent="0.25">
      <c r="A183" s="43" t="s">
        <v>217</v>
      </c>
      <c r="B183" s="44" t="str">
        <f>'дод 4'!A119</f>
        <v>6030</v>
      </c>
      <c r="C183" s="44" t="str">
        <f>'дод 4'!B119</f>
        <v>0620</v>
      </c>
      <c r="D183" s="24" t="str">
        <f>'дод 4'!C119</f>
        <v>Організація благоустрою населених пунктів</v>
      </c>
      <c r="E183" s="69">
        <f t="shared" si="85"/>
        <v>196211729.56999999</v>
      </c>
      <c r="F183" s="69">
        <f>191911836-108000-2000000-100000-2000000+2907700+786500+575000+788511.57-2000000+199000-300000-100000+489939+100000-95000+377000+150000-16200-180000+180000-200000-127000+900000+211155+200000+35329-80000+290859-185000+150000-198000+30000+2000000+1175000+443100</f>
        <v>196211729.56999999</v>
      </c>
      <c r="G183" s="69"/>
      <c r="H183" s="69">
        <f>27870906-16200-180000-59000-34000</f>
        <v>27581706</v>
      </c>
      <c r="I183" s="69"/>
      <c r="J183" s="69">
        <f t="shared" si="87"/>
        <v>59511116.150000006</v>
      </c>
      <c r="K183" s="69">
        <f>27800000+1000000+5000000+5550000-5000000+150000+100000-4000000+10112784.63-4629526.59+12715677.07-18000+75000+110000-575000+163369.04+569000-199000-6600000-6700000-50000+110000+177000-1499889-748253+198000+7000000+5000000+4000000+7675000+1200000+500000+324954</f>
        <v>59511116.150000006</v>
      </c>
      <c r="L183" s="71"/>
      <c r="M183" s="69"/>
      <c r="N183" s="69"/>
      <c r="O183" s="69">
        <f>27800000+1000000+5000000+5550000-5000000+150000+100000-4000000+10112784.63-4629526.59+12715677.07-18000+75000+110000-575000+163369.04+569000-199000-6600000-6700000-50000+110000+177000-1499889-748253+198000+7000000+5000000+4000000+7675000+1200000+500000+324954</f>
        <v>59511116.150000006</v>
      </c>
      <c r="P183" s="69">
        <f t="shared" si="86"/>
        <v>255722845.72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</row>
    <row r="184" spans="1:529" s="23" customFormat="1" ht="31.5" customHeight="1" x14ac:dyDescent="0.25">
      <c r="A184" s="43" t="s">
        <v>274</v>
      </c>
      <c r="B184" s="44" t="str">
        <f>'дод 4'!A121</f>
        <v>6090</v>
      </c>
      <c r="C184" s="44" t="str">
        <f>'дод 4'!B121</f>
        <v>0640</v>
      </c>
      <c r="D184" s="24" t="str">
        <f>'дод 4'!C121</f>
        <v>Інша діяльність у сфері житлово-комунального господарства</v>
      </c>
      <c r="E184" s="69">
        <f t="shared" si="85"/>
        <v>8926708.3900000006</v>
      </c>
      <c r="F184" s="69">
        <f>16709746+579084+27300000-4300-19001249-1991050-1006880.61-569000-70000-70000-100000-5170304-100000-2351000-49000-166000-110000-15000-1428134-32000-13000-633100-492595-41400-30000-3000-13500-79000+309000-1301855-1134054</f>
        <v>8922408.3900000006</v>
      </c>
      <c r="G184" s="69"/>
      <c r="H184" s="69">
        <v>42400</v>
      </c>
      <c r="I184" s="69">
        <v>4300</v>
      </c>
      <c r="J184" s="69">
        <f t="shared" si="87"/>
        <v>800708.78999999911</v>
      </c>
      <c r="K184" s="69">
        <f>21793738-10545638.97-1288734.74-6359655.5-305000-2494000</f>
        <v>800708.78999999911</v>
      </c>
      <c r="L184" s="69"/>
      <c r="M184" s="69"/>
      <c r="N184" s="69"/>
      <c r="O184" s="69">
        <f>21793738-10545638.97-1288734.74-6359655.5-305000-2494000</f>
        <v>800708.78999999911</v>
      </c>
      <c r="P184" s="69">
        <f t="shared" si="86"/>
        <v>9727417.1799999997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</row>
    <row r="185" spans="1:529" s="23" customFormat="1" ht="33" customHeight="1" x14ac:dyDescent="0.25">
      <c r="A185" s="43" t="s">
        <v>293</v>
      </c>
      <c r="B185" s="44" t="str">
        <f>'дод 4'!A130</f>
        <v>7310</v>
      </c>
      <c r="C185" s="44" t="str">
        <f>'дод 4'!B130</f>
        <v>0443</v>
      </c>
      <c r="D185" s="24" t="str">
        <f>'дод 4'!C130</f>
        <v>Будівництво об'єктів житлово-комунального господарства</v>
      </c>
      <c r="E185" s="69">
        <f t="shared" si="85"/>
        <v>0</v>
      </c>
      <c r="F185" s="69"/>
      <c r="G185" s="69"/>
      <c r="H185" s="69"/>
      <c r="I185" s="69"/>
      <c r="J185" s="69">
        <f t="shared" si="87"/>
        <v>9007297.7599999979</v>
      </c>
      <c r="K185" s="69">
        <f>12540000-60000+40000+8953612-4000000+2338215.76-3000+2000-8410000-1200000-494730+230000-1380000+300000+16200+135000</f>
        <v>9007297.7599999979</v>
      </c>
      <c r="L185" s="69"/>
      <c r="M185" s="69"/>
      <c r="N185" s="69"/>
      <c r="O185" s="69">
        <f>12540000-60000+40000+8953612-4000000+2338215.76-3000+2000-8410000-1200000-494730+230000-1380000+300000+16200+135000</f>
        <v>9007297.7599999979</v>
      </c>
      <c r="P185" s="69">
        <f t="shared" si="86"/>
        <v>9007297.7599999979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</row>
    <row r="186" spans="1:529" s="23" customFormat="1" ht="21.75" customHeight="1" x14ac:dyDescent="0.25">
      <c r="A186" s="43" t="s">
        <v>295</v>
      </c>
      <c r="B186" s="44" t="str">
        <f>'дод 4'!A135</f>
        <v>7330</v>
      </c>
      <c r="C186" s="44" t="str">
        <f>'дод 4'!B135</f>
        <v>0443</v>
      </c>
      <c r="D186" s="24" t="str">
        <f>'дод 4'!C135</f>
        <v>Будівництво інших об'єктів комунальної власності</v>
      </c>
      <c r="E186" s="69">
        <f t="shared" si="85"/>
        <v>0</v>
      </c>
      <c r="F186" s="69"/>
      <c r="G186" s="69"/>
      <c r="H186" s="69"/>
      <c r="I186" s="69"/>
      <c r="J186" s="69">
        <f t="shared" si="87"/>
        <v>17507140.77</v>
      </c>
      <c r="K186" s="69">
        <f>15750000+4777000+3000-50000-100000-5550000-700000+550000-4000000+432854.34-1950000+4818144.43+210000+68000-8500000+1499889+748253-2000000+9500000+2000000</f>
        <v>17507140.77</v>
      </c>
      <c r="L186" s="69"/>
      <c r="M186" s="69"/>
      <c r="N186" s="69"/>
      <c r="O186" s="69">
        <f>15750000+4777000+3000-50000-100000-5550000-700000+550000-4000000+432854.34-1950000+4818144.43+210000+68000-8500000+1499889+748253-2000000+9500000+2000000</f>
        <v>17507140.77</v>
      </c>
      <c r="P186" s="69">
        <f t="shared" si="86"/>
        <v>17507140.77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</row>
    <row r="187" spans="1:529" s="23" customFormat="1" ht="29.25" customHeight="1" x14ac:dyDescent="0.25">
      <c r="A187" s="43" t="s">
        <v>218</v>
      </c>
      <c r="B187" s="44">
        <f>'дод 4'!A134</f>
        <v>7325</v>
      </c>
      <c r="C187" s="44" t="str">
        <f>'дод 4'!B134</f>
        <v>0443</v>
      </c>
      <c r="D187" s="24" t="str">
        <f>'дод 4'!C134</f>
        <v>Будівництво споруд, установ та закладів фізичної культури і спорту</v>
      </c>
      <c r="E187" s="69">
        <f t="shared" ref="E187" si="88">F187+I187</f>
        <v>0</v>
      </c>
      <c r="F187" s="69"/>
      <c r="G187" s="69"/>
      <c r="H187" s="69"/>
      <c r="I187" s="69"/>
      <c r="J187" s="69">
        <f t="shared" ref="J187" si="89">L187+O187</f>
        <v>3000000</v>
      </c>
      <c r="K187" s="69">
        <v>3000000</v>
      </c>
      <c r="L187" s="69"/>
      <c r="M187" s="69"/>
      <c r="N187" s="69"/>
      <c r="O187" s="69">
        <v>3000000</v>
      </c>
      <c r="P187" s="69">
        <f t="shared" ref="P187" si="90">E187+J187</f>
        <v>3000000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</row>
    <row r="188" spans="1:529" s="23" customFormat="1" ht="49.5" customHeight="1" x14ac:dyDescent="0.25">
      <c r="A188" s="43" t="s">
        <v>416</v>
      </c>
      <c r="B188" s="44">
        <f>'дод 4'!A137</f>
        <v>7361</v>
      </c>
      <c r="C188" s="44" t="str">
        <f>'дод 4'!B137</f>
        <v>0490</v>
      </c>
      <c r="D188" s="24" t="str">
        <f>'дод 4'!C137</f>
        <v>Співфінансування інвестиційних проектів, що реалізуються за рахунок коштів державного фонду регіонального розвитку</v>
      </c>
      <c r="E188" s="69">
        <f t="shared" si="85"/>
        <v>0</v>
      </c>
      <c r="F188" s="69"/>
      <c r="G188" s="69"/>
      <c r="H188" s="69"/>
      <c r="I188" s="69"/>
      <c r="J188" s="69">
        <f t="shared" si="87"/>
        <v>1386113</v>
      </c>
      <c r="K188" s="69">
        <v>1386113</v>
      </c>
      <c r="L188" s="69"/>
      <c r="M188" s="69"/>
      <c r="N188" s="69"/>
      <c r="O188" s="69">
        <v>1386113</v>
      </c>
      <c r="P188" s="69">
        <f t="shared" si="86"/>
        <v>1386113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</row>
    <row r="189" spans="1:529" s="23" customFormat="1" ht="30" x14ac:dyDescent="0.25">
      <c r="A189" s="43">
        <v>1217362</v>
      </c>
      <c r="B189" s="44">
        <f>'дод 4'!A138</f>
        <v>7362</v>
      </c>
      <c r="C189" s="44" t="str">
        <f>'дод 4'!B138</f>
        <v>0490</v>
      </c>
      <c r="D189" s="24" t="str">
        <f>'дод 4'!C138</f>
        <v>Виконання інвестиційних проектів в рамках підтримки розвитку об'єднаних територіальних громад</v>
      </c>
      <c r="E189" s="69">
        <f t="shared" si="85"/>
        <v>0</v>
      </c>
      <c r="F189" s="69"/>
      <c r="G189" s="69"/>
      <c r="H189" s="69"/>
      <c r="I189" s="69"/>
      <c r="J189" s="69">
        <f t="shared" si="87"/>
        <v>75600</v>
      </c>
      <c r="K189" s="69">
        <v>75600</v>
      </c>
      <c r="L189" s="69"/>
      <c r="M189" s="69"/>
      <c r="N189" s="69"/>
      <c r="O189" s="69">
        <v>75600</v>
      </c>
      <c r="P189" s="69">
        <f t="shared" si="86"/>
        <v>75600</v>
      </c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</row>
    <row r="190" spans="1:529" s="23" customFormat="1" ht="45" x14ac:dyDescent="0.25">
      <c r="A190" s="43" t="s">
        <v>412</v>
      </c>
      <c r="B190" s="44">
        <v>7363</v>
      </c>
      <c r="C190" s="110" t="s">
        <v>89</v>
      </c>
      <c r="D190" s="22" t="s">
        <v>463</v>
      </c>
      <c r="E190" s="69">
        <f t="shared" si="85"/>
        <v>0</v>
      </c>
      <c r="F190" s="69"/>
      <c r="G190" s="69"/>
      <c r="H190" s="69"/>
      <c r="I190" s="69"/>
      <c r="J190" s="69">
        <f t="shared" si="87"/>
        <v>956186.69000000006</v>
      </c>
      <c r="K190" s="69">
        <f>18766.31+937420.38</f>
        <v>956186.69000000006</v>
      </c>
      <c r="L190" s="69"/>
      <c r="M190" s="69"/>
      <c r="N190" s="69"/>
      <c r="O190" s="69">
        <f>18766.31+937420.38</f>
        <v>956186.69000000006</v>
      </c>
      <c r="P190" s="69">
        <f t="shared" si="86"/>
        <v>956186.69000000006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</row>
    <row r="191" spans="1:529" s="27" customFormat="1" ht="45" x14ac:dyDescent="0.25">
      <c r="A191" s="161"/>
      <c r="B191" s="162"/>
      <c r="C191" s="162"/>
      <c r="D191" s="159" t="s">
        <v>452</v>
      </c>
      <c r="E191" s="160">
        <f t="shared" si="85"/>
        <v>0</v>
      </c>
      <c r="F191" s="160"/>
      <c r="G191" s="160"/>
      <c r="H191" s="160"/>
      <c r="I191" s="160"/>
      <c r="J191" s="160">
        <f t="shared" si="87"/>
        <v>937420.38</v>
      </c>
      <c r="K191" s="160">
        <v>937420.38</v>
      </c>
      <c r="L191" s="160"/>
      <c r="M191" s="160"/>
      <c r="N191" s="160"/>
      <c r="O191" s="160">
        <v>937420.38</v>
      </c>
      <c r="P191" s="160">
        <f t="shared" si="86"/>
        <v>937420.38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P191" s="36"/>
      <c r="IQ191" s="3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  <c r="JD191" s="36"/>
      <c r="JE191" s="36"/>
      <c r="JF191" s="36"/>
      <c r="JG191" s="36"/>
      <c r="JH191" s="36"/>
      <c r="JI191" s="36"/>
      <c r="JJ191" s="36"/>
      <c r="JK191" s="36"/>
      <c r="JL191" s="36"/>
      <c r="JM191" s="36"/>
      <c r="JN191" s="36"/>
      <c r="JO191" s="36"/>
      <c r="JP191" s="36"/>
      <c r="JQ191" s="36"/>
      <c r="JR191" s="36"/>
      <c r="JS191" s="36"/>
      <c r="JT191" s="36"/>
      <c r="JU191" s="36"/>
      <c r="JV191" s="36"/>
      <c r="JW191" s="36"/>
      <c r="JX191" s="36"/>
      <c r="JY191" s="36"/>
      <c r="JZ191" s="36"/>
      <c r="KA191" s="36"/>
      <c r="KB191" s="36"/>
      <c r="KC191" s="36"/>
      <c r="KD191" s="36"/>
      <c r="KE191" s="36"/>
      <c r="KF191" s="36"/>
      <c r="KG191" s="36"/>
      <c r="KH191" s="36"/>
      <c r="KI191" s="36"/>
      <c r="KJ191" s="36"/>
      <c r="KK191" s="36"/>
      <c r="KL191" s="36"/>
      <c r="KM191" s="36"/>
      <c r="KN191" s="36"/>
      <c r="KO191" s="36"/>
      <c r="KP191" s="36"/>
      <c r="KQ191" s="36"/>
      <c r="KR191" s="36"/>
      <c r="KS191" s="36"/>
      <c r="KT191" s="36"/>
      <c r="KU191" s="36"/>
      <c r="KV191" s="36"/>
      <c r="KW191" s="36"/>
      <c r="KX191" s="36"/>
      <c r="KY191" s="36"/>
      <c r="KZ191" s="36"/>
      <c r="LA191" s="36"/>
      <c r="LB191" s="36"/>
      <c r="LC191" s="36"/>
      <c r="LD191" s="36"/>
      <c r="LE191" s="36"/>
      <c r="LF191" s="36"/>
      <c r="LG191" s="36"/>
      <c r="LH191" s="36"/>
      <c r="LI191" s="36"/>
      <c r="LJ191" s="36"/>
      <c r="LK191" s="36"/>
      <c r="LL191" s="36"/>
      <c r="LM191" s="36"/>
      <c r="LN191" s="36"/>
      <c r="LO191" s="36"/>
      <c r="LP191" s="36"/>
      <c r="LQ191" s="36"/>
      <c r="LR191" s="36"/>
      <c r="LS191" s="36"/>
      <c r="LT191" s="36"/>
      <c r="LU191" s="36"/>
      <c r="LV191" s="36"/>
      <c r="LW191" s="36"/>
      <c r="LX191" s="36"/>
      <c r="LY191" s="36"/>
      <c r="LZ191" s="36"/>
      <c r="MA191" s="36"/>
      <c r="MB191" s="36"/>
      <c r="MC191" s="36"/>
      <c r="MD191" s="36"/>
      <c r="ME191" s="36"/>
      <c r="MF191" s="36"/>
      <c r="MG191" s="36"/>
      <c r="MH191" s="36"/>
      <c r="MI191" s="36"/>
      <c r="MJ191" s="36"/>
      <c r="MK191" s="36"/>
      <c r="ML191" s="36"/>
      <c r="MM191" s="36"/>
      <c r="MN191" s="36"/>
      <c r="MO191" s="36"/>
      <c r="MP191" s="36"/>
      <c r="MQ191" s="36"/>
      <c r="MR191" s="36"/>
      <c r="MS191" s="36"/>
      <c r="MT191" s="36"/>
      <c r="MU191" s="36"/>
      <c r="MV191" s="36"/>
      <c r="MW191" s="36"/>
      <c r="MX191" s="36"/>
      <c r="MY191" s="36"/>
      <c r="MZ191" s="36"/>
      <c r="NA191" s="36"/>
      <c r="NB191" s="36"/>
      <c r="NC191" s="36"/>
      <c r="ND191" s="36"/>
      <c r="NE191" s="36"/>
      <c r="NF191" s="36"/>
      <c r="NG191" s="36"/>
      <c r="NH191" s="36"/>
      <c r="NI191" s="36"/>
      <c r="NJ191" s="36"/>
      <c r="NK191" s="36"/>
      <c r="NL191" s="36"/>
      <c r="NM191" s="36"/>
      <c r="NN191" s="36"/>
      <c r="NO191" s="36"/>
      <c r="NP191" s="36"/>
      <c r="NQ191" s="36"/>
      <c r="NR191" s="36"/>
      <c r="NS191" s="36"/>
      <c r="NT191" s="36"/>
      <c r="NU191" s="36"/>
      <c r="NV191" s="36"/>
      <c r="NW191" s="36"/>
      <c r="NX191" s="36"/>
      <c r="NY191" s="36"/>
      <c r="NZ191" s="36"/>
      <c r="OA191" s="36"/>
      <c r="OB191" s="36"/>
      <c r="OC191" s="36"/>
      <c r="OD191" s="36"/>
      <c r="OE191" s="36"/>
      <c r="OF191" s="36"/>
      <c r="OG191" s="36"/>
      <c r="OH191" s="36"/>
      <c r="OI191" s="36"/>
      <c r="OJ191" s="36"/>
      <c r="OK191" s="36"/>
      <c r="OL191" s="36"/>
      <c r="OM191" s="36"/>
      <c r="ON191" s="36"/>
      <c r="OO191" s="36"/>
      <c r="OP191" s="36"/>
      <c r="OQ191" s="36"/>
      <c r="OR191" s="36"/>
      <c r="OS191" s="36"/>
      <c r="OT191" s="36"/>
      <c r="OU191" s="36"/>
      <c r="OV191" s="36"/>
      <c r="OW191" s="36"/>
      <c r="OX191" s="36"/>
      <c r="OY191" s="36"/>
      <c r="OZ191" s="36"/>
      <c r="PA191" s="36"/>
      <c r="PB191" s="36"/>
      <c r="PC191" s="36"/>
      <c r="PD191" s="36"/>
      <c r="PE191" s="36"/>
      <c r="PF191" s="36"/>
      <c r="PG191" s="36"/>
      <c r="PH191" s="36"/>
      <c r="PI191" s="36"/>
      <c r="PJ191" s="36"/>
      <c r="PK191" s="36"/>
      <c r="PL191" s="36"/>
      <c r="PM191" s="36"/>
      <c r="PN191" s="36"/>
      <c r="PO191" s="36"/>
      <c r="PP191" s="36"/>
      <c r="PQ191" s="36"/>
      <c r="PR191" s="36"/>
      <c r="PS191" s="36"/>
      <c r="PT191" s="36"/>
      <c r="PU191" s="36"/>
      <c r="PV191" s="36"/>
      <c r="PW191" s="36"/>
      <c r="PX191" s="36"/>
      <c r="PY191" s="36"/>
      <c r="PZ191" s="36"/>
      <c r="QA191" s="36"/>
      <c r="QB191" s="36"/>
      <c r="QC191" s="36"/>
      <c r="QD191" s="36"/>
      <c r="QE191" s="36"/>
      <c r="QF191" s="36"/>
      <c r="QG191" s="36"/>
      <c r="QH191" s="36"/>
      <c r="QI191" s="36"/>
      <c r="QJ191" s="36"/>
      <c r="QK191" s="36"/>
      <c r="QL191" s="36"/>
      <c r="QM191" s="36"/>
      <c r="QN191" s="36"/>
      <c r="QO191" s="36"/>
      <c r="QP191" s="36"/>
      <c r="QQ191" s="36"/>
      <c r="QR191" s="36"/>
      <c r="QS191" s="36"/>
      <c r="QT191" s="36"/>
      <c r="QU191" s="36"/>
      <c r="QV191" s="36"/>
      <c r="QW191" s="36"/>
      <c r="QX191" s="36"/>
      <c r="QY191" s="36"/>
      <c r="QZ191" s="36"/>
      <c r="RA191" s="36"/>
      <c r="RB191" s="36"/>
      <c r="RC191" s="36"/>
      <c r="RD191" s="36"/>
      <c r="RE191" s="36"/>
      <c r="RF191" s="36"/>
      <c r="RG191" s="36"/>
      <c r="RH191" s="36"/>
      <c r="RI191" s="36"/>
      <c r="RJ191" s="36"/>
      <c r="RK191" s="36"/>
      <c r="RL191" s="36"/>
      <c r="RM191" s="36"/>
      <c r="RN191" s="36"/>
      <c r="RO191" s="36"/>
      <c r="RP191" s="36"/>
      <c r="RQ191" s="36"/>
      <c r="RR191" s="36"/>
      <c r="RS191" s="36"/>
      <c r="RT191" s="36"/>
      <c r="RU191" s="36"/>
      <c r="RV191" s="36"/>
      <c r="RW191" s="36"/>
      <c r="RX191" s="36"/>
      <c r="RY191" s="36"/>
      <c r="RZ191" s="36"/>
      <c r="SA191" s="36"/>
      <c r="SB191" s="36"/>
      <c r="SC191" s="36"/>
      <c r="SD191" s="36"/>
      <c r="SE191" s="36"/>
      <c r="SF191" s="36"/>
      <c r="SG191" s="36"/>
      <c r="SH191" s="36"/>
      <c r="SI191" s="36"/>
      <c r="SJ191" s="36"/>
      <c r="SK191" s="36"/>
      <c r="SL191" s="36"/>
      <c r="SM191" s="36"/>
      <c r="SN191" s="36"/>
      <c r="SO191" s="36"/>
      <c r="SP191" s="36"/>
      <c r="SQ191" s="36"/>
      <c r="SR191" s="36"/>
      <c r="SS191" s="36"/>
      <c r="ST191" s="36"/>
      <c r="SU191" s="36"/>
      <c r="SV191" s="36"/>
      <c r="SW191" s="36"/>
      <c r="SX191" s="36"/>
      <c r="SY191" s="36"/>
      <c r="SZ191" s="36"/>
      <c r="TA191" s="36"/>
      <c r="TB191" s="36"/>
      <c r="TC191" s="36"/>
      <c r="TD191" s="36"/>
      <c r="TE191" s="36"/>
      <c r="TF191" s="36"/>
      <c r="TG191" s="36"/>
      <c r="TH191" s="36"/>
      <c r="TI191" s="36"/>
    </row>
    <row r="192" spans="1:529" s="23" customFormat="1" ht="47.25" customHeight="1" x14ac:dyDescent="0.25">
      <c r="A192" s="43" t="s">
        <v>421</v>
      </c>
      <c r="B192" s="44">
        <f>'дод 4'!A146</f>
        <v>7462</v>
      </c>
      <c r="C192" s="43" t="s">
        <v>465</v>
      </c>
      <c r="D192" s="77" t="str">
        <f>'дод 4'!C146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192" s="69">
        <f t="shared" ref="E192:E193" si="91">F192+I192</f>
        <v>0</v>
      </c>
      <c r="F192" s="69"/>
      <c r="G192" s="69"/>
      <c r="H192" s="69"/>
      <c r="I192" s="69"/>
      <c r="J192" s="69">
        <f t="shared" ref="J192:J193" si="92">L192+O192</f>
        <v>80000000</v>
      </c>
      <c r="K192" s="69"/>
      <c r="L192" s="69">
        <v>80000000</v>
      </c>
      <c r="M192" s="69"/>
      <c r="N192" s="69"/>
      <c r="O192" s="69"/>
      <c r="P192" s="69">
        <f t="shared" ref="P192:P193" si="93">E192+J192</f>
        <v>80000000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27" customFormat="1" ht="105" x14ac:dyDescent="0.25">
      <c r="A193" s="161"/>
      <c r="B193" s="162"/>
      <c r="C193" s="162"/>
      <c r="D193" s="159" t="s">
        <v>461</v>
      </c>
      <c r="E193" s="160">
        <f t="shared" si="91"/>
        <v>0</v>
      </c>
      <c r="F193" s="160"/>
      <c r="G193" s="160"/>
      <c r="H193" s="160"/>
      <c r="I193" s="160"/>
      <c r="J193" s="160">
        <f t="shared" si="92"/>
        <v>80000000</v>
      </c>
      <c r="K193" s="160"/>
      <c r="L193" s="160">
        <v>80000000</v>
      </c>
      <c r="M193" s="160"/>
      <c r="N193" s="160"/>
      <c r="O193" s="160"/>
      <c r="P193" s="160">
        <f t="shared" si="93"/>
        <v>80000000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6"/>
      <c r="IM193" s="36"/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  <c r="IX193" s="36"/>
      <c r="IY193" s="36"/>
      <c r="IZ193" s="36"/>
      <c r="JA193" s="36"/>
      <c r="JB193" s="36"/>
      <c r="JC193" s="36"/>
      <c r="JD193" s="36"/>
      <c r="JE193" s="36"/>
      <c r="JF193" s="36"/>
      <c r="JG193" s="36"/>
      <c r="JH193" s="36"/>
      <c r="JI193" s="36"/>
      <c r="JJ193" s="36"/>
      <c r="JK193" s="36"/>
      <c r="JL193" s="36"/>
      <c r="JM193" s="36"/>
      <c r="JN193" s="36"/>
      <c r="JO193" s="36"/>
      <c r="JP193" s="36"/>
      <c r="JQ193" s="36"/>
      <c r="JR193" s="36"/>
      <c r="JS193" s="36"/>
      <c r="JT193" s="36"/>
      <c r="JU193" s="36"/>
      <c r="JV193" s="36"/>
      <c r="JW193" s="36"/>
      <c r="JX193" s="36"/>
      <c r="JY193" s="36"/>
      <c r="JZ193" s="36"/>
      <c r="KA193" s="36"/>
      <c r="KB193" s="36"/>
      <c r="KC193" s="36"/>
      <c r="KD193" s="36"/>
      <c r="KE193" s="36"/>
      <c r="KF193" s="36"/>
      <c r="KG193" s="36"/>
      <c r="KH193" s="36"/>
      <c r="KI193" s="36"/>
      <c r="KJ193" s="36"/>
      <c r="KK193" s="36"/>
      <c r="KL193" s="36"/>
      <c r="KM193" s="36"/>
      <c r="KN193" s="36"/>
      <c r="KO193" s="36"/>
      <c r="KP193" s="36"/>
      <c r="KQ193" s="36"/>
      <c r="KR193" s="36"/>
      <c r="KS193" s="36"/>
      <c r="KT193" s="36"/>
      <c r="KU193" s="36"/>
      <c r="KV193" s="36"/>
      <c r="KW193" s="36"/>
      <c r="KX193" s="36"/>
      <c r="KY193" s="36"/>
      <c r="KZ193" s="36"/>
      <c r="LA193" s="36"/>
      <c r="LB193" s="36"/>
      <c r="LC193" s="36"/>
      <c r="LD193" s="36"/>
      <c r="LE193" s="36"/>
      <c r="LF193" s="36"/>
      <c r="LG193" s="36"/>
      <c r="LH193" s="36"/>
      <c r="LI193" s="36"/>
      <c r="LJ193" s="36"/>
      <c r="LK193" s="36"/>
      <c r="LL193" s="36"/>
      <c r="LM193" s="36"/>
      <c r="LN193" s="36"/>
      <c r="LO193" s="36"/>
      <c r="LP193" s="36"/>
      <c r="LQ193" s="36"/>
      <c r="LR193" s="36"/>
      <c r="LS193" s="36"/>
      <c r="LT193" s="36"/>
      <c r="LU193" s="36"/>
      <c r="LV193" s="36"/>
      <c r="LW193" s="36"/>
      <c r="LX193" s="36"/>
      <c r="LY193" s="36"/>
      <c r="LZ193" s="36"/>
      <c r="MA193" s="36"/>
      <c r="MB193" s="36"/>
      <c r="MC193" s="36"/>
      <c r="MD193" s="36"/>
      <c r="ME193" s="36"/>
      <c r="MF193" s="36"/>
      <c r="MG193" s="36"/>
      <c r="MH193" s="36"/>
      <c r="MI193" s="36"/>
      <c r="MJ193" s="36"/>
      <c r="MK193" s="36"/>
      <c r="ML193" s="36"/>
      <c r="MM193" s="36"/>
      <c r="MN193" s="36"/>
      <c r="MO193" s="36"/>
      <c r="MP193" s="36"/>
      <c r="MQ193" s="36"/>
      <c r="MR193" s="36"/>
      <c r="MS193" s="36"/>
      <c r="MT193" s="36"/>
      <c r="MU193" s="36"/>
      <c r="MV193" s="36"/>
      <c r="MW193" s="36"/>
      <c r="MX193" s="36"/>
      <c r="MY193" s="36"/>
      <c r="MZ193" s="36"/>
      <c r="NA193" s="36"/>
      <c r="NB193" s="36"/>
      <c r="NC193" s="36"/>
      <c r="ND193" s="36"/>
      <c r="NE193" s="36"/>
      <c r="NF193" s="36"/>
      <c r="NG193" s="36"/>
      <c r="NH193" s="36"/>
      <c r="NI193" s="36"/>
      <c r="NJ193" s="36"/>
      <c r="NK193" s="36"/>
      <c r="NL193" s="36"/>
      <c r="NM193" s="36"/>
      <c r="NN193" s="36"/>
      <c r="NO193" s="36"/>
      <c r="NP193" s="36"/>
      <c r="NQ193" s="36"/>
      <c r="NR193" s="36"/>
      <c r="NS193" s="36"/>
      <c r="NT193" s="36"/>
      <c r="NU193" s="36"/>
      <c r="NV193" s="36"/>
      <c r="NW193" s="36"/>
      <c r="NX193" s="36"/>
      <c r="NY193" s="36"/>
      <c r="NZ193" s="36"/>
      <c r="OA193" s="36"/>
      <c r="OB193" s="36"/>
      <c r="OC193" s="36"/>
      <c r="OD193" s="36"/>
      <c r="OE193" s="36"/>
      <c r="OF193" s="36"/>
      <c r="OG193" s="36"/>
      <c r="OH193" s="36"/>
      <c r="OI193" s="36"/>
      <c r="OJ193" s="36"/>
      <c r="OK193" s="36"/>
      <c r="OL193" s="36"/>
      <c r="OM193" s="36"/>
      <c r="ON193" s="36"/>
      <c r="OO193" s="36"/>
      <c r="OP193" s="36"/>
      <c r="OQ193" s="36"/>
      <c r="OR193" s="36"/>
      <c r="OS193" s="36"/>
      <c r="OT193" s="36"/>
      <c r="OU193" s="36"/>
      <c r="OV193" s="36"/>
      <c r="OW193" s="36"/>
      <c r="OX193" s="36"/>
      <c r="OY193" s="36"/>
      <c r="OZ193" s="36"/>
      <c r="PA193" s="36"/>
      <c r="PB193" s="36"/>
      <c r="PC193" s="36"/>
      <c r="PD193" s="36"/>
      <c r="PE193" s="36"/>
      <c r="PF193" s="36"/>
      <c r="PG193" s="36"/>
      <c r="PH193" s="36"/>
      <c r="PI193" s="36"/>
      <c r="PJ193" s="36"/>
      <c r="PK193" s="36"/>
      <c r="PL193" s="36"/>
      <c r="PM193" s="36"/>
      <c r="PN193" s="36"/>
      <c r="PO193" s="36"/>
      <c r="PP193" s="36"/>
      <c r="PQ193" s="36"/>
      <c r="PR193" s="36"/>
      <c r="PS193" s="36"/>
      <c r="PT193" s="36"/>
      <c r="PU193" s="36"/>
      <c r="PV193" s="36"/>
      <c r="PW193" s="36"/>
      <c r="PX193" s="36"/>
      <c r="PY193" s="36"/>
      <c r="PZ193" s="36"/>
      <c r="QA193" s="36"/>
      <c r="QB193" s="36"/>
      <c r="QC193" s="36"/>
      <c r="QD193" s="36"/>
      <c r="QE193" s="36"/>
      <c r="QF193" s="36"/>
      <c r="QG193" s="36"/>
      <c r="QH193" s="36"/>
      <c r="QI193" s="36"/>
      <c r="QJ193" s="36"/>
      <c r="QK193" s="36"/>
      <c r="QL193" s="36"/>
      <c r="QM193" s="36"/>
      <c r="QN193" s="36"/>
      <c r="QO193" s="36"/>
      <c r="QP193" s="36"/>
      <c r="QQ193" s="36"/>
      <c r="QR193" s="36"/>
      <c r="QS193" s="36"/>
      <c r="QT193" s="36"/>
      <c r="QU193" s="36"/>
      <c r="QV193" s="36"/>
      <c r="QW193" s="36"/>
      <c r="QX193" s="36"/>
      <c r="QY193" s="36"/>
      <c r="QZ193" s="36"/>
      <c r="RA193" s="36"/>
      <c r="RB193" s="36"/>
      <c r="RC193" s="36"/>
      <c r="RD193" s="36"/>
      <c r="RE193" s="36"/>
      <c r="RF193" s="36"/>
      <c r="RG193" s="36"/>
      <c r="RH193" s="36"/>
      <c r="RI193" s="36"/>
      <c r="RJ193" s="36"/>
      <c r="RK193" s="36"/>
      <c r="RL193" s="36"/>
      <c r="RM193" s="36"/>
      <c r="RN193" s="36"/>
      <c r="RO193" s="36"/>
      <c r="RP193" s="36"/>
      <c r="RQ193" s="36"/>
      <c r="RR193" s="36"/>
      <c r="RS193" s="36"/>
      <c r="RT193" s="36"/>
      <c r="RU193" s="36"/>
      <c r="RV193" s="36"/>
      <c r="RW193" s="36"/>
      <c r="RX193" s="36"/>
      <c r="RY193" s="36"/>
      <c r="RZ193" s="36"/>
      <c r="SA193" s="36"/>
      <c r="SB193" s="36"/>
      <c r="SC193" s="36"/>
      <c r="SD193" s="36"/>
      <c r="SE193" s="36"/>
      <c r="SF193" s="36"/>
      <c r="SG193" s="36"/>
      <c r="SH193" s="36"/>
      <c r="SI193" s="36"/>
      <c r="SJ193" s="36"/>
      <c r="SK193" s="36"/>
      <c r="SL193" s="36"/>
      <c r="SM193" s="36"/>
      <c r="SN193" s="36"/>
      <c r="SO193" s="36"/>
      <c r="SP193" s="36"/>
      <c r="SQ193" s="36"/>
      <c r="SR193" s="36"/>
      <c r="SS193" s="36"/>
      <c r="ST193" s="36"/>
      <c r="SU193" s="36"/>
      <c r="SV193" s="36"/>
      <c r="SW193" s="36"/>
      <c r="SX193" s="36"/>
      <c r="SY193" s="36"/>
      <c r="SZ193" s="36"/>
      <c r="TA193" s="36"/>
      <c r="TB193" s="36"/>
      <c r="TC193" s="36"/>
      <c r="TD193" s="36"/>
      <c r="TE193" s="36"/>
      <c r="TF193" s="36"/>
      <c r="TG193" s="36"/>
      <c r="TH193" s="36"/>
      <c r="TI193" s="36"/>
    </row>
    <row r="194" spans="1:529" s="23" customFormat="1" ht="20.25" customHeight="1" x14ac:dyDescent="0.25">
      <c r="A194" s="43" t="s">
        <v>219</v>
      </c>
      <c r="B194" s="44" t="str">
        <f>'дод 4'!A153</f>
        <v>7640</v>
      </c>
      <c r="C194" s="44" t="str">
        <f>'дод 4'!B153</f>
        <v>0470</v>
      </c>
      <c r="D194" s="24" t="s">
        <v>515</v>
      </c>
      <c r="E194" s="69">
        <f t="shared" si="85"/>
        <v>2200000</v>
      </c>
      <c r="F194" s="69">
        <f>750000-250000+200000</f>
        <v>700000</v>
      </c>
      <c r="G194" s="69"/>
      <c r="H194" s="69"/>
      <c r="I194" s="69">
        <f>750000+250000+500000</f>
        <v>1500000</v>
      </c>
      <c r="J194" s="69">
        <f t="shared" si="87"/>
        <v>0</v>
      </c>
      <c r="K194" s="69"/>
      <c r="L194" s="69"/>
      <c r="M194" s="69"/>
      <c r="N194" s="69"/>
      <c r="O194" s="69"/>
      <c r="P194" s="69">
        <f t="shared" si="86"/>
        <v>2200000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</row>
    <row r="195" spans="1:529" s="23" customFormat="1" ht="23.25" customHeight="1" x14ac:dyDescent="0.25">
      <c r="A195" s="43" t="s">
        <v>363</v>
      </c>
      <c r="B195" s="44" t="str">
        <f>'дод 4'!A157</f>
        <v>7670</v>
      </c>
      <c r="C195" s="44" t="str">
        <f>'дод 4'!B157</f>
        <v>0490</v>
      </c>
      <c r="D195" s="24" t="str">
        <f>'дод 4'!C157</f>
        <v>Внески до статутного капіталу суб’єктів господарювання</v>
      </c>
      <c r="E195" s="69">
        <f t="shared" si="85"/>
        <v>0</v>
      </c>
      <c r="F195" s="69"/>
      <c r="G195" s="69"/>
      <c r="H195" s="69"/>
      <c r="I195" s="69"/>
      <c r="J195" s="69">
        <f t="shared" si="87"/>
        <v>7042330</v>
      </c>
      <c r="K195" s="69">
        <f>7042330+10000000-10000000</f>
        <v>7042330</v>
      </c>
      <c r="L195" s="69"/>
      <c r="M195" s="69"/>
      <c r="N195" s="69"/>
      <c r="O195" s="69">
        <f>7042330+10000000-10000000</f>
        <v>7042330</v>
      </c>
      <c r="P195" s="69">
        <f t="shared" si="86"/>
        <v>7042330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</row>
    <row r="196" spans="1:529" s="23" customFormat="1" ht="102" customHeight="1" x14ac:dyDescent="0.25">
      <c r="A196" s="52" t="s">
        <v>328</v>
      </c>
      <c r="B196" s="45">
        <v>7691</v>
      </c>
      <c r="C196" s="45" t="s">
        <v>89</v>
      </c>
      <c r="D196" s="22" t="str">
        <f>'дод 4'!C159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96" s="69">
        <f t="shared" si="85"/>
        <v>0</v>
      </c>
      <c r="F196" s="69"/>
      <c r="G196" s="69"/>
      <c r="H196" s="69"/>
      <c r="I196" s="69"/>
      <c r="J196" s="69">
        <f t="shared" si="87"/>
        <v>290090.27</v>
      </c>
      <c r="K196" s="69"/>
      <c r="L196" s="69">
        <f>41000+115890.27</f>
        <v>156890.27000000002</v>
      </c>
      <c r="M196" s="69"/>
      <c r="N196" s="69"/>
      <c r="O196" s="69">
        <v>133200</v>
      </c>
      <c r="P196" s="69">
        <f t="shared" si="86"/>
        <v>290090.27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23" customFormat="1" ht="38.25" customHeight="1" x14ac:dyDescent="0.25">
      <c r="A197" s="52" t="s">
        <v>437</v>
      </c>
      <c r="B197" s="45" t="str">
        <f>'дод 4'!A167</f>
        <v>8110</v>
      </c>
      <c r="C197" s="45" t="str">
        <f>'дод 4'!B167</f>
        <v>0320</v>
      </c>
      <c r="D197" s="136" t="str">
        <f>'дод 4'!C167</f>
        <v>Заходи із запобігання та ліквідації надзвичайних ситуацій та наслідків стихійного лиха</v>
      </c>
      <c r="E197" s="69">
        <f t="shared" ref="E197" si="94">F197+I197</f>
        <v>2088318</v>
      </c>
      <c r="F197" s="69">
        <f>1610000+1443000-64682-900000</f>
        <v>2088318</v>
      </c>
      <c r="G197" s="69"/>
      <c r="H197" s="69">
        <v>48000</v>
      </c>
      <c r="I197" s="69"/>
      <c r="J197" s="69">
        <f t="shared" ref="J197" si="95">L197+O197</f>
        <v>0</v>
      </c>
      <c r="K197" s="69"/>
      <c r="L197" s="69"/>
      <c r="M197" s="69"/>
      <c r="N197" s="69"/>
      <c r="O197" s="69"/>
      <c r="P197" s="69">
        <f t="shared" ref="P197" si="96">E197+J197</f>
        <v>2088318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</row>
    <row r="198" spans="1:529" s="23" customFormat="1" ht="33.75" hidden="1" customHeight="1" x14ac:dyDescent="0.25">
      <c r="A198" s="52" t="s">
        <v>435</v>
      </c>
      <c r="B198" s="45" t="str">
        <f>'дод 4'!A171</f>
        <v>8230</v>
      </c>
      <c r="C198" s="45" t="str">
        <f>'дод 4'!B171</f>
        <v>0380</v>
      </c>
      <c r="D198" s="136" t="str">
        <f>'дод 4'!C171</f>
        <v>Інші заходи громадського порядку та безпеки</v>
      </c>
      <c r="E198" s="69">
        <f t="shared" ref="E198" si="97">F198+I198</f>
        <v>0</v>
      </c>
      <c r="F198" s="69">
        <f>110000-110000</f>
        <v>0</v>
      </c>
      <c r="G198" s="69"/>
      <c r="H198" s="69"/>
      <c r="I198" s="69"/>
      <c r="J198" s="69">
        <f t="shared" ref="J198" si="98">L198+O198</f>
        <v>0</v>
      </c>
      <c r="K198" s="69"/>
      <c r="L198" s="69"/>
      <c r="M198" s="69"/>
      <c r="N198" s="69"/>
      <c r="O198" s="69"/>
      <c r="P198" s="69">
        <f t="shared" ref="P198" si="99">E198+J198</f>
        <v>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23" customFormat="1" ht="24.75" customHeight="1" x14ac:dyDescent="0.25">
      <c r="A199" s="43" t="s">
        <v>220</v>
      </c>
      <c r="B199" s="44" t="str">
        <f>'дод 4'!A174</f>
        <v>8340</v>
      </c>
      <c r="C199" s="44" t="str">
        <f>'дод 4'!B174</f>
        <v>0540</v>
      </c>
      <c r="D199" s="24" t="str">
        <f>'дод 4'!C174</f>
        <v>Природоохоронні заходи за рахунок цільових фондів</v>
      </c>
      <c r="E199" s="69">
        <f t="shared" si="85"/>
        <v>0</v>
      </c>
      <c r="F199" s="69"/>
      <c r="G199" s="69"/>
      <c r="H199" s="69"/>
      <c r="I199" s="69"/>
      <c r="J199" s="69">
        <f t="shared" si="87"/>
        <v>5599043.4500000002</v>
      </c>
      <c r="K199" s="69"/>
      <c r="L199" s="69">
        <v>1870000</v>
      </c>
      <c r="M199" s="69"/>
      <c r="N199" s="69">
        <v>540000</v>
      </c>
      <c r="O199" s="69">
        <f>1946500+1782543.45</f>
        <v>3729043.45</v>
      </c>
      <c r="P199" s="69">
        <f t="shared" si="86"/>
        <v>5599043.4500000002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23.25" customHeight="1" x14ac:dyDescent="0.25">
      <c r="A200" s="43" t="s">
        <v>221</v>
      </c>
      <c r="B200" s="44" t="str">
        <f>'дод 4'!A187</f>
        <v>9770</v>
      </c>
      <c r="C200" s="44" t="str">
        <f>'дод 4'!B187</f>
        <v>0180</v>
      </c>
      <c r="D200" s="24" t="str">
        <f>'дод 4'!C187</f>
        <v>Інші субвенції з місцевого бюджету</v>
      </c>
      <c r="E200" s="69">
        <f t="shared" si="85"/>
        <v>368000</v>
      </c>
      <c r="F200" s="69">
        <v>368000</v>
      </c>
      <c r="G200" s="69"/>
      <c r="H200" s="69"/>
      <c r="I200" s="69"/>
      <c r="J200" s="69">
        <f t="shared" si="87"/>
        <v>7632000</v>
      </c>
      <c r="K200" s="69">
        <f>8000000-368000</f>
        <v>7632000</v>
      </c>
      <c r="L200" s="69"/>
      <c r="M200" s="69"/>
      <c r="N200" s="69"/>
      <c r="O200" s="69">
        <f>8000000-368000</f>
        <v>7632000</v>
      </c>
      <c r="P200" s="69">
        <f t="shared" si="86"/>
        <v>8000000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31" customFormat="1" ht="33.75" customHeight="1" x14ac:dyDescent="0.2">
      <c r="A201" s="156" t="s">
        <v>31</v>
      </c>
      <c r="B201" s="74"/>
      <c r="C201" s="74"/>
      <c r="D201" s="30" t="s">
        <v>38</v>
      </c>
      <c r="E201" s="66">
        <f>E202</f>
        <v>6146000</v>
      </c>
      <c r="F201" s="66">
        <f t="shared" ref="F201:J202" si="100">F202</f>
        <v>6146000</v>
      </c>
      <c r="G201" s="66">
        <f t="shared" si="100"/>
        <v>4779400</v>
      </c>
      <c r="H201" s="66">
        <f t="shared" si="100"/>
        <v>98300</v>
      </c>
      <c r="I201" s="66">
        <f t="shared" si="100"/>
        <v>0</v>
      </c>
      <c r="J201" s="66">
        <f t="shared" si="100"/>
        <v>160000</v>
      </c>
      <c r="K201" s="66">
        <f t="shared" ref="K201:K202" si="101">K202</f>
        <v>160000</v>
      </c>
      <c r="L201" s="66">
        <f t="shared" ref="L201:L202" si="102">L202</f>
        <v>0</v>
      </c>
      <c r="M201" s="66">
        <f t="shared" ref="M201:M202" si="103">M202</f>
        <v>0</v>
      </c>
      <c r="N201" s="66">
        <f t="shared" ref="N201:N202" si="104">N202</f>
        <v>0</v>
      </c>
      <c r="O201" s="66">
        <f t="shared" ref="O201:P202" si="105">O202</f>
        <v>160000</v>
      </c>
      <c r="P201" s="66">
        <f t="shared" si="105"/>
        <v>6306000</v>
      </c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  <c r="GB201" s="38"/>
      <c r="GC201" s="38"/>
      <c r="GD201" s="38"/>
      <c r="GE201" s="38"/>
      <c r="GF201" s="38"/>
      <c r="GG201" s="38"/>
      <c r="GH201" s="38"/>
      <c r="GI201" s="38"/>
      <c r="GJ201" s="38"/>
      <c r="GK201" s="38"/>
      <c r="GL201" s="38"/>
      <c r="GM201" s="38"/>
      <c r="GN201" s="38"/>
      <c r="GO201" s="38"/>
      <c r="GP201" s="38"/>
      <c r="GQ201" s="38"/>
      <c r="GR201" s="38"/>
      <c r="GS201" s="38"/>
      <c r="GT201" s="38"/>
      <c r="GU201" s="38"/>
      <c r="GV201" s="38"/>
      <c r="GW201" s="38"/>
      <c r="GX201" s="38"/>
      <c r="GY201" s="38"/>
      <c r="GZ201" s="38"/>
      <c r="HA201" s="38"/>
      <c r="HB201" s="38"/>
      <c r="HC201" s="38"/>
      <c r="HD201" s="38"/>
      <c r="HE201" s="38"/>
      <c r="HF201" s="38"/>
      <c r="HG201" s="38"/>
      <c r="HH201" s="38"/>
      <c r="HI201" s="38"/>
      <c r="HJ201" s="38"/>
      <c r="HK201" s="38"/>
      <c r="HL201" s="38"/>
      <c r="HM201" s="38"/>
      <c r="HN201" s="38"/>
      <c r="HO201" s="38"/>
      <c r="HP201" s="38"/>
      <c r="HQ201" s="38"/>
      <c r="HR201" s="38"/>
      <c r="HS201" s="38"/>
      <c r="HT201" s="38"/>
      <c r="HU201" s="38"/>
      <c r="HV201" s="38"/>
      <c r="HW201" s="38"/>
      <c r="HX201" s="38"/>
      <c r="HY201" s="38"/>
      <c r="HZ201" s="38"/>
      <c r="IA201" s="38"/>
      <c r="IB201" s="38"/>
      <c r="IC201" s="38"/>
      <c r="ID201" s="38"/>
      <c r="IE201" s="38"/>
      <c r="IF201" s="38"/>
      <c r="IG201" s="38"/>
      <c r="IH201" s="38"/>
      <c r="II201" s="38"/>
      <c r="IJ201" s="38"/>
      <c r="IK201" s="38"/>
      <c r="IL201" s="38"/>
      <c r="IM201" s="38"/>
      <c r="IN201" s="38"/>
      <c r="IO201" s="38"/>
      <c r="IP201" s="38"/>
      <c r="IQ201" s="38"/>
      <c r="IR201" s="38"/>
      <c r="IS201" s="38"/>
      <c r="IT201" s="38"/>
      <c r="IU201" s="38"/>
      <c r="IV201" s="38"/>
      <c r="IW201" s="38"/>
      <c r="IX201" s="38"/>
      <c r="IY201" s="38"/>
      <c r="IZ201" s="38"/>
      <c r="JA201" s="38"/>
      <c r="JB201" s="38"/>
      <c r="JC201" s="38"/>
      <c r="JD201" s="38"/>
      <c r="JE201" s="38"/>
      <c r="JF201" s="38"/>
      <c r="JG201" s="38"/>
      <c r="JH201" s="38"/>
      <c r="JI201" s="38"/>
      <c r="JJ201" s="38"/>
      <c r="JK201" s="38"/>
      <c r="JL201" s="38"/>
      <c r="JM201" s="38"/>
      <c r="JN201" s="38"/>
      <c r="JO201" s="38"/>
      <c r="JP201" s="38"/>
      <c r="JQ201" s="38"/>
      <c r="JR201" s="38"/>
      <c r="JS201" s="38"/>
      <c r="JT201" s="38"/>
      <c r="JU201" s="38"/>
      <c r="JV201" s="38"/>
      <c r="JW201" s="38"/>
      <c r="JX201" s="38"/>
      <c r="JY201" s="38"/>
      <c r="JZ201" s="38"/>
      <c r="KA201" s="38"/>
      <c r="KB201" s="38"/>
      <c r="KC201" s="38"/>
      <c r="KD201" s="38"/>
      <c r="KE201" s="38"/>
      <c r="KF201" s="38"/>
      <c r="KG201" s="38"/>
      <c r="KH201" s="38"/>
      <c r="KI201" s="38"/>
      <c r="KJ201" s="38"/>
      <c r="KK201" s="38"/>
      <c r="KL201" s="38"/>
      <c r="KM201" s="38"/>
      <c r="KN201" s="38"/>
      <c r="KO201" s="38"/>
      <c r="KP201" s="38"/>
      <c r="KQ201" s="38"/>
      <c r="KR201" s="38"/>
      <c r="KS201" s="38"/>
      <c r="KT201" s="38"/>
      <c r="KU201" s="38"/>
      <c r="KV201" s="38"/>
      <c r="KW201" s="38"/>
      <c r="KX201" s="38"/>
      <c r="KY201" s="38"/>
      <c r="KZ201" s="38"/>
      <c r="LA201" s="38"/>
      <c r="LB201" s="38"/>
      <c r="LC201" s="38"/>
      <c r="LD201" s="38"/>
      <c r="LE201" s="38"/>
      <c r="LF201" s="38"/>
      <c r="LG201" s="38"/>
      <c r="LH201" s="38"/>
      <c r="LI201" s="38"/>
      <c r="LJ201" s="38"/>
      <c r="LK201" s="38"/>
      <c r="LL201" s="38"/>
      <c r="LM201" s="38"/>
      <c r="LN201" s="38"/>
      <c r="LO201" s="38"/>
      <c r="LP201" s="38"/>
      <c r="LQ201" s="38"/>
      <c r="LR201" s="38"/>
      <c r="LS201" s="38"/>
      <c r="LT201" s="38"/>
      <c r="LU201" s="38"/>
      <c r="LV201" s="38"/>
      <c r="LW201" s="38"/>
      <c r="LX201" s="38"/>
      <c r="LY201" s="38"/>
      <c r="LZ201" s="38"/>
      <c r="MA201" s="38"/>
      <c r="MB201" s="38"/>
      <c r="MC201" s="38"/>
      <c r="MD201" s="38"/>
      <c r="ME201" s="38"/>
      <c r="MF201" s="38"/>
      <c r="MG201" s="38"/>
      <c r="MH201" s="38"/>
      <c r="MI201" s="38"/>
      <c r="MJ201" s="38"/>
      <c r="MK201" s="38"/>
      <c r="ML201" s="38"/>
      <c r="MM201" s="38"/>
      <c r="MN201" s="38"/>
      <c r="MO201" s="38"/>
      <c r="MP201" s="38"/>
      <c r="MQ201" s="38"/>
      <c r="MR201" s="38"/>
      <c r="MS201" s="38"/>
      <c r="MT201" s="38"/>
      <c r="MU201" s="38"/>
      <c r="MV201" s="38"/>
      <c r="MW201" s="38"/>
      <c r="MX201" s="38"/>
      <c r="MY201" s="38"/>
      <c r="MZ201" s="38"/>
      <c r="NA201" s="38"/>
      <c r="NB201" s="38"/>
      <c r="NC201" s="38"/>
      <c r="ND201" s="38"/>
      <c r="NE201" s="38"/>
      <c r="NF201" s="38"/>
      <c r="NG201" s="38"/>
      <c r="NH201" s="38"/>
      <c r="NI201" s="38"/>
      <c r="NJ201" s="38"/>
      <c r="NK201" s="38"/>
      <c r="NL201" s="38"/>
      <c r="NM201" s="38"/>
      <c r="NN201" s="38"/>
      <c r="NO201" s="38"/>
      <c r="NP201" s="38"/>
      <c r="NQ201" s="38"/>
      <c r="NR201" s="38"/>
      <c r="NS201" s="38"/>
      <c r="NT201" s="38"/>
      <c r="NU201" s="38"/>
      <c r="NV201" s="38"/>
      <c r="NW201" s="38"/>
      <c r="NX201" s="38"/>
      <c r="NY201" s="38"/>
      <c r="NZ201" s="38"/>
      <c r="OA201" s="38"/>
      <c r="OB201" s="38"/>
      <c r="OC201" s="38"/>
      <c r="OD201" s="38"/>
      <c r="OE201" s="38"/>
      <c r="OF201" s="38"/>
      <c r="OG201" s="38"/>
      <c r="OH201" s="38"/>
      <c r="OI201" s="38"/>
      <c r="OJ201" s="38"/>
      <c r="OK201" s="38"/>
      <c r="OL201" s="38"/>
      <c r="OM201" s="38"/>
      <c r="ON201" s="38"/>
      <c r="OO201" s="38"/>
      <c r="OP201" s="38"/>
      <c r="OQ201" s="38"/>
      <c r="OR201" s="38"/>
      <c r="OS201" s="38"/>
      <c r="OT201" s="38"/>
      <c r="OU201" s="38"/>
      <c r="OV201" s="38"/>
      <c r="OW201" s="38"/>
      <c r="OX201" s="38"/>
      <c r="OY201" s="38"/>
      <c r="OZ201" s="38"/>
      <c r="PA201" s="38"/>
      <c r="PB201" s="38"/>
      <c r="PC201" s="38"/>
      <c r="PD201" s="38"/>
      <c r="PE201" s="38"/>
      <c r="PF201" s="38"/>
      <c r="PG201" s="38"/>
      <c r="PH201" s="38"/>
      <c r="PI201" s="38"/>
      <c r="PJ201" s="38"/>
      <c r="PK201" s="38"/>
      <c r="PL201" s="38"/>
      <c r="PM201" s="38"/>
      <c r="PN201" s="38"/>
      <c r="PO201" s="38"/>
      <c r="PP201" s="38"/>
      <c r="PQ201" s="38"/>
      <c r="PR201" s="38"/>
      <c r="PS201" s="38"/>
      <c r="PT201" s="38"/>
      <c r="PU201" s="38"/>
      <c r="PV201" s="38"/>
      <c r="PW201" s="38"/>
      <c r="PX201" s="38"/>
      <c r="PY201" s="38"/>
      <c r="PZ201" s="38"/>
      <c r="QA201" s="38"/>
      <c r="QB201" s="38"/>
      <c r="QC201" s="38"/>
      <c r="QD201" s="38"/>
      <c r="QE201" s="38"/>
      <c r="QF201" s="38"/>
      <c r="QG201" s="38"/>
      <c r="QH201" s="38"/>
      <c r="QI201" s="38"/>
      <c r="QJ201" s="38"/>
      <c r="QK201" s="38"/>
      <c r="QL201" s="38"/>
      <c r="QM201" s="38"/>
      <c r="QN201" s="38"/>
      <c r="QO201" s="38"/>
      <c r="QP201" s="38"/>
      <c r="QQ201" s="38"/>
      <c r="QR201" s="38"/>
      <c r="QS201" s="38"/>
      <c r="QT201" s="38"/>
      <c r="QU201" s="38"/>
      <c r="QV201" s="38"/>
      <c r="QW201" s="38"/>
      <c r="QX201" s="38"/>
      <c r="QY201" s="38"/>
      <c r="QZ201" s="38"/>
      <c r="RA201" s="38"/>
      <c r="RB201" s="38"/>
      <c r="RC201" s="38"/>
      <c r="RD201" s="38"/>
      <c r="RE201" s="38"/>
      <c r="RF201" s="38"/>
      <c r="RG201" s="38"/>
      <c r="RH201" s="38"/>
      <c r="RI201" s="38"/>
      <c r="RJ201" s="38"/>
      <c r="RK201" s="38"/>
      <c r="RL201" s="38"/>
      <c r="RM201" s="38"/>
      <c r="RN201" s="38"/>
      <c r="RO201" s="38"/>
      <c r="RP201" s="38"/>
      <c r="RQ201" s="38"/>
      <c r="RR201" s="38"/>
      <c r="RS201" s="38"/>
      <c r="RT201" s="38"/>
      <c r="RU201" s="38"/>
      <c r="RV201" s="38"/>
      <c r="RW201" s="38"/>
      <c r="RX201" s="38"/>
      <c r="RY201" s="38"/>
      <c r="RZ201" s="38"/>
      <c r="SA201" s="38"/>
      <c r="SB201" s="38"/>
      <c r="SC201" s="38"/>
      <c r="SD201" s="38"/>
      <c r="SE201" s="38"/>
      <c r="SF201" s="38"/>
      <c r="SG201" s="38"/>
      <c r="SH201" s="38"/>
      <c r="SI201" s="38"/>
      <c r="SJ201" s="38"/>
      <c r="SK201" s="38"/>
      <c r="SL201" s="38"/>
      <c r="SM201" s="38"/>
      <c r="SN201" s="38"/>
      <c r="SO201" s="38"/>
      <c r="SP201" s="38"/>
      <c r="SQ201" s="38"/>
      <c r="SR201" s="38"/>
      <c r="SS201" s="38"/>
      <c r="ST201" s="38"/>
      <c r="SU201" s="38"/>
      <c r="SV201" s="38"/>
      <c r="SW201" s="38"/>
      <c r="SX201" s="38"/>
      <c r="SY201" s="38"/>
      <c r="SZ201" s="38"/>
      <c r="TA201" s="38"/>
      <c r="TB201" s="38"/>
      <c r="TC201" s="38"/>
      <c r="TD201" s="38"/>
      <c r="TE201" s="38"/>
      <c r="TF201" s="38"/>
      <c r="TG201" s="38"/>
      <c r="TH201" s="38"/>
      <c r="TI201" s="38"/>
    </row>
    <row r="202" spans="1:529" s="40" customFormat="1" ht="36.75" customHeight="1" x14ac:dyDescent="0.25">
      <c r="A202" s="76" t="s">
        <v>126</v>
      </c>
      <c r="B202" s="75"/>
      <c r="C202" s="75"/>
      <c r="D202" s="33" t="s">
        <v>38</v>
      </c>
      <c r="E202" s="68">
        <f>E203</f>
        <v>6146000</v>
      </c>
      <c r="F202" s="68">
        <f t="shared" si="100"/>
        <v>6146000</v>
      </c>
      <c r="G202" s="68">
        <f t="shared" si="100"/>
        <v>4779400</v>
      </c>
      <c r="H202" s="68">
        <f t="shared" si="100"/>
        <v>98300</v>
      </c>
      <c r="I202" s="68">
        <f t="shared" si="100"/>
        <v>0</v>
      </c>
      <c r="J202" s="68">
        <f t="shared" si="100"/>
        <v>160000</v>
      </c>
      <c r="K202" s="68">
        <f t="shared" si="101"/>
        <v>160000</v>
      </c>
      <c r="L202" s="68">
        <f t="shared" si="102"/>
        <v>0</v>
      </c>
      <c r="M202" s="68">
        <f t="shared" si="103"/>
        <v>0</v>
      </c>
      <c r="N202" s="68">
        <f t="shared" si="104"/>
        <v>0</v>
      </c>
      <c r="O202" s="68">
        <f t="shared" si="105"/>
        <v>160000</v>
      </c>
      <c r="P202" s="68">
        <f t="shared" si="105"/>
        <v>6306000</v>
      </c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P202" s="39"/>
      <c r="IQ202" s="39"/>
      <c r="IR202" s="39"/>
      <c r="IS202" s="39"/>
      <c r="IT202" s="39"/>
      <c r="IU202" s="39"/>
      <c r="IV202" s="39"/>
      <c r="IW202" s="39"/>
      <c r="IX202" s="39"/>
      <c r="IY202" s="39"/>
      <c r="IZ202" s="39"/>
      <c r="JA202" s="39"/>
      <c r="JB202" s="39"/>
      <c r="JC202" s="39"/>
      <c r="JD202" s="39"/>
      <c r="JE202" s="39"/>
      <c r="JF202" s="39"/>
      <c r="JG202" s="39"/>
      <c r="JH202" s="39"/>
      <c r="JI202" s="39"/>
      <c r="JJ202" s="39"/>
      <c r="JK202" s="39"/>
      <c r="JL202" s="39"/>
      <c r="JM202" s="39"/>
      <c r="JN202" s="39"/>
      <c r="JO202" s="39"/>
      <c r="JP202" s="39"/>
      <c r="JQ202" s="39"/>
      <c r="JR202" s="39"/>
      <c r="JS202" s="39"/>
      <c r="JT202" s="39"/>
      <c r="JU202" s="39"/>
      <c r="JV202" s="39"/>
      <c r="JW202" s="39"/>
      <c r="JX202" s="39"/>
      <c r="JY202" s="39"/>
      <c r="JZ202" s="39"/>
      <c r="KA202" s="39"/>
      <c r="KB202" s="39"/>
      <c r="KC202" s="39"/>
      <c r="KD202" s="39"/>
      <c r="KE202" s="39"/>
      <c r="KF202" s="39"/>
      <c r="KG202" s="39"/>
      <c r="KH202" s="39"/>
      <c r="KI202" s="39"/>
      <c r="KJ202" s="39"/>
      <c r="KK202" s="39"/>
      <c r="KL202" s="39"/>
      <c r="KM202" s="39"/>
      <c r="KN202" s="39"/>
      <c r="KO202" s="39"/>
      <c r="KP202" s="39"/>
      <c r="KQ202" s="39"/>
      <c r="KR202" s="39"/>
      <c r="KS202" s="39"/>
      <c r="KT202" s="39"/>
      <c r="KU202" s="39"/>
      <c r="KV202" s="39"/>
      <c r="KW202" s="39"/>
      <c r="KX202" s="39"/>
      <c r="KY202" s="39"/>
      <c r="KZ202" s="39"/>
      <c r="LA202" s="39"/>
      <c r="LB202" s="39"/>
      <c r="LC202" s="39"/>
      <c r="LD202" s="39"/>
      <c r="LE202" s="39"/>
      <c r="LF202" s="39"/>
      <c r="LG202" s="39"/>
      <c r="LH202" s="39"/>
      <c r="LI202" s="39"/>
      <c r="LJ202" s="39"/>
      <c r="LK202" s="39"/>
      <c r="LL202" s="39"/>
      <c r="LM202" s="39"/>
      <c r="LN202" s="39"/>
      <c r="LO202" s="39"/>
      <c r="LP202" s="39"/>
      <c r="LQ202" s="39"/>
      <c r="LR202" s="39"/>
      <c r="LS202" s="39"/>
      <c r="LT202" s="39"/>
      <c r="LU202" s="39"/>
      <c r="LV202" s="39"/>
      <c r="LW202" s="39"/>
      <c r="LX202" s="39"/>
      <c r="LY202" s="39"/>
      <c r="LZ202" s="39"/>
      <c r="MA202" s="39"/>
      <c r="MB202" s="39"/>
      <c r="MC202" s="39"/>
      <c r="MD202" s="39"/>
      <c r="ME202" s="39"/>
      <c r="MF202" s="39"/>
      <c r="MG202" s="39"/>
      <c r="MH202" s="39"/>
      <c r="MI202" s="39"/>
      <c r="MJ202" s="39"/>
      <c r="MK202" s="39"/>
      <c r="ML202" s="39"/>
      <c r="MM202" s="39"/>
      <c r="MN202" s="39"/>
      <c r="MO202" s="39"/>
      <c r="MP202" s="39"/>
      <c r="MQ202" s="39"/>
      <c r="MR202" s="39"/>
      <c r="MS202" s="39"/>
      <c r="MT202" s="39"/>
      <c r="MU202" s="39"/>
      <c r="MV202" s="39"/>
      <c r="MW202" s="39"/>
      <c r="MX202" s="39"/>
      <c r="MY202" s="39"/>
      <c r="MZ202" s="39"/>
      <c r="NA202" s="39"/>
      <c r="NB202" s="39"/>
      <c r="NC202" s="39"/>
      <c r="ND202" s="39"/>
      <c r="NE202" s="39"/>
      <c r="NF202" s="39"/>
      <c r="NG202" s="39"/>
      <c r="NH202" s="39"/>
      <c r="NI202" s="39"/>
      <c r="NJ202" s="39"/>
      <c r="NK202" s="39"/>
      <c r="NL202" s="39"/>
      <c r="NM202" s="39"/>
      <c r="NN202" s="39"/>
      <c r="NO202" s="39"/>
      <c r="NP202" s="39"/>
      <c r="NQ202" s="39"/>
      <c r="NR202" s="39"/>
      <c r="NS202" s="39"/>
      <c r="NT202" s="39"/>
      <c r="NU202" s="39"/>
      <c r="NV202" s="39"/>
      <c r="NW202" s="39"/>
      <c r="NX202" s="39"/>
      <c r="NY202" s="39"/>
      <c r="NZ202" s="39"/>
      <c r="OA202" s="39"/>
      <c r="OB202" s="39"/>
      <c r="OC202" s="39"/>
      <c r="OD202" s="39"/>
      <c r="OE202" s="39"/>
      <c r="OF202" s="39"/>
      <c r="OG202" s="39"/>
      <c r="OH202" s="39"/>
      <c r="OI202" s="39"/>
      <c r="OJ202" s="39"/>
      <c r="OK202" s="39"/>
      <c r="OL202" s="39"/>
      <c r="OM202" s="39"/>
      <c r="ON202" s="39"/>
      <c r="OO202" s="39"/>
      <c r="OP202" s="39"/>
      <c r="OQ202" s="39"/>
      <c r="OR202" s="39"/>
      <c r="OS202" s="39"/>
      <c r="OT202" s="39"/>
      <c r="OU202" s="39"/>
      <c r="OV202" s="39"/>
      <c r="OW202" s="39"/>
      <c r="OX202" s="39"/>
      <c r="OY202" s="39"/>
      <c r="OZ202" s="39"/>
      <c r="PA202" s="39"/>
      <c r="PB202" s="39"/>
      <c r="PC202" s="39"/>
      <c r="PD202" s="39"/>
      <c r="PE202" s="39"/>
      <c r="PF202" s="39"/>
      <c r="PG202" s="39"/>
      <c r="PH202" s="39"/>
      <c r="PI202" s="39"/>
      <c r="PJ202" s="39"/>
      <c r="PK202" s="39"/>
      <c r="PL202" s="39"/>
      <c r="PM202" s="39"/>
      <c r="PN202" s="39"/>
      <c r="PO202" s="39"/>
      <c r="PP202" s="39"/>
      <c r="PQ202" s="39"/>
      <c r="PR202" s="39"/>
      <c r="PS202" s="39"/>
      <c r="PT202" s="39"/>
      <c r="PU202" s="39"/>
      <c r="PV202" s="39"/>
      <c r="PW202" s="39"/>
      <c r="PX202" s="39"/>
      <c r="PY202" s="39"/>
      <c r="PZ202" s="39"/>
      <c r="QA202" s="39"/>
      <c r="QB202" s="39"/>
      <c r="QC202" s="39"/>
      <c r="QD202" s="39"/>
      <c r="QE202" s="39"/>
      <c r="QF202" s="39"/>
      <c r="QG202" s="39"/>
      <c r="QH202" s="39"/>
      <c r="QI202" s="39"/>
      <c r="QJ202" s="39"/>
      <c r="QK202" s="39"/>
      <c r="QL202" s="39"/>
      <c r="QM202" s="39"/>
      <c r="QN202" s="39"/>
      <c r="QO202" s="39"/>
      <c r="QP202" s="39"/>
      <c r="QQ202" s="39"/>
      <c r="QR202" s="39"/>
      <c r="QS202" s="39"/>
      <c r="QT202" s="39"/>
      <c r="QU202" s="39"/>
      <c r="QV202" s="39"/>
      <c r="QW202" s="39"/>
      <c r="QX202" s="39"/>
      <c r="QY202" s="39"/>
      <c r="QZ202" s="39"/>
      <c r="RA202" s="39"/>
      <c r="RB202" s="39"/>
      <c r="RC202" s="39"/>
      <c r="RD202" s="39"/>
      <c r="RE202" s="39"/>
      <c r="RF202" s="39"/>
      <c r="RG202" s="39"/>
      <c r="RH202" s="39"/>
      <c r="RI202" s="39"/>
      <c r="RJ202" s="39"/>
      <c r="RK202" s="39"/>
      <c r="RL202" s="39"/>
      <c r="RM202" s="39"/>
      <c r="RN202" s="39"/>
      <c r="RO202" s="39"/>
      <c r="RP202" s="39"/>
      <c r="RQ202" s="39"/>
      <c r="RR202" s="39"/>
      <c r="RS202" s="39"/>
      <c r="RT202" s="39"/>
      <c r="RU202" s="39"/>
      <c r="RV202" s="39"/>
      <c r="RW202" s="39"/>
      <c r="RX202" s="39"/>
      <c r="RY202" s="39"/>
      <c r="RZ202" s="39"/>
      <c r="SA202" s="39"/>
      <c r="SB202" s="39"/>
      <c r="SC202" s="39"/>
      <c r="SD202" s="39"/>
      <c r="SE202" s="39"/>
      <c r="SF202" s="39"/>
      <c r="SG202" s="39"/>
      <c r="SH202" s="39"/>
      <c r="SI202" s="39"/>
      <c r="SJ202" s="39"/>
      <c r="SK202" s="39"/>
      <c r="SL202" s="39"/>
      <c r="SM202" s="39"/>
      <c r="SN202" s="39"/>
      <c r="SO202" s="39"/>
      <c r="SP202" s="39"/>
      <c r="SQ202" s="39"/>
      <c r="SR202" s="39"/>
      <c r="SS202" s="39"/>
      <c r="ST202" s="39"/>
      <c r="SU202" s="39"/>
      <c r="SV202" s="39"/>
      <c r="SW202" s="39"/>
      <c r="SX202" s="39"/>
      <c r="SY202" s="39"/>
      <c r="SZ202" s="39"/>
      <c r="TA202" s="39"/>
      <c r="TB202" s="39"/>
      <c r="TC202" s="39"/>
      <c r="TD202" s="39"/>
      <c r="TE202" s="39"/>
      <c r="TF202" s="39"/>
      <c r="TG202" s="39"/>
      <c r="TH202" s="39"/>
      <c r="TI202" s="39"/>
    </row>
    <row r="203" spans="1:529" s="23" customFormat="1" ht="45" x14ac:dyDescent="0.25">
      <c r="A203" s="43" t="s">
        <v>0</v>
      </c>
      <c r="B203" s="44" t="str">
        <f>'дод 4'!A20</f>
        <v>0160</v>
      </c>
      <c r="C203" s="44" t="str">
        <f>'дод 4'!B20</f>
        <v>0111</v>
      </c>
      <c r="D203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03" s="69">
        <f>F203+I203</f>
        <v>6146000</v>
      </c>
      <c r="F203" s="69">
        <f>6462800+10100-315400-11500</f>
        <v>6146000</v>
      </c>
      <c r="G203" s="69">
        <f>5047300-258500-9400</f>
        <v>4779400</v>
      </c>
      <c r="H203" s="69">
        <v>98300</v>
      </c>
      <c r="I203" s="69"/>
      <c r="J203" s="69">
        <f>L203+O203</f>
        <v>160000</v>
      </c>
      <c r="K203" s="69">
        <v>160000</v>
      </c>
      <c r="L203" s="69"/>
      <c r="M203" s="69"/>
      <c r="N203" s="69"/>
      <c r="O203" s="69">
        <v>160000</v>
      </c>
      <c r="P203" s="69">
        <f>E203+J203</f>
        <v>6306000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31" customFormat="1" ht="34.5" customHeight="1" x14ac:dyDescent="0.2">
      <c r="A204" s="156" t="s">
        <v>32</v>
      </c>
      <c r="B204" s="74"/>
      <c r="C204" s="74"/>
      <c r="D204" s="30" t="s">
        <v>37</v>
      </c>
      <c r="E204" s="66">
        <f>E205</f>
        <v>3706717</v>
      </c>
      <c r="F204" s="66">
        <f t="shared" ref="F204:J204" si="106">F205</f>
        <v>3621811</v>
      </c>
      <c r="G204" s="66">
        <f t="shared" si="106"/>
        <v>1552300</v>
      </c>
      <c r="H204" s="66">
        <f t="shared" si="106"/>
        <v>0</v>
      </c>
      <c r="I204" s="66">
        <f t="shared" si="106"/>
        <v>84906</v>
      </c>
      <c r="J204" s="66">
        <f t="shared" si="106"/>
        <v>217523438.18000001</v>
      </c>
      <c r="K204" s="66">
        <f t="shared" ref="K204" si="107">K205</f>
        <v>203676166</v>
      </c>
      <c r="L204" s="66">
        <f t="shared" ref="L204" si="108">L205</f>
        <v>3200000</v>
      </c>
      <c r="M204" s="66">
        <f t="shared" ref="M204" si="109">M205</f>
        <v>2348000</v>
      </c>
      <c r="N204" s="66">
        <f t="shared" ref="N204" si="110">N205</f>
        <v>90600</v>
      </c>
      <c r="O204" s="66">
        <f t="shared" ref="O204:P204" si="111">O205</f>
        <v>214323438.18000001</v>
      </c>
      <c r="P204" s="66">
        <f t="shared" si="111"/>
        <v>221230155.18000001</v>
      </c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  <c r="IH204" s="38"/>
      <c r="II204" s="38"/>
      <c r="IJ204" s="38"/>
      <c r="IK204" s="38"/>
      <c r="IL204" s="38"/>
      <c r="IM204" s="38"/>
      <c r="IN204" s="38"/>
      <c r="IO204" s="38"/>
      <c r="IP204" s="38"/>
      <c r="IQ204" s="38"/>
      <c r="IR204" s="38"/>
      <c r="IS204" s="38"/>
      <c r="IT204" s="38"/>
      <c r="IU204" s="38"/>
      <c r="IV204" s="38"/>
      <c r="IW204" s="38"/>
      <c r="IX204" s="38"/>
      <c r="IY204" s="38"/>
      <c r="IZ204" s="38"/>
      <c r="JA204" s="38"/>
      <c r="JB204" s="38"/>
      <c r="JC204" s="38"/>
      <c r="JD204" s="38"/>
      <c r="JE204" s="38"/>
      <c r="JF204" s="38"/>
      <c r="JG204" s="38"/>
      <c r="JH204" s="38"/>
      <c r="JI204" s="38"/>
      <c r="JJ204" s="38"/>
      <c r="JK204" s="38"/>
      <c r="JL204" s="38"/>
      <c r="JM204" s="38"/>
      <c r="JN204" s="38"/>
      <c r="JO204" s="38"/>
      <c r="JP204" s="38"/>
      <c r="JQ204" s="38"/>
      <c r="JR204" s="38"/>
      <c r="JS204" s="38"/>
      <c r="JT204" s="38"/>
      <c r="JU204" s="38"/>
      <c r="JV204" s="38"/>
      <c r="JW204" s="38"/>
      <c r="JX204" s="38"/>
      <c r="JY204" s="38"/>
      <c r="JZ204" s="38"/>
      <c r="KA204" s="38"/>
      <c r="KB204" s="38"/>
      <c r="KC204" s="38"/>
      <c r="KD204" s="38"/>
      <c r="KE204" s="38"/>
      <c r="KF204" s="38"/>
      <c r="KG204" s="38"/>
      <c r="KH204" s="38"/>
      <c r="KI204" s="38"/>
      <c r="KJ204" s="38"/>
      <c r="KK204" s="38"/>
      <c r="KL204" s="38"/>
      <c r="KM204" s="38"/>
      <c r="KN204" s="38"/>
      <c r="KO204" s="38"/>
      <c r="KP204" s="38"/>
      <c r="KQ204" s="38"/>
      <c r="KR204" s="38"/>
      <c r="KS204" s="38"/>
      <c r="KT204" s="38"/>
      <c r="KU204" s="38"/>
      <c r="KV204" s="38"/>
      <c r="KW204" s="38"/>
      <c r="KX204" s="38"/>
      <c r="KY204" s="38"/>
      <c r="KZ204" s="38"/>
      <c r="LA204" s="38"/>
      <c r="LB204" s="38"/>
      <c r="LC204" s="38"/>
      <c r="LD204" s="38"/>
      <c r="LE204" s="38"/>
      <c r="LF204" s="38"/>
      <c r="LG204" s="38"/>
      <c r="LH204" s="38"/>
      <c r="LI204" s="38"/>
      <c r="LJ204" s="38"/>
      <c r="LK204" s="38"/>
      <c r="LL204" s="38"/>
      <c r="LM204" s="38"/>
      <c r="LN204" s="38"/>
      <c r="LO204" s="38"/>
      <c r="LP204" s="38"/>
      <c r="LQ204" s="38"/>
      <c r="LR204" s="38"/>
      <c r="LS204" s="38"/>
      <c r="LT204" s="38"/>
      <c r="LU204" s="38"/>
      <c r="LV204" s="38"/>
      <c r="LW204" s="38"/>
      <c r="LX204" s="38"/>
      <c r="LY204" s="38"/>
      <c r="LZ204" s="38"/>
      <c r="MA204" s="38"/>
      <c r="MB204" s="38"/>
      <c r="MC204" s="38"/>
      <c r="MD204" s="38"/>
      <c r="ME204" s="38"/>
      <c r="MF204" s="38"/>
      <c r="MG204" s="38"/>
      <c r="MH204" s="38"/>
      <c r="MI204" s="38"/>
      <c r="MJ204" s="38"/>
      <c r="MK204" s="38"/>
      <c r="ML204" s="38"/>
      <c r="MM204" s="38"/>
      <c r="MN204" s="38"/>
      <c r="MO204" s="38"/>
      <c r="MP204" s="38"/>
      <c r="MQ204" s="38"/>
      <c r="MR204" s="38"/>
      <c r="MS204" s="38"/>
      <c r="MT204" s="38"/>
      <c r="MU204" s="38"/>
      <c r="MV204" s="38"/>
      <c r="MW204" s="38"/>
      <c r="MX204" s="38"/>
      <c r="MY204" s="38"/>
      <c r="MZ204" s="38"/>
      <c r="NA204" s="38"/>
      <c r="NB204" s="38"/>
      <c r="NC204" s="38"/>
      <c r="ND204" s="38"/>
      <c r="NE204" s="38"/>
      <c r="NF204" s="38"/>
      <c r="NG204" s="38"/>
      <c r="NH204" s="38"/>
      <c r="NI204" s="38"/>
      <c r="NJ204" s="38"/>
      <c r="NK204" s="38"/>
      <c r="NL204" s="38"/>
      <c r="NM204" s="38"/>
      <c r="NN204" s="38"/>
      <c r="NO204" s="38"/>
      <c r="NP204" s="38"/>
      <c r="NQ204" s="38"/>
      <c r="NR204" s="38"/>
      <c r="NS204" s="38"/>
      <c r="NT204" s="38"/>
      <c r="NU204" s="38"/>
      <c r="NV204" s="38"/>
      <c r="NW204" s="38"/>
      <c r="NX204" s="38"/>
      <c r="NY204" s="38"/>
      <c r="NZ204" s="38"/>
      <c r="OA204" s="38"/>
      <c r="OB204" s="38"/>
      <c r="OC204" s="38"/>
      <c r="OD204" s="38"/>
      <c r="OE204" s="38"/>
      <c r="OF204" s="38"/>
      <c r="OG204" s="38"/>
      <c r="OH204" s="38"/>
      <c r="OI204" s="38"/>
      <c r="OJ204" s="38"/>
      <c r="OK204" s="38"/>
      <c r="OL204" s="38"/>
      <c r="OM204" s="38"/>
      <c r="ON204" s="38"/>
      <c r="OO204" s="38"/>
      <c r="OP204" s="38"/>
      <c r="OQ204" s="38"/>
      <c r="OR204" s="38"/>
      <c r="OS204" s="38"/>
      <c r="OT204" s="38"/>
      <c r="OU204" s="38"/>
      <c r="OV204" s="38"/>
      <c r="OW204" s="38"/>
      <c r="OX204" s="38"/>
      <c r="OY204" s="38"/>
      <c r="OZ204" s="38"/>
      <c r="PA204" s="38"/>
      <c r="PB204" s="38"/>
      <c r="PC204" s="38"/>
      <c r="PD204" s="38"/>
      <c r="PE204" s="38"/>
      <c r="PF204" s="38"/>
      <c r="PG204" s="38"/>
      <c r="PH204" s="38"/>
      <c r="PI204" s="38"/>
      <c r="PJ204" s="38"/>
      <c r="PK204" s="38"/>
      <c r="PL204" s="38"/>
      <c r="PM204" s="38"/>
      <c r="PN204" s="38"/>
      <c r="PO204" s="38"/>
      <c r="PP204" s="38"/>
      <c r="PQ204" s="38"/>
      <c r="PR204" s="38"/>
      <c r="PS204" s="38"/>
      <c r="PT204" s="38"/>
      <c r="PU204" s="38"/>
      <c r="PV204" s="38"/>
      <c r="PW204" s="38"/>
      <c r="PX204" s="38"/>
      <c r="PY204" s="38"/>
      <c r="PZ204" s="38"/>
      <c r="QA204" s="38"/>
      <c r="QB204" s="38"/>
      <c r="QC204" s="38"/>
      <c r="QD204" s="38"/>
      <c r="QE204" s="38"/>
      <c r="QF204" s="38"/>
      <c r="QG204" s="38"/>
      <c r="QH204" s="38"/>
      <c r="QI204" s="38"/>
      <c r="QJ204" s="38"/>
      <c r="QK204" s="38"/>
      <c r="QL204" s="38"/>
      <c r="QM204" s="38"/>
      <c r="QN204" s="38"/>
      <c r="QO204" s="38"/>
      <c r="QP204" s="38"/>
      <c r="QQ204" s="38"/>
      <c r="QR204" s="38"/>
      <c r="QS204" s="38"/>
      <c r="QT204" s="38"/>
      <c r="QU204" s="38"/>
      <c r="QV204" s="38"/>
      <c r="QW204" s="38"/>
      <c r="QX204" s="38"/>
      <c r="QY204" s="38"/>
      <c r="QZ204" s="38"/>
      <c r="RA204" s="38"/>
      <c r="RB204" s="38"/>
      <c r="RC204" s="38"/>
      <c r="RD204" s="38"/>
      <c r="RE204" s="38"/>
      <c r="RF204" s="38"/>
      <c r="RG204" s="38"/>
      <c r="RH204" s="38"/>
      <c r="RI204" s="38"/>
      <c r="RJ204" s="38"/>
      <c r="RK204" s="38"/>
      <c r="RL204" s="38"/>
      <c r="RM204" s="38"/>
      <c r="RN204" s="38"/>
      <c r="RO204" s="38"/>
      <c r="RP204" s="38"/>
      <c r="RQ204" s="38"/>
      <c r="RR204" s="38"/>
      <c r="RS204" s="38"/>
      <c r="RT204" s="38"/>
      <c r="RU204" s="38"/>
      <c r="RV204" s="38"/>
      <c r="RW204" s="38"/>
      <c r="RX204" s="38"/>
      <c r="RY204" s="38"/>
      <c r="RZ204" s="38"/>
      <c r="SA204" s="38"/>
      <c r="SB204" s="38"/>
      <c r="SC204" s="38"/>
      <c r="SD204" s="38"/>
      <c r="SE204" s="38"/>
      <c r="SF204" s="38"/>
      <c r="SG204" s="38"/>
      <c r="SH204" s="38"/>
      <c r="SI204" s="38"/>
      <c r="SJ204" s="38"/>
      <c r="SK204" s="38"/>
      <c r="SL204" s="38"/>
      <c r="SM204" s="38"/>
      <c r="SN204" s="38"/>
      <c r="SO204" s="38"/>
      <c r="SP204" s="38"/>
      <c r="SQ204" s="38"/>
      <c r="SR204" s="38"/>
      <c r="SS204" s="38"/>
      <c r="ST204" s="38"/>
      <c r="SU204" s="38"/>
      <c r="SV204" s="38"/>
      <c r="SW204" s="38"/>
      <c r="SX204" s="38"/>
      <c r="SY204" s="38"/>
      <c r="SZ204" s="38"/>
      <c r="TA204" s="38"/>
      <c r="TB204" s="38"/>
      <c r="TC204" s="38"/>
      <c r="TD204" s="38"/>
      <c r="TE204" s="38"/>
      <c r="TF204" s="38"/>
      <c r="TG204" s="38"/>
      <c r="TH204" s="38"/>
      <c r="TI204" s="38"/>
    </row>
    <row r="205" spans="1:529" s="40" customFormat="1" ht="34.5" customHeight="1" x14ac:dyDescent="0.25">
      <c r="A205" s="76" t="s">
        <v>33</v>
      </c>
      <c r="B205" s="75"/>
      <c r="C205" s="75"/>
      <c r="D205" s="33" t="s">
        <v>510</v>
      </c>
      <c r="E205" s="68">
        <f t="shared" ref="E205:P205" si="112">SUM(E207+E208+E209+E210+E211+E212+E214+E215+E216+E217+E213+E219)</f>
        <v>3706717</v>
      </c>
      <c r="F205" s="68">
        <f t="shared" si="112"/>
        <v>3621811</v>
      </c>
      <c r="G205" s="68">
        <f t="shared" si="112"/>
        <v>1552300</v>
      </c>
      <c r="H205" s="68">
        <f t="shared" si="112"/>
        <v>0</v>
      </c>
      <c r="I205" s="68">
        <f t="shared" si="112"/>
        <v>84906</v>
      </c>
      <c r="J205" s="68">
        <f t="shared" si="112"/>
        <v>217523438.18000001</v>
      </c>
      <c r="K205" s="68">
        <f t="shared" si="112"/>
        <v>203676166</v>
      </c>
      <c r="L205" s="68">
        <f t="shared" si="112"/>
        <v>3200000</v>
      </c>
      <c r="M205" s="68">
        <f t="shared" si="112"/>
        <v>2348000</v>
      </c>
      <c r="N205" s="68">
        <f t="shared" si="112"/>
        <v>90600</v>
      </c>
      <c r="O205" s="68">
        <f t="shared" si="112"/>
        <v>214323438.18000001</v>
      </c>
      <c r="P205" s="68">
        <f t="shared" si="112"/>
        <v>221230155.18000001</v>
      </c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/>
      <c r="HY205" s="39"/>
      <c r="HZ205" s="39"/>
      <c r="IA205" s="39"/>
      <c r="IB205" s="39"/>
      <c r="IC205" s="39"/>
      <c r="ID205" s="39"/>
      <c r="IE205" s="39"/>
      <c r="IF205" s="39"/>
      <c r="IG205" s="39"/>
      <c r="IH205" s="39"/>
      <c r="II205" s="39"/>
      <c r="IJ205" s="39"/>
      <c r="IK205" s="39"/>
      <c r="IL205" s="39"/>
      <c r="IM205" s="39"/>
      <c r="IN205" s="39"/>
      <c r="IO205" s="39"/>
      <c r="IP205" s="39"/>
      <c r="IQ205" s="39"/>
      <c r="IR205" s="39"/>
      <c r="IS205" s="39"/>
      <c r="IT205" s="39"/>
      <c r="IU205" s="39"/>
      <c r="IV205" s="39"/>
      <c r="IW205" s="39"/>
      <c r="IX205" s="39"/>
      <c r="IY205" s="39"/>
      <c r="IZ205" s="39"/>
      <c r="JA205" s="39"/>
      <c r="JB205" s="39"/>
      <c r="JC205" s="39"/>
      <c r="JD205" s="39"/>
      <c r="JE205" s="39"/>
      <c r="JF205" s="39"/>
      <c r="JG205" s="39"/>
      <c r="JH205" s="39"/>
      <c r="JI205" s="39"/>
      <c r="JJ205" s="39"/>
      <c r="JK205" s="39"/>
      <c r="JL205" s="39"/>
      <c r="JM205" s="39"/>
      <c r="JN205" s="39"/>
      <c r="JO205" s="39"/>
      <c r="JP205" s="39"/>
      <c r="JQ205" s="39"/>
      <c r="JR205" s="39"/>
      <c r="JS205" s="39"/>
      <c r="JT205" s="39"/>
      <c r="JU205" s="39"/>
      <c r="JV205" s="39"/>
      <c r="JW205" s="39"/>
      <c r="JX205" s="39"/>
      <c r="JY205" s="39"/>
      <c r="JZ205" s="39"/>
      <c r="KA205" s="39"/>
      <c r="KB205" s="39"/>
      <c r="KC205" s="39"/>
      <c r="KD205" s="39"/>
      <c r="KE205" s="39"/>
      <c r="KF205" s="39"/>
      <c r="KG205" s="39"/>
      <c r="KH205" s="39"/>
      <c r="KI205" s="39"/>
      <c r="KJ205" s="39"/>
      <c r="KK205" s="39"/>
      <c r="KL205" s="39"/>
      <c r="KM205" s="39"/>
      <c r="KN205" s="39"/>
      <c r="KO205" s="39"/>
      <c r="KP205" s="39"/>
      <c r="KQ205" s="39"/>
      <c r="KR205" s="39"/>
      <c r="KS205" s="39"/>
      <c r="KT205" s="39"/>
      <c r="KU205" s="39"/>
      <c r="KV205" s="39"/>
      <c r="KW205" s="39"/>
      <c r="KX205" s="39"/>
      <c r="KY205" s="39"/>
      <c r="KZ205" s="39"/>
      <c r="LA205" s="39"/>
      <c r="LB205" s="39"/>
      <c r="LC205" s="39"/>
      <c r="LD205" s="39"/>
      <c r="LE205" s="39"/>
      <c r="LF205" s="39"/>
      <c r="LG205" s="39"/>
      <c r="LH205" s="39"/>
      <c r="LI205" s="39"/>
      <c r="LJ205" s="39"/>
      <c r="LK205" s="39"/>
      <c r="LL205" s="39"/>
      <c r="LM205" s="39"/>
      <c r="LN205" s="39"/>
      <c r="LO205" s="39"/>
      <c r="LP205" s="39"/>
      <c r="LQ205" s="39"/>
      <c r="LR205" s="39"/>
      <c r="LS205" s="39"/>
      <c r="LT205" s="39"/>
      <c r="LU205" s="39"/>
      <c r="LV205" s="39"/>
      <c r="LW205" s="39"/>
      <c r="LX205" s="39"/>
      <c r="LY205" s="39"/>
      <c r="LZ205" s="39"/>
      <c r="MA205" s="39"/>
      <c r="MB205" s="39"/>
      <c r="MC205" s="39"/>
      <c r="MD205" s="39"/>
      <c r="ME205" s="39"/>
      <c r="MF205" s="39"/>
      <c r="MG205" s="39"/>
      <c r="MH205" s="39"/>
      <c r="MI205" s="39"/>
      <c r="MJ205" s="39"/>
      <c r="MK205" s="39"/>
      <c r="ML205" s="39"/>
      <c r="MM205" s="39"/>
      <c r="MN205" s="39"/>
      <c r="MO205" s="39"/>
      <c r="MP205" s="39"/>
      <c r="MQ205" s="39"/>
      <c r="MR205" s="39"/>
      <c r="MS205" s="39"/>
      <c r="MT205" s="39"/>
      <c r="MU205" s="39"/>
      <c r="MV205" s="39"/>
      <c r="MW205" s="39"/>
      <c r="MX205" s="39"/>
      <c r="MY205" s="39"/>
      <c r="MZ205" s="39"/>
      <c r="NA205" s="39"/>
      <c r="NB205" s="39"/>
      <c r="NC205" s="39"/>
      <c r="ND205" s="39"/>
      <c r="NE205" s="39"/>
      <c r="NF205" s="39"/>
      <c r="NG205" s="39"/>
      <c r="NH205" s="39"/>
      <c r="NI205" s="39"/>
      <c r="NJ205" s="39"/>
      <c r="NK205" s="39"/>
      <c r="NL205" s="39"/>
      <c r="NM205" s="39"/>
      <c r="NN205" s="39"/>
      <c r="NO205" s="39"/>
      <c r="NP205" s="39"/>
      <c r="NQ205" s="39"/>
      <c r="NR205" s="39"/>
      <c r="NS205" s="39"/>
      <c r="NT205" s="39"/>
      <c r="NU205" s="39"/>
      <c r="NV205" s="39"/>
      <c r="NW205" s="39"/>
      <c r="NX205" s="39"/>
      <c r="NY205" s="39"/>
      <c r="NZ205" s="39"/>
      <c r="OA205" s="39"/>
      <c r="OB205" s="39"/>
      <c r="OC205" s="39"/>
      <c r="OD205" s="39"/>
      <c r="OE205" s="39"/>
      <c r="OF205" s="39"/>
      <c r="OG205" s="39"/>
      <c r="OH205" s="39"/>
      <c r="OI205" s="39"/>
      <c r="OJ205" s="39"/>
      <c r="OK205" s="39"/>
      <c r="OL205" s="39"/>
      <c r="OM205" s="39"/>
      <c r="ON205" s="39"/>
      <c r="OO205" s="39"/>
      <c r="OP205" s="39"/>
      <c r="OQ205" s="39"/>
      <c r="OR205" s="39"/>
      <c r="OS205" s="39"/>
      <c r="OT205" s="39"/>
      <c r="OU205" s="39"/>
      <c r="OV205" s="39"/>
      <c r="OW205" s="39"/>
      <c r="OX205" s="39"/>
      <c r="OY205" s="39"/>
      <c r="OZ205" s="39"/>
      <c r="PA205" s="39"/>
      <c r="PB205" s="39"/>
      <c r="PC205" s="39"/>
      <c r="PD205" s="39"/>
      <c r="PE205" s="39"/>
      <c r="PF205" s="39"/>
      <c r="PG205" s="39"/>
      <c r="PH205" s="39"/>
      <c r="PI205" s="39"/>
      <c r="PJ205" s="39"/>
      <c r="PK205" s="39"/>
      <c r="PL205" s="39"/>
      <c r="PM205" s="39"/>
      <c r="PN205" s="39"/>
      <c r="PO205" s="39"/>
      <c r="PP205" s="39"/>
      <c r="PQ205" s="39"/>
      <c r="PR205" s="39"/>
      <c r="PS205" s="39"/>
      <c r="PT205" s="39"/>
      <c r="PU205" s="39"/>
      <c r="PV205" s="39"/>
      <c r="PW205" s="39"/>
      <c r="PX205" s="39"/>
      <c r="PY205" s="39"/>
      <c r="PZ205" s="39"/>
      <c r="QA205" s="39"/>
      <c r="QB205" s="39"/>
      <c r="QC205" s="39"/>
      <c r="QD205" s="39"/>
      <c r="QE205" s="39"/>
      <c r="QF205" s="39"/>
      <c r="QG205" s="39"/>
      <c r="QH205" s="39"/>
      <c r="QI205" s="39"/>
      <c r="QJ205" s="39"/>
      <c r="QK205" s="39"/>
      <c r="QL205" s="39"/>
      <c r="QM205" s="39"/>
      <c r="QN205" s="39"/>
      <c r="QO205" s="39"/>
      <c r="QP205" s="39"/>
      <c r="QQ205" s="39"/>
      <c r="QR205" s="39"/>
      <c r="QS205" s="39"/>
      <c r="QT205" s="39"/>
      <c r="QU205" s="39"/>
      <c r="QV205" s="39"/>
      <c r="QW205" s="39"/>
      <c r="QX205" s="39"/>
      <c r="QY205" s="39"/>
      <c r="QZ205" s="39"/>
      <c r="RA205" s="39"/>
      <c r="RB205" s="39"/>
      <c r="RC205" s="39"/>
      <c r="RD205" s="39"/>
      <c r="RE205" s="39"/>
      <c r="RF205" s="39"/>
      <c r="RG205" s="39"/>
      <c r="RH205" s="39"/>
      <c r="RI205" s="39"/>
      <c r="RJ205" s="39"/>
      <c r="RK205" s="39"/>
      <c r="RL205" s="39"/>
      <c r="RM205" s="39"/>
      <c r="RN205" s="39"/>
      <c r="RO205" s="39"/>
      <c r="RP205" s="39"/>
      <c r="RQ205" s="39"/>
      <c r="RR205" s="39"/>
      <c r="RS205" s="39"/>
      <c r="RT205" s="39"/>
      <c r="RU205" s="39"/>
      <c r="RV205" s="39"/>
      <c r="RW205" s="39"/>
      <c r="RX205" s="39"/>
      <c r="RY205" s="39"/>
      <c r="RZ205" s="39"/>
      <c r="SA205" s="39"/>
      <c r="SB205" s="39"/>
      <c r="SC205" s="39"/>
      <c r="SD205" s="39"/>
      <c r="SE205" s="39"/>
      <c r="SF205" s="39"/>
      <c r="SG205" s="39"/>
      <c r="SH205" s="39"/>
      <c r="SI205" s="39"/>
      <c r="SJ205" s="39"/>
      <c r="SK205" s="39"/>
      <c r="SL205" s="39"/>
      <c r="SM205" s="39"/>
      <c r="SN205" s="39"/>
      <c r="SO205" s="39"/>
      <c r="SP205" s="39"/>
      <c r="SQ205" s="39"/>
      <c r="SR205" s="39"/>
      <c r="SS205" s="39"/>
      <c r="ST205" s="39"/>
      <c r="SU205" s="39"/>
      <c r="SV205" s="39"/>
      <c r="SW205" s="39"/>
      <c r="SX205" s="39"/>
      <c r="SY205" s="39"/>
      <c r="SZ205" s="39"/>
      <c r="TA205" s="39"/>
      <c r="TB205" s="39"/>
      <c r="TC205" s="39"/>
      <c r="TD205" s="39"/>
      <c r="TE205" s="39"/>
      <c r="TF205" s="39"/>
      <c r="TG205" s="39"/>
      <c r="TH205" s="39"/>
      <c r="TI205" s="39"/>
    </row>
    <row r="206" spans="1:529" s="40" customFormat="1" ht="23.25" customHeight="1" x14ac:dyDescent="0.25">
      <c r="A206" s="76"/>
      <c r="B206" s="75"/>
      <c r="C206" s="75"/>
      <c r="D206" s="163" t="s">
        <v>509</v>
      </c>
      <c r="E206" s="68">
        <f>E218</f>
        <v>0</v>
      </c>
      <c r="F206" s="68">
        <f t="shared" ref="F206:P206" si="113">F218</f>
        <v>0</v>
      </c>
      <c r="G206" s="68">
        <f t="shared" si="113"/>
        <v>0</v>
      </c>
      <c r="H206" s="68">
        <f t="shared" si="113"/>
        <v>0</v>
      </c>
      <c r="I206" s="68">
        <f t="shared" si="113"/>
        <v>0</v>
      </c>
      <c r="J206" s="68">
        <f t="shared" si="113"/>
        <v>44062207</v>
      </c>
      <c r="K206" s="68">
        <f t="shared" si="113"/>
        <v>44062207</v>
      </c>
      <c r="L206" s="68">
        <f t="shared" si="113"/>
        <v>0</v>
      </c>
      <c r="M206" s="68">
        <f t="shared" si="113"/>
        <v>0</v>
      </c>
      <c r="N206" s="68">
        <f t="shared" si="113"/>
        <v>0</v>
      </c>
      <c r="O206" s="68">
        <f t="shared" si="113"/>
        <v>44062207</v>
      </c>
      <c r="P206" s="68">
        <f t="shared" si="113"/>
        <v>44062207</v>
      </c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  <c r="IQ206" s="39"/>
      <c r="IR206" s="39"/>
      <c r="IS206" s="39"/>
      <c r="IT206" s="39"/>
      <c r="IU206" s="39"/>
      <c r="IV206" s="39"/>
      <c r="IW206" s="39"/>
      <c r="IX206" s="39"/>
      <c r="IY206" s="39"/>
      <c r="IZ206" s="39"/>
      <c r="JA206" s="39"/>
      <c r="JB206" s="39"/>
      <c r="JC206" s="39"/>
      <c r="JD206" s="39"/>
      <c r="JE206" s="39"/>
      <c r="JF206" s="39"/>
      <c r="JG206" s="39"/>
      <c r="JH206" s="39"/>
      <c r="JI206" s="39"/>
      <c r="JJ206" s="39"/>
      <c r="JK206" s="39"/>
      <c r="JL206" s="39"/>
      <c r="JM206" s="39"/>
      <c r="JN206" s="39"/>
      <c r="JO206" s="39"/>
      <c r="JP206" s="39"/>
      <c r="JQ206" s="39"/>
      <c r="JR206" s="39"/>
      <c r="JS206" s="39"/>
      <c r="JT206" s="39"/>
      <c r="JU206" s="39"/>
      <c r="JV206" s="39"/>
      <c r="JW206" s="39"/>
      <c r="JX206" s="39"/>
      <c r="JY206" s="39"/>
      <c r="JZ206" s="39"/>
      <c r="KA206" s="39"/>
      <c r="KB206" s="39"/>
      <c r="KC206" s="39"/>
      <c r="KD206" s="39"/>
      <c r="KE206" s="39"/>
      <c r="KF206" s="39"/>
      <c r="KG206" s="39"/>
      <c r="KH206" s="39"/>
      <c r="KI206" s="39"/>
      <c r="KJ206" s="39"/>
      <c r="KK206" s="39"/>
      <c r="KL206" s="39"/>
      <c r="KM206" s="39"/>
      <c r="KN206" s="39"/>
      <c r="KO206" s="39"/>
      <c r="KP206" s="39"/>
      <c r="KQ206" s="39"/>
      <c r="KR206" s="39"/>
      <c r="KS206" s="39"/>
      <c r="KT206" s="39"/>
      <c r="KU206" s="39"/>
      <c r="KV206" s="39"/>
      <c r="KW206" s="39"/>
      <c r="KX206" s="39"/>
      <c r="KY206" s="39"/>
      <c r="KZ206" s="39"/>
      <c r="LA206" s="39"/>
      <c r="LB206" s="39"/>
      <c r="LC206" s="39"/>
      <c r="LD206" s="39"/>
      <c r="LE206" s="39"/>
      <c r="LF206" s="39"/>
      <c r="LG206" s="39"/>
      <c r="LH206" s="39"/>
      <c r="LI206" s="39"/>
      <c r="LJ206" s="39"/>
      <c r="LK206" s="39"/>
      <c r="LL206" s="39"/>
      <c r="LM206" s="39"/>
      <c r="LN206" s="39"/>
      <c r="LO206" s="39"/>
      <c r="LP206" s="39"/>
      <c r="LQ206" s="39"/>
      <c r="LR206" s="39"/>
      <c r="LS206" s="39"/>
      <c r="LT206" s="39"/>
      <c r="LU206" s="39"/>
      <c r="LV206" s="39"/>
      <c r="LW206" s="39"/>
      <c r="LX206" s="39"/>
      <c r="LY206" s="39"/>
      <c r="LZ206" s="39"/>
      <c r="MA206" s="39"/>
      <c r="MB206" s="39"/>
      <c r="MC206" s="39"/>
      <c r="MD206" s="39"/>
      <c r="ME206" s="39"/>
      <c r="MF206" s="39"/>
      <c r="MG206" s="39"/>
      <c r="MH206" s="39"/>
      <c r="MI206" s="39"/>
      <c r="MJ206" s="39"/>
      <c r="MK206" s="39"/>
      <c r="ML206" s="39"/>
      <c r="MM206" s="39"/>
      <c r="MN206" s="39"/>
      <c r="MO206" s="39"/>
      <c r="MP206" s="39"/>
      <c r="MQ206" s="39"/>
      <c r="MR206" s="39"/>
      <c r="MS206" s="39"/>
      <c r="MT206" s="39"/>
      <c r="MU206" s="39"/>
      <c r="MV206" s="39"/>
      <c r="MW206" s="39"/>
      <c r="MX206" s="39"/>
      <c r="MY206" s="39"/>
      <c r="MZ206" s="39"/>
      <c r="NA206" s="39"/>
      <c r="NB206" s="39"/>
      <c r="NC206" s="39"/>
      <c r="ND206" s="39"/>
      <c r="NE206" s="39"/>
      <c r="NF206" s="39"/>
      <c r="NG206" s="39"/>
      <c r="NH206" s="39"/>
      <c r="NI206" s="39"/>
      <c r="NJ206" s="39"/>
      <c r="NK206" s="39"/>
      <c r="NL206" s="39"/>
      <c r="NM206" s="39"/>
      <c r="NN206" s="39"/>
      <c r="NO206" s="39"/>
      <c r="NP206" s="39"/>
      <c r="NQ206" s="39"/>
      <c r="NR206" s="39"/>
      <c r="NS206" s="39"/>
      <c r="NT206" s="39"/>
      <c r="NU206" s="39"/>
      <c r="NV206" s="39"/>
      <c r="NW206" s="39"/>
      <c r="NX206" s="39"/>
      <c r="NY206" s="39"/>
      <c r="NZ206" s="39"/>
      <c r="OA206" s="39"/>
      <c r="OB206" s="39"/>
      <c r="OC206" s="39"/>
      <c r="OD206" s="39"/>
      <c r="OE206" s="39"/>
      <c r="OF206" s="39"/>
      <c r="OG206" s="39"/>
      <c r="OH206" s="39"/>
      <c r="OI206" s="39"/>
      <c r="OJ206" s="39"/>
      <c r="OK206" s="39"/>
      <c r="OL206" s="39"/>
      <c r="OM206" s="39"/>
      <c r="ON206" s="39"/>
      <c r="OO206" s="39"/>
      <c r="OP206" s="39"/>
      <c r="OQ206" s="39"/>
      <c r="OR206" s="39"/>
      <c r="OS206" s="39"/>
      <c r="OT206" s="39"/>
      <c r="OU206" s="39"/>
      <c r="OV206" s="39"/>
      <c r="OW206" s="39"/>
      <c r="OX206" s="39"/>
      <c r="OY206" s="39"/>
      <c r="OZ206" s="39"/>
      <c r="PA206" s="39"/>
      <c r="PB206" s="39"/>
      <c r="PC206" s="39"/>
      <c r="PD206" s="39"/>
      <c r="PE206" s="39"/>
      <c r="PF206" s="39"/>
      <c r="PG206" s="39"/>
      <c r="PH206" s="39"/>
      <c r="PI206" s="39"/>
      <c r="PJ206" s="39"/>
      <c r="PK206" s="39"/>
      <c r="PL206" s="39"/>
      <c r="PM206" s="39"/>
      <c r="PN206" s="39"/>
      <c r="PO206" s="39"/>
      <c r="PP206" s="39"/>
      <c r="PQ206" s="39"/>
      <c r="PR206" s="39"/>
      <c r="PS206" s="39"/>
      <c r="PT206" s="39"/>
      <c r="PU206" s="39"/>
      <c r="PV206" s="39"/>
      <c r="PW206" s="39"/>
      <c r="PX206" s="39"/>
      <c r="PY206" s="39"/>
      <c r="PZ206" s="39"/>
      <c r="QA206" s="39"/>
      <c r="QB206" s="39"/>
      <c r="QC206" s="39"/>
      <c r="QD206" s="39"/>
      <c r="QE206" s="39"/>
      <c r="QF206" s="39"/>
      <c r="QG206" s="39"/>
      <c r="QH206" s="39"/>
      <c r="QI206" s="39"/>
      <c r="QJ206" s="39"/>
      <c r="QK206" s="39"/>
      <c r="QL206" s="39"/>
      <c r="QM206" s="39"/>
      <c r="QN206" s="39"/>
      <c r="QO206" s="39"/>
      <c r="QP206" s="39"/>
      <c r="QQ206" s="39"/>
      <c r="QR206" s="39"/>
      <c r="QS206" s="39"/>
      <c r="QT206" s="39"/>
      <c r="QU206" s="39"/>
      <c r="QV206" s="39"/>
      <c r="QW206" s="39"/>
      <c r="QX206" s="39"/>
      <c r="QY206" s="39"/>
      <c r="QZ206" s="39"/>
      <c r="RA206" s="39"/>
      <c r="RB206" s="39"/>
      <c r="RC206" s="39"/>
      <c r="RD206" s="39"/>
      <c r="RE206" s="39"/>
      <c r="RF206" s="39"/>
      <c r="RG206" s="39"/>
      <c r="RH206" s="39"/>
      <c r="RI206" s="39"/>
      <c r="RJ206" s="39"/>
      <c r="RK206" s="39"/>
      <c r="RL206" s="39"/>
      <c r="RM206" s="39"/>
      <c r="RN206" s="39"/>
      <c r="RO206" s="39"/>
      <c r="RP206" s="39"/>
      <c r="RQ206" s="39"/>
      <c r="RR206" s="39"/>
      <c r="RS206" s="39"/>
      <c r="RT206" s="39"/>
      <c r="RU206" s="39"/>
      <c r="RV206" s="39"/>
      <c r="RW206" s="39"/>
      <c r="RX206" s="39"/>
      <c r="RY206" s="39"/>
      <c r="RZ206" s="39"/>
      <c r="SA206" s="39"/>
      <c r="SB206" s="39"/>
      <c r="SC206" s="39"/>
      <c r="SD206" s="39"/>
      <c r="SE206" s="39"/>
      <c r="SF206" s="39"/>
      <c r="SG206" s="39"/>
      <c r="SH206" s="39"/>
      <c r="SI206" s="39"/>
      <c r="SJ206" s="39"/>
      <c r="SK206" s="39"/>
      <c r="SL206" s="39"/>
      <c r="SM206" s="39"/>
      <c r="SN206" s="39"/>
      <c r="SO206" s="39"/>
      <c r="SP206" s="39"/>
      <c r="SQ206" s="39"/>
      <c r="SR206" s="39"/>
      <c r="SS206" s="39"/>
      <c r="ST206" s="39"/>
      <c r="SU206" s="39"/>
      <c r="SV206" s="39"/>
      <c r="SW206" s="39"/>
      <c r="SX206" s="39"/>
      <c r="SY206" s="39"/>
      <c r="SZ206" s="39"/>
      <c r="TA206" s="39"/>
      <c r="TB206" s="39"/>
      <c r="TC206" s="39"/>
      <c r="TD206" s="39"/>
      <c r="TE206" s="39"/>
      <c r="TF206" s="39"/>
      <c r="TG206" s="39"/>
      <c r="TH206" s="39"/>
      <c r="TI206" s="39"/>
    </row>
    <row r="207" spans="1:529" s="23" customFormat="1" ht="44.25" customHeight="1" x14ac:dyDescent="0.25">
      <c r="A207" s="43" t="s">
        <v>151</v>
      </c>
      <c r="B207" s="44" t="str">
        <f>'дод 4'!A20</f>
        <v>0160</v>
      </c>
      <c r="C207" s="44" t="str">
        <f>'дод 4'!B20</f>
        <v>0111</v>
      </c>
      <c r="D20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07" s="69">
        <f t="shared" ref="E207:E219" si="114">F207+I207</f>
        <v>1893800</v>
      </c>
      <c r="F207" s="69">
        <f>1976700-82900</f>
        <v>1893800</v>
      </c>
      <c r="G207" s="69">
        <f>1620200-67900</f>
        <v>1552300</v>
      </c>
      <c r="H207" s="69"/>
      <c r="I207" s="69"/>
      <c r="J207" s="69">
        <f>L207+O207</f>
        <v>3200000</v>
      </c>
      <c r="K207" s="69"/>
      <c r="L207" s="69">
        <v>3200000</v>
      </c>
      <c r="M207" s="69">
        <v>2348000</v>
      </c>
      <c r="N207" s="69">
        <v>90600</v>
      </c>
      <c r="O207" s="69"/>
      <c r="P207" s="69">
        <f t="shared" ref="P207:P219" si="115">E207+J207</f>
        <v>5093800</v>
      </c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  <c r="JK207" s="26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6"/>
      <c r="KK207" s="26"/>
      <c r="KL207" s="26"/>
      <c r="KM207" s="26"/>
      <c r="KN207" s="26"/>
      <c r="KO207" s="26"/>
      <c r="KP207" s="26"/>
      <c r="KQ207" s="26"/>
      <c r="KR207" s="26"/>
      <c r="KS207" s="26"/>
      <c r="KT207" s="26"/>
      <c r="KU207" s="26"/>
      <c r="KV207" s="26"/>
      <c r="KW207" s="26"/>
      <c r="KX207" s="26"/>
      <c r="KY207" s="26"/>
      <c r="KZ207" s="26"/>
      <c r="LA207" s="26"/>
      <c r="LB207" s="26"/>
      <c r="LC207" s="26"/>
      <c r="LD207" s="26"/>
      <c r="LE207" s="26"/>
      <c r="LF207" s="26"/>
      <c r="LG207" s="26"/>
      <c r="LH207" s="26"/>
      <c r="LI207" s="26"/>
      <c r="LJ207" s="26"/>
      <c r="LK207" s="26"/>
      <c r="LL207" s="26"/>
      <c r="LM207" s="26"/>
      <c r="LN207" s="26"/>
      <c r="LO207" s="26"/>
      <c r="LP207" s="26"/>
      <c r="LQ207" s="26"/>
      <c r="LR207" s="26"/>
      <c r="LS207" s="26"/>
      <c r="LT207" s="26"/>
      <c r="LU207" s="26"/>
      <c r="LV207" s="26"/>
      <c r="LW207" s="26"/>
      <c r="LX207" s="26"/>
      <c r="LY207" s="26"/>
      <c r="LZ207" s="26"/>
      <c r="MA207" s="26"/>
      <c r="MB207" s="26"/>
      <c r="MC207" s="26"/>
      <c r="MD207" s="26"/>
      <c r="ME207" s="26"/>
      <c r="MF207" s="26"/>
      <c r="MG207" s="26"/>
      <c r="MH207" s="26"/>
      <c r="MI207" s="26"/>
      <c r="MJ207" s="26"/>
      <c r="MK207" s="26"/>
      <c r="ML207" s="26"/>
      <c r="MM207" s="26"/>
      <c r="MN207" s="26"/>
      <c r="MO207" s="26"/>
      <c r="MP207" s="26"/>
      <c r="MQ207" s="26"/>
      <c r="MR207" s="26"/>
      <c r="MS207" s="26"/>
      <c r="MT207" s="26"/>
      <c r="MU207" s="26"/>
      <c r="MV207" s="26"/>
      <c r="MW207" s="26"/>
      <c r="MX207" s="26"/>
      <c r="MY207" s="26"/>
      <c r="MZ207" s="26"/>
      <c r="NA207" s="26"/>
      <c r="NB207" s="26"/>
      <c r="NC207" s="26"/>
      <c r="ND207" s="26"/>
      <c r="NE207" s="26"/>
      <c r="NF207" s="26"/>
      <c r="NG207" s="26"/>
      <c r="NH207" s="26"/>
      <c r="NI207" s="26"/>
      <c r="NJ207" s="26"/>
      <c r="NK207" s="26"/>
      <c r="NL207" s="26"/>
      <c r="NM207" s="26"/>
      <c r="NN207" s="26"/>
      <c r="NO207" s="26"/>
      <c r="NP207" s="26"/>
      <c r="NQ207" s="26"/>
      <c r="NR207" s="26"/>
      <c r="NS207" s="26"/>
      <c r="NT207" s="26"/>
      <c r="NU207" s="26"/>
      <c r="NV207" s="26"/>
      <c r="NW207" s="26"/>
      <c r="NX207" s="26"/>
      <c r="NY207" s="26"/>
      <c r="NZ207" s="26"/>
      <c r="OA207" s="26"/>
      <c r="OB207" s="26"/>
      <c r="OC207" s="26"/>
      <c r="OD207" s="26"/>
      <c r="OE207" s="26"/>
      <c r="OF207" s="26"/>
      <c r="OG207" s="26"/>
      <c r="OH207" s="26"/>
      <c r="OI207" s="26"/>
      <c r="OJ207" s="26"/>
      <c r="OK207" s="26"/>
      <c r="OL207" s="26"/>
      <c r="OM207" s="26"/>
      <c r="ON207" s="26"/>
      <c r="OO207" s="26"/>
      <c r="OP207" s="26"/>
      <c r="OQ207" s="26"/>
      <c r="OR207" s="26"/>
      <c r="OS207" s="26"/>
      <c r="OT207" s="26"/>
      <c r="OU207" s="26"/>
      <c r="OV207" s="26"/>
      <c r="OW207" s="26"/>
      <c r="OX207" s="26"/>
      <c r="OY207" s="26"/>
      <c r="OZ207" s="26"/>
      <c r="PA207" s="26"/>
      <c r="PB207" s="26"/>
      <c r="PC207" s="26"/>
      <c r="PD207" s="26"/>
      <c r="PE207" s="26"/>
      <c r="PF207" s="26"/>
      <c r="PG207" s="26"/>
      <c r="PH207" s="26"/>
      <c r="PI207" s="26"/>
      <c r="PJ207" s="26"/>
      <c r="PK207" s="26"/>
      <c r="PL207" s="26"/>
      <c r="PM207" s="26"/>
      <c r="PN207" s="26"/>
      <c r="PO207" s="26"/>
      <c r="PP207" s="26"/>
      <c r="PQ207" s="26"/>
      <c r="PR207" s="26"/>
      <c r="PS207" s="26"/>
      <c r="PT207" s="26"/>
      <c r="PU207" s="26"/>
      <c r="PV207" s="26"/>
      <c r="PW207" s="26"/>
      <c r="PX207" s="26"/>
      <c r="PY207" s="26"/>
      <c r="PZ207" s="26"/>
      <c r="QA207" s="26"/>
      <c r="QB207" s="26"/>
      <c r="QC207" s="26"/>
      <c r="QD207" s="26"/>
      <c r="QE207" s="26"/>
      <c r="QF207" s="26"/>
      <c r="QG207" s="26"/>
      <c r="QH207" s="26"/>
      <c r="QI207" s="26"/>
      <c r="QJ207" s="26"/>
      <c r="QK207" s="26"/>
      <c r="QL207" s="26"/>
      <c r="QM207" s="26"/>
      <c r="QN207" s="26"/>
      <c r="QO207" s="26"/>
      <c r="QP207" s="26"/>
      <c r="QQ207" s="26"/>
      <c r="QR207" s="26"/>
      <c r="QS207" s="26"/>
      <c r="QT207" s="26"/>
      <c r="QU207" s="26"/>
      <c r="QV207" s="26"/>
      <c r="QW207" s="26"/>
      <c r="QX207" s="26"/>
      <c r="QY207" s="26"/>
      <c r="QZ207" s="26"/>
      <c r="RA207" s="26"/>
      <c r="RB207" s="26"/>
      <c r="RC207" s="26"/>
      <c r="RD207" s="26"/>
      <c r="RE207" s="26"/>
      <c r="RF207" s="26"/>
      <c r="RG207" s="26"/>
      <c r="RH207" s="26"/>
      <c r="RI207" s="26"/>
      <c r="RJ207" s="26"/>
      <c r="RK207" s="26"/>
      <c r="RL207" s="26"/>
      <c r="RM207" s="26"/>
      <c r="RN207" s="26"/>
      <c r="RO207" s="26"/>
      <c r="RP207" s="26"/>
      <c r="RQ207" s="26"/>
      <c r="RR207" s="26"/>
      <c r="RS207" s="26"/>
      <c r="RT207" s="26"/>
      <c r="RU207" s="26"/>
      <c r="RV207" s="26"/>
      <c r="RW207" s="26"/>
      <c r="RX207" s="26"/>
      <c r="RY207" s="26"/>
      <c r="RZ207" s="26"/>
      <c r="SA207" s="26"/>
      <c r="SB207" s="26"/>
      <c r="SC207" s="26"/>
      <c r="SD207" s="26"/>
      <c r="SE207" s="26"/>
      <c r="SF207" s="26"/>
      <c r="SG207" s="26"/>
      <c r="SH207" s="26"/>
      <c r="SI207" s="26"/>
      <c r="SJ207" s="26"/>
      <c r="SK207" s="26"/>
      <c r="SL207" s="26"/>
      <c r="SM207" s="26"/>
      <c r="SN207" s="26"/>
      <c r="SO207" s="26"/>
      <c r="SP207" s="26"/>
      <c r="SQ207" s="26"/>
      <c r="SR207" s="26"/>
      <c r="SS207" s="26"/>
      <c r="ST207" s="26"/>
      <c r="SU207" s="26"/>
      <c r="SV207" s="26"/>
      <c r="SW207" s="26"/>
      <c r="SX207" s="26"/>
      <c r="SY207" s="26"/>
      <c r="SZ207" s="26"/>
      <c r="TA207" s="26"/>
      <c r="TB207" s="26"/>
      <c r="TC207" s="26"/>
      <c r="TD207" s="26"/>
      <c r="TE207" s="26"/>
      <c r="TF207" s="26"/>
      <c r="TG207" s="26"/>
      <c r="TH207" s="26"/>
      <c r="TI207" s="26"/>
    </row>
    <row r="208" spans="1:529" s="23" customFormat="1" ht="22.5" customHeight="1" x14ac:dyDescent="0.25">
      <c r="A208" s="43" t="s">
        <v>222</v>
      </c>
      <c r="B208" s="44" t="str">
        <f>'дод 4'!A119</f>
        <v>6030</v>
      </c>
      <c r="C208" s="44" t="str">
        <f>'дод 4'!B119</f>
        <v>0620</v>
      </c>
      <c r="D208" s="24" t="str">
        <f>'дод 4'!C119</f>
        <v>Організація благоустрою населених пунктів</v>
      </c>
      <c r="E208" s="69">
        <f t="shared" si="114"/>
        <v>0</v>
      </c>
      <c r="F208" s="69"/>
      <c r="G208" s="69"/>
      <c r="H208" s="69"/>
      <c r="I208" s="69"/>
      <c r="J208" s="69">
        <f t="shared" ref="J208:J224" si="116">L208+O208</f>
        <v>46576556</v>
      </c>
      <c r="K208" s="69">
        <f>60000000-5000000-3750000-35796000+622556+500000+30000000</f>
        <v>46576556</v>
      </c>
      <c r="L208" s="69"/>
      <c r="M208" s="69"/>
      <c r="N208" s="69"/>
      <c r="O208" s="69">
        <f>60000000-5000000-3750000-35796000+622556+500000+30000000</f>
        <v>46576556</v>
      </c>
      <c r="P208" s="69">
        <f t="shared" si="115"/>
        <v>46576556</v>
      </c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  <c r="LD208" s="26"/>
      <c r="LE208" s="26"/>
      <c r="LF208" s="26"/>
      <c r="LG208" s="26"/>
      <c r="LH208" s="26"/>
      <c r="LI208" s="26"/>
      <c r="LJ208" s="26"/>
      <c r="LK208" s="26"/>
      <c r="LL208" s="26"/>
      <c r="LM208" s="26"/>
      <c r="LN208" s="26"/>
      <c r="LO208" s="26"/>
      <c r="LP208" s="26"/>
      <c r="LQ208" s="26"/>
      <c r="LR208" s="26"/>
      <c r="LS208" s="26"/>
      <c r="LT208" s="26"/>
      <c r="LU208" s="26"/>
      <c r="LV208" s="26"/>
      <c r="LW208" s="26"/>
      <c r="LX208" s="26"/>
      <c r="LY208" s="26"/>
      <c r="LZ208" s="26"/>
      <c r="MA208" s="26"/>
      <c r="MB208" s="26"/>
      <c r="MC208" s="26"/>
      <c r="MD208" s="26"/>
      <c r="ME208" s="26"/>
      <c r="MF208" s="26"/>
      <c r="MG208" s="26"/>
      <c r="MH208" s="26"/>
      <c r="MI208" s="26"/>
      <c r="MJ208" s="26"/>
      <c r="MK208" s="26"/>
      <c r="ML208" s="26"/>
      <c r="MM208" s="26"/>
      <c r="MN208" s="26"/>
      <c r="MO208" s="26"/>
      <c r="MP208" s="26"/>
      <c r="MQ208" s="26"/>
      <c r="MR208" s="26"/>
      <c r="MS208" s="26"/>
      <c r="MT208" s="26"/>
      <c r="MU208" s="26"/>
      <c r="MV208" s="26"/>
      <c r="MW208" s="26"/>
      <c r="MX208" s="26"/>
      <c r="MY208" s="26"/>
      <c r="MZ208" s="26"/>
      <c r="NA208" s="26"/>
      <c r="NB208" s="26"/>
      <c r="NC208" s="26"/>
      <c r="ND208" s="26"/>
      <c r="NE208" s="26"/>
      <c r="NF208" s="26"/>
      <c r="NG208" s="26"/>
      <c r="NH208" s="26"/>
      <c r="NI208" s="26"/>
      <c r="NJ208" s="26"/>
      <c r="NK208" s="26"/>
      <c r="NL208" s="26"/>
      <c r="NM208" s="26"/>
      <c r="NN208" s="26"/>
      <c r="NO208" s="26"/>
      <c r="NP208" s="26"/>
      <c r="NQ208" s="26"/>
      <c r="NR208" s="26"/>
      <c r="NS208" s="26"/>
      <c r="NT208" s="26"/>
      <c r="NU208" s="26"/>
      <c r="NV208" s="26"/>
      <c r="NW208" s="26"/>
      <c r="NX208" s="26"/>
      <c r="NY208" s="26"/>
      <c r="NZ208" s="26"/>
      <c r="OA208" s="26"/>
      <c r="OB208" s="26"/>
      <c r="OC208" s="26"/>
      <c r="OD208" s="26"/>
      <c r="OE208" s="26"/>
      <c r="OF208" s="26"/>
      <c r="OG208" s="26"/>
      <c r="OH208" s="26"/>
      <c r="OI208" s="26"/>
      <c r="OJ208" s="26"/>
      <c r="OK208" s="26"/>
      <c r="OL208" s="26"/>
      <c r="OM208" s="26"/>
      <c r="ON208" s="26"/>
      <c r="OO208" s="26"/>
      <c r="OP208" s="26"/>
      <c r="OQ208" s="26"/>
      <c r="OR208" s="26"/>
      <c r="OS208" s="26"/>
      <c r="OT208" s="26"/>
      <c r="OU208" s="26"/>
      <c r="OV208" s="26"/>
      <c r="OW208" s="26"/>
      <c r="OX208" s="26"/>
      <c r="OY208" s="26"/>
      <c r="OZ208" s="26"/>
      <c r="PA208" s="26"/>
      <c r="PB208" s="26"/>
      <c r="PC208" s="26"/>
      <c r="PD208" s="26"/>
      <c r="PE208" s="26"/>
      <c r="PF208" s="26"/>
      <c r="PG208" s="26"/>
      <c r="PH208" s="26"/>
      <c r="PI208" s="26"/>
      <c r="PJ208" s="26"/>
      <c r="PK208" s="26"/>
      <c r="PL208" s="26"/>
      <c r="PM208" s="26"/>
      <c r="PN208" s="26"/>
      <c r="PO208" s="26"/>
      <c r="PP208" s="26"/>
      <c r="PQ208" s="26"/>
      <c r="PR208" s="26"/>
      <c r="PS208" s="26"/>
      <c r="PT208" s="26"/>
      <c r="PU208" s="26"/>
      <c r="PV208" s="26"/>
      <c r="PW208" s="26"/>
      <c r="PX208" s="26"/>
      <c r="PY208" s="26"/>
      <c r="PZ208" s="26"/>
      <c r="QA208" s="26"/>
      <c r="QB208" s="26"/>
      <c r="QC208" s="26"/>
      <c r="QD208" s="26"/>
      <c r="QE208" s="26"/>
      <c r="QF208" s="26"/>
      <c r="QG208" s="26"/>
      <c r="QH208" s="26"/>
      <c r="QI208" s="26"/>
      <c r="QJ208" s="26"/>
      <c r="QK208" s="26"/>
      <c r="QL208" s="26"/>
      <c r="QM208" s="26"/>
      <c r="QN208" s="26"/>
      <c r="QO208" s="26"/>
      <c r="QP208" s="26"/>
      <c r="QQ208" s="26"/>
      <c r="QR208" s="26"/>
      <c r="QS208" s="26"/>
      <c r="QT208" s="26"/>
      <c r="QU208" s="26"/>
      <c r="QV208" s="26"/>
      <c r="QW208" s="26"/>
      <c r="QX208" s="26"/>
      <c r="QY208" s="26"/>
      <c r="QZ208" s="26"/>
      <c r="RA208" s="26"/>
      <c r="RB208" s="26"/>
      <c r="RC208" s="26"/>
      <c r="RD208" s="26"/>
      <c r="RE208" s="26"/>
      <c r="RF208" s="26"/>
      <c r="RG208" s="26"/>
      <c r="RH208" s="26"/>
      <c r="RI208" s="26"/>
      <c r="RJ208" s="26"/>
      <c r="RK208" s="26"/>
      <c r="RL208" s="26"/>
      <c r="RM208" s="26"/>
      <c r="RN208" s="26"/>
      <c r="RO208" s="26"/>
      <c r="RP208" s="26"/>
      <c r="RQ208" s="26"/>
      <c r="RR208" s="26"/>
      <c r="RS208" s="26"/>
      <c r="RT208" s="26"/>
      <c r="RU208" s="26"/>
      <c r="RV208" s="26"/>
      <c r="RW208" s="26"/>
      <c r="RX208" s="26"/>
      <c r="RY208" s="26"/>
      <c r="RZ208" s="26"/>
      <c r="SA208" s="26"/>
      <c r="SB208" s="26"/>
      <c r="SC208" s="26"/>
      <c r="SD208" s="26"/>
      <c r="SE208" s="26"/>
      <c r="SF208" s="26"/>
      <c r="SG208" s="26"/>
      <c r="SH208" s="26"/>
      <c r="SI208" s="26"/>
      <c r="SJ208" s="26"/>
      <c r="SK208" s="26"/>
      <c r="SL208" s="26"/>
      <c r="SM208" s="26"/>
      <c r="SN208" s="26"/>
      <c r="SO208" s="26"/>
      <c r="SP208" s="26"/>
      <c r="SQ208" s="26"/>
      <c r="SR208" s="26"/>
      <c r="SS208" s="26"/>
      <c r="ST208" s="26"/>
      <c r="SU208" s="26"/>
      <c r="SV208" s="26"/>
      <c r="SW208" s="26"/>
      <c r="SX208" s="26"/>
      <c r="SY208" s="26"/>
      <c r="SZ208" s="26"/>
      <c r="TA208" s="26"/>
      <c r="TB208" s="26"/>
      <c r="TC208" s="26"/>
      <c r="TD208" s="26"/>
      <c r="TE208" s="26"/>
      <c r="TF208" s="26"/>
      <c r="TG208" s="26"/>
      <c r="TH208" s="26"/>
      <c r="TI208" s="26"/>
    </row>
    <row r="209" spans="1:529" s="23" customFormat="1" ht="54.75" customHeight="1" x14ac:dyDescent="0.25">
      <c r="A209" s="43" t="s">
        <v>223</v>
      </c>
      <c r="B209" s="44" t="str">
        <f>'дод 4'!A120</f>
        <v>6084</v>
      </c>
      <c r="C209" s="44" t="str">
        <f>'дод 4'!B120</f>
        <v>0610</v>
      </c>
      <c r="D209" s="24" t="str">
        <f>'дод 4'!C120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09" s="69">
        <f t="shared" si="114"/>
        <v>84906</v>
      </c>
      <c r="F209" s="69"/>
      <c r="G209" s="69"/>
      <c r="H209" s="69"/>
      <c r="I209" s="69">
        <v>84906</v>
      </c>
      <c r="J209" s="69">
        <f t="shared" si="116"/>
        <v>77703.06</v>
      </c>
      <c r="K209" s="69"/>
      <c r="L209" s="71"/>
      <c r="M209" s="69"/>
      <c r="N209" s="69"/>
      <c r="O209" s="69">
        <f>46724+30979.06</f>
        <v>77703.06</v>
      </c>
      <c r="P209" s="69">
        <f t="shared" si="115"/>
        <v>162609.06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  <c r="LB209" s="26"/>
      <c r="LC209" s="26"/>
      <c r="LD209" s="26"/>
      <c r="LE209" s="26"/>
      <c r="LF209" s="26"/>
      <c r="LG209" s="26"/>
      <c r="LH209" s="26"/>
      <c r="LI209" s="26"/>
      <c r="LJ209" s="26"/>
      <c r="LK209" s="26"/>
      <c r="LL209" s="26"/>
      <c r="LM209" s="26"/>
      <c r="LN209" s="26"/>
      <c r="LO209" s="26"/>
      <c r="LP209" s="26"/>
      <c r="LQ209" s="26"/>
      <c r="LR209" s="26"/>
      <c r="LS209" s="26"/>
      <c r="LT209" s="26"/>
      <c r="LU209" s="26"/>
      <c r="LV209" s="26"/>
      <c r="LW209" s="26"/>
      <c r="LX209" s="26"/>
      <c r="LY209" s="26"/>
      <c r="LZ209" s="26"/>
      <c r="MA209" s="26"/>
      <c r="MB209" s="26"/>
      <c r="MC209" s="26"/>
      <c r="MD209" s="26"/>
      <c r="ME209" s="26"/>
      <c r="MF209" s="26"/>
      <c r="MG209" s="26"/>
      <c r="MH209" s="26"/>
      <c r="MI209" s="26"/>
      <c r="MJ209" s="26"/>
      <c r="MK209" s="26"/>
      <c r="ML209" s="26"/>
      <c r="MM209" s="26"/>
      <c r="MN209" s="26"/>
      <c r="MO209" s="26"/>
      <c r="MP209" s="26"/>
      <c r="MQ209" s="26"/>
      <c r="MR209" s="26"/>
      <c r="MS209" s="26"/>
      <c r="MT209" s="26"/>
      <c r="MU209" s="26"/>
      <c r="MV209" s="26"/>
      <c r="MW209" s="26"/>
      <c r="MX209" s="26"/>
      <c r="MY209" s="26"/>
      <c r="MZ209" s="26"/>
      <c r="NA209" s="26"/>
      <c r="NB209" s="26"/>
      <c r="NC209" s="26"/>
      <c r="ND209" s="26"/>
      <c r="NE209" s="26"/>
      <c r="NF209" s="26"/>
      <c r="NG209" s="26"/>
      <c r="NH209" s="26"/>
      <c r="NI209" s="26"/>
      <c r="NJ209" s="26"/>
      <c r="NK209" s="26"/>
      <c r="NL209" s="26"/>
      <c r="NM209" s="26"/>
      <c r="NN209" s="26"/>
      <c r="NO209" s="26"/>
      <c r="NP209" s="26"/>
      <c r="NQ209" s="26"/>
      <c r="NR209" s="26"/>
      <c r="NS209" s="26"/>
      <c r="NT209" s="26"/>
      <c r="NU209" s="26"/>
      <c r="NV209" s="26"/>
      <c r="NW209" s="26"/>
      <c r="NX209" s="26"/>
      <c r="NY209" s="26"/>
      <c r="NZ209" s="26"/>
      <c r="OA209" s="26"/>
      <c r="OB209" s="26"/>
      <c r="OC209" s="26"/>
      <c r="OD209" s="26"/>
      <c r="OE209" s="26"/>
      <c r="OF209" s="26"/>
      <c r="OG209" s="26"/>
      <c r="OH209" s="26"/>
      <c r="OI209" s="26"/>
      <c r="OJ209" s="26"/>
      <c r="OK209" s="26"/>
      <c r="OL209" s="26"/>
      <c r="OM209" s="26"/>
      <c r="ON209" s="26"/>
      <c r="OO209" s="26"/>
      <c r="OP209" s="26"/>
      <c r="OQ209" s="26"/>
      <c r="OR209" s="26"/>
      <c r="OS209" s="26"/>
      <c r="OT209" s="26"/>
      <c r="OU209" s="26"/>
      <c r="OV209" s="26"/>
      <c r="OW209" s="26"/>
      <c r="OX209" s="26"/>
      <c r="OY209" s="26"/>
      <c r="OZ209" s="26"/>
      <c r="PA209" s="26"/>
      <c r="PB209" s="26"/>
      <c r="PC209" s="26"/>
      <c r="PD209" s="26"/>
      <c r="PE209" s="26"/>
      <c r="PF209" s="26"/>
      <c r="PG209" s="26"/>
      <c r="PH209" s="26"/>
      <c r="PI209" s="26"/>
      <c r="PJ209" s="26"/>
      <c r="PK209" s="26"/>
      <c r="PL209" s="26"/>
      <c r="PM209" s="26"/>
      <c r="PN209" s="26"/>
      <c r="PO209" s="26"/>
      <c r="PP209" s="26"/>
      <c r="PQ209" s="26"/>
      <c r="PR209" s="26"/>
      <c r="PS209" s="26"/>
      <c r="PT209" s="26"/>
      <c r="PU209" s="26"/>
      <c r="PV209" s="26"/>
      <c r="PW209" s="26"/>
      <c r="PX209" s="26"/>
      <c r="PY209" s="26"/>
      <c r="PZ209" s="26"/>
      <c r="QA209" s="26"/>
      <c r="QB209" s="26"/>
      <c r="QC209" s="26"/>
      <c r="QD209" s="26"/>
      <c r="QE209" s="26"/>
      <c r="QF209" s="26"/>
      <c r="QG209" s="26"/>
      <c r="QH209" s="26"/>
      <c r="QI209" s="26"/>
      <c r="QJ209" s="26"/>
      <c r="QK209" s="26"/>
      <c r="QL209" s="26"/>
      <c r="QM209" s="26"/>
      <c r="QN209" s="26"/>
      <c r="QO209" s="26"/>
      <c r="QP209" s="26"/>
      <c r="QQ209" s="26"/>
      <c r="QR209" s="26"/>
      <c r="QS209" s="26"/>
      <c r="QT209" s="26"/>
      <c r="QU209" s="26"/>
      <c r="QV209" s="26"/>
      <c r="QW209" s="26"/>
      <c r="QX209" s="26"/>
      <c r="QY209" s="26"/>
      <c r="QZ209" s="26"/>
      <c r="RA209" s="26"/>
      <c r="RB209" s="26"/>
      <c r="RC209" s="26"/>
      <c r="RD209" s="26"/>
      <c r="RE209" s="26"/>
      <c r="RF209" s="26"/>
      <c r="RG209" s="26"/>
      <c r="RH209" s="26"/>
      <c r="RI209" s="26"/>
      <c r="RJ209" s="26"/>
      <c r="RK209" s="26"/>
      <c r="RL209" s="26"/>
      <c r="RM209" s="26"/>
      <c r="RN209" s="26"/>
      <c r="RO209" s="26"/>
      <c r="RP209" s="26"/>
      <c r="RQ209" s="26"/>
      <c r="RR209" s="26"/>
      <c r="RS209" s="26"/>
      <c r="RT209" s="26"/>
      <c r="RU209" s="26"/>
      <c r="RV209" s="26"/>
      <c r="RW209" s="26"/>
      <c r="RX209" s="26"/>
      <c r="RY209" s="26"/>
      <c r="RZ209" s="26"/>
      <c r="SA209" s="26"/>
      <c r="SB209" s="26"/>
      <c r="SC209" s="26"/>
      <c r="SD209" s="26"/>
      <c r="SE209" s="26"/>
      <c r="SF209" s="26"/>
      <c r="SG209" s="26"/>
      <c r="SH209" s="26"/>
      <c r="SI209" s="26"/>
      <c r="SJ209" s="26"/>
      <c r="SK209" s="26"/>
      <c r="SL209" s="26"/>
      <c r="SM209" s="26"/>
      <c r="SN209" s="26"/>
      <c r="SO209" s="26"/>
      <c r="SP209" s="26"/>
      <c r="SQ209" s="26"/>
      <c r="SR209" s="26"/>
      <c r="SS209" s="26"/>
      <c r="ST209" s="26"/>
      <c r="SU209" s="26"/>
      <c r="SV209" s="26"/>
      <c r="SW209" s="26"/>
      <c r="SX209" s="26"/>
      <c r="SY209" s="26"/>
      <c r="SZ209" s="26"/>
      <c r="TA209" s="26"/>
      <c r="TB209" s="26"/>
      <c r="TC209" s="26"/>
      <c r="TD209" s="26"/>
      <c r="TE209" s="26"/>
      <c r="TF209" s="26"/>
      <c r="TG209" s="26"/>
      <c r="TH209" s="26"/>
      <c r="TI209" s="26"/>
    </row>
    <row r="210" spans="1:529" s="23" customFormat="1" ht="33.75" customHeight="1" x14ac:dyDescent="0.25">
      <c r="A210" s="43" t="s">
        <v>297</v>
      </c>
      <c r="B210" s="44" t="str">
        <f>'дод 4'!A130</f>
        <v>7310</v>
      </c>
      <c r="C210" s="44" t="str">
        <f>'дод 4'!B130</f>
        <v>0443</v>
      </c>
      <c r="D210" s="24" t="str">
        <f>'дод 4'!C130</f>
        <v>Будівництво об'єктів житлово-комунального господарства</v>
      </c>
      <c r="E210" s="69">
        <f t="shared" si="114"/>
        <v>0</v>
      </c>
      <c r="F210" s="69"/>
      <c r="G210" s="69"/>
      <c r="H210" s="69"/>
      <c r="I210" s="69"/>
      <c r="J210" s="69">
        <f t="shared" si="116"/>
        <v>5885000</v>
      </c>
      <c r="K210" s="69">
        <f>3000000+1590000+1295000</f>
        <v>5885000</v>
      </c>
      <c r="L210" s="69"/>
      <c r="M210" s="69"/>
      <c r="N210" s="69"/>
      <c r="O210" s="69">
        <f>3000000+1590000+1295000</f>
        <v>5885000</v>
      </c>
      <c r="P210" s="69">
        <f t="shared" si="115"/>
        <v>5885000</v>
      </c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  <c r="JK210" s="2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6"/>
      <c r="KK210" s="26"/>
      <c r="KL210" s="26"/>
      <c r="KM210" s="26"/>
      <c r="KN210" s="26"/>
      <c r="KO210" s="26"/>
      <c r="KP210" s="26"/>
      <c r="KQ210" s="26"/>
      <c r="KR210" s="26"/>
      <c r="KS210" s="26"/>
      <c r="KT210" s="26"/>
      <c r="KU210" s="26"/>
      <c r="KV210" s="26"/>
      <c r="KW210" s="26"/>
      <c r="KX210" s="26"/>
      <c r="KY210" s="26"/>
      <c r="KZ210" s="26"/>
      <c r="LA210" s="26"/>
      <c r="LB210" s="26"/>
      <c r="LC210" s="26"/>
      <c r="LD210" s="26"/>
      <c r="LE210" s="26"/>
      <c r="LF210" s="26"/>
      <c r="LG210" s="26"/>
      <c r="LH210" s="26"/>
      <c r="LI210" s="26"/>
      <c r="LJ210" s="26"/>
      <c r="LK210" s="26"/>
      <c r="LL210" s="26"/>
      <c r="LM210" s="26"/>
      <c r="LN210" s="26"/>
      <c r="LO210" s="26"/>
      <c r="LP210" s="26"/>
      <c r="LQ210" s="26"/>
      <c r="LR210" s="26"/>
      <c r="LS210" s="26"/>
      <c r="LT210" s="26"/>
      <c r="LU210" s="26"/>
      <c r="LV210" s="26"/>
      <c r="LW210" s="26"/>
      <c r="LX210" s="26"/>
      <c r="LY210" s="26"/>
      <c r="LZ210" s="26"/>
      <c r="MA210" s="26"/>
      <c r="MB210" s="26"/>
      <c r="MC210" s="26"/>
      <c r="MD210" s="26"/>
      <c r="ME210" s="26"/>
      <c r="MF210" s="26"/>
      <c r="MG210" s="26"/>
      <c r="MH210" s="26"/>
      <c r="MI210" s="26"/>
      <c r="MJ210" s="26"/>
      <c r="MK210" s="26"/>
      <c r="ML210" s="26"/>
      <c r="MM210" s="26"/>
      <c r="MN210" s="26"/>
      <c r="MO210" s="26"/>
      <c r="MP210" s="26"/>
      <c r="MQ210" s="26"/>
      <c r="MR210" s="26"/>
      <c r="MS210" s="26"/>
      <c r="MT210" s="26"/>
      <c r="MU210" s="26"/>
      <c r="MV210" s="26"/>
      <c r="MW210" s="26"/>
      <c r="MX210" s="26"/>
      <c r="MY210" s="26"/>
      <c r="MZ210" s="26"/>
      <c r="NA210" s="26"/>
      <c r="NB210" s="26"/>
      <c r="NC210" s="26"/>
      <c r="ND210" s="26"/>
      <c r="NE210" s="26"/>
      <c r="NF210" s="26"/>
      <c r="NG210" s="26"/>
      <c r="NH210" s="26"/>
      <c r="NI210" s="26"/>
      <c r="NJ210" s="26"/>
      <c r="NK210" s="26"/>
      <c r="NL210" s="26"/>
      <c r="NM210" s="26"/>
      <c r="NN210" s="26"/>
      <c r="NO210" s="26"/>
      <c r="NP210" s="26"/>
      <c r="NQ210" s="26"/>
      <c r="NR210" s="26"/>
      <c r="NS210" s="26"/>
      <c r="NT210" s="26"/>
      <c r="NU210" s="26"/>
      <c r="NV210" s="26"/>
      <c r="NW210" s="26"/>
      <c r="NX210" s="26"/>
      <c r="NY210" s="26"/>
      <c r="NZ210" s="26"/>
      <c r="OA210" s="26"/>
      <c r="OB210" s="26"/>
      <c r="OC210" s="26"/>
      <c r="OD210" s="26"/>
      <c r="OE210" s="26"/>
      <c r="OF210" s="26"/>
      <c r="OG210" s="26"/>
      <c r="OH210" s="26"/>
      <c r="OI210" s="26"/>
      <c r="OJ210" s="26"/>
      <c r="OK210" s="26"/>
      <c r="OL210" s="26"/>
      <c r="OM210" s="26"/>
      <c r="ON210" s="26"/>
      <c r="OO210" s="26"/>
      <c r="OP210" s="26"/>
      <c r="OQ210" s="26"/>
      <c r="OR210" s="26"/>
      <c r="OS210" s="26"/>
      <c r="OT210" s="26"/>
      <c r="OU210" s="26"/>
      <c r="OV210" s="26"/>
      <c r="OW210" s="26"/>
      <c r="OX210" s="26"/>
      <c r="OY210" s="26"/>
      <c r="OZ210" s="26"/>
      <c r="PA210" s="26"/>
      <c r="PB210" s="26"/>
      <c r="PC210" s="26"/>
      <c r="PD210" s="26"/>
      <c r="PE210" s="26"/>
      <c r="PF210" s="26"/>
      <c r="PG210" s="26"/>
      <c r="PH210" s="26"/>
      <c r="PI210" s="26"/>
      <c r="PJ210" s="26"/>
      <c r="PK210" s="26"/>
      <c r="PL210" s="26"/>
      <c r="PM210" s="26"/>
      <c r="PN210" s="26"/>
      <c r="PO210" s="26"/>
      <c r="PP210" s="26"/>
      <c r="PQ210" s="26"/>
      <c r="PR210" s="26"/>
      <c r="PS210" s="26"/>
      <c r="PT210" s="26"/>
      <c r="PU210" s="26"/>
      <c r="PV210" s="26"/>
      <c r="PW210" s="26"/>
      <c r="PX210" s="26"/>
      <c r="PY210" s="26"/>
      <c r="PZ210" s="26"/>
      <c r="QA210" s="26"/>
      <c r="QB210" s="26"/>
      <c r="QC210" s="26"/>
      <c r="QD210" s="26"/>
      <c r="QE210" s="26"/>
      <c r="QF210" s="26"/>
      <c r="QG210" s="26"/>
      <c r="QH210" s="26"/>
      <c r="QI210" s="26"/>
      <c r="QJ210" s="26"/>
      <c r="QK210" s="26"/>
      <c r="QL210" s="26"/>
      <c r="QM210" s="26"/>
      <c r="QN210" s="26"/>
      <c r="QO210" s="26"/>
      <c r="QP210" s="26"/>
      <c r="QQ210" s="26"/>
      <c r="QR210" s="26"/>
      <c r="QS210" s="26"/>
      <c r="QT210" s="26"/>
      <c r="QU210" s="26"/>
      <c r="QV210" s="26"/>
      <c r="QW210" s="26"/>
      <c r="QX210" s="26"/>
      <c r="QY210" s="26"/>
      <c r="QZ210" s="26"/>
      <c r="RA210" s="26"/>
      <c r="RB210" s="26"/>
      <c r="RC210" s="26"/>
      <c r="RD210" s="26"/>
      <c r="RE210" s="26"/>
      <c r="RF210" s="26"/>
      <c r="RG210" s="26"/>
      <c r="RH210" s="26"/>
      <c r="RI210" s="26"/>
      <c r="RJ210" s="26"/>
      <c r="RK210" s="26"/>
      <c r="RL210" s="26"/>
      <c r="RM210" s="26"/>
      <c r="RN210" s="26"/>
      <c r="RO210" s="26"/>
      <c r="RP210" s="26"/>
      <c r="RQ210" s="26"/>
      <c r="RR210" s="26"/>
      <c r="RS210" s="26"/>
      <c r="RT210" s="26"/>
      <c r="RU210" s="26"/>
      <c r="RV210" s="26"/>
      <c r="RW210" s="26"/>
      <c r="RX210" s="26"/>
      <c r="RY210" s="26"/>
      <c r="RZ210" s="26"/>
      <c r="SA210" s="26"/>
      <c r="SB210" s="26"/>
      <c r="SC210" s="26"/>
      <c r="SD210" s="26"/>
      <c r="SE210" s="26"/>
      <c r="SF210" s="26"/>
      <c r="SG210" s="26"/>
      <c r="SH210" s="26"/>
      <c r="SI210" s="26"/>
      <c r="SJ210" s="26"/>
      <c r="SK210" s="26"/>
      <c r="SL210" s="26"/>
      <c r="SM210" s="26"/>
      <c r="SN210" s="26"/>
      <c r="SO210" s="26"/>
      <c r="SP210" s="26"/>
      <c r="SQ210" s="26"/>
      <c r="SR210" s="26"/>
      <c r="SS210" s="26"/>
      <c r="ST210" s="26"/>
      <c r="SU210" s="26"/>
      <c r="SV210" s="26"/>
      <c r="SW210" s="26"/>
      <c r="SX210" s="26"/>
      <c r="SY210" s="26"/>
      <c r="SZ210" s="26"/>
      <c r="TA210" s="26"/>
      <c r="TB210" s="26"/>
      <c r="TC210" s="26"/>
      <c r="TD210" s="26"/>
      <c r="TE210" s="26"/>
      <c r="TF210" s="26"/>
      <c r="TG210" s="26"/>
      <c r="TH210" s="26"/>
      <c r="TI210" s="26"/>
    </row>
    <row r="211" spans="1:529" s="23" customFormat="1" ht="21.75" customHeight="1" x14ac:dyDescent="0.25">
      <c r="A211" s="43" t="s">
        <v>298</v>
      </c>
      <c r="B211" s="44" t="str">
        <f>'дод 4'!A131</f>
        <v>7321</v>
      </c>
      <c r="C211" s="44" t="str">
        <f>'дод 4'!B131</f>
        <v>0443</v>
      </c>
      <c r="D211" s="24" t="str">
        <f>'дод 4'!C131</f>
        <v>Будівництво освітніх установ та закладів</v>
      </c>
      <c r="E211" s="69">
        <f t="shared" si="114"/>
        <v>0</v>
      </c>
      <c r="F211" s="69"/>
      <c r="G211" s="69"/>
      <c r="H211" s="69"/>
      <c r="I211" s="69"/>
      <c r="J211" s="69">
        <f t="shared" si="116"/>
        <v>4993835</v>
      </c>
      <c r="K211" s="69">
        <f>9000000-5000000+993835</f>
        <v>4993835</v>
      </c>
      <c r="L211" s="69"/>
      <c r="M211" s="69"/>
      <c r="N211" s="69"/>
      <c r="O211" s="69">
        <f>9000000-5000000+993835</f>
        <v>4993835</v>
      </c>
      <c r="P211" s="69">
        <f t="shared" si="115"/>
        <v>4993835</v>
      </c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  <c r="LB211" s="26"/>
      <c r="LC211" s="26"/>
      <c r="LD211" s="26"/>
      <c r="LE211" s="26"/>
      <c r="LF211" s="26"/>
      <c r="LG211" s="26"/>
      <c r="LH211" s="26"/>
      <c r="LI211" s="26"/>
      <c r="LJ211" s="26"/>
      <c r="LK211" s="26"/>
      <c r="LL211" s="26"/>
      <c r="LM211" s="26"/>
      <c r="LN211" s="26"/>
      <c r="LO211" s="26"/>
      <c r="LP211" s="26"/>
      <c r="LQ211" s="26"/>
      <c r="LR211" s="26"/>
      <c r="LS211" s="26"/>
      <c r="LT211" s="26"/>
      <c r="LU211" s="26"/>
      <c r="LV211" s="26"/>
      <c r="LW211" s="26"/>
      <c r="LX211" s="26"/>
      <c r="LY211" s="26"/>
      <c r="LZ211" s="26"/>
      <c r="MA211" s="26"/>
      <c r="MB211" s="26"/>
      <c r="MC211" s="26"/>
      <c r="MD211" s="26"/>
      <c r="ME211" s="26"/>
      <c r="MF211" s="26"/>
      <c r="MG211" s="26"/>
      <c r="MH211" s="26"/>
      <c r="MI211" s="26"/>
      <c r="MJ211" s="26"/>
      <c r="MK211" s="26"/>
      <c r="ML211" s="26"/>
      <c r="MM211" s="26"/>
      <c r="MN211" s="26"/>
      <c r="MO211" s="26"/>
      <c r="MP211" s="26"/>
      <c r="MQ211" s="26"/>
      <c r="MR211" s="26"/>
      <c r="MS211" s="26"/>
      <c r="MT211" s="26"/>
      <c r="MU211" s="26"/>
      <c r="MV211" s="26"/>
      <c r="MW211" s="26"/>
      <c r="MX211" s="26"/>
      <c r="MY211" s="26"/>
      <c r="MZ211" s="26"/>
      <c r="NA211" s="26"/>
      <c r="NB211" s="26"/>
      <c r="NC211" s="26"/>
      <c r="ND211" s="26"/>
      <c r="NE211" s="26"/>
      <c r="NF211" s="26"/>
      <c r="NG211" s="26"/>
      <c r="NH211" s="26"/>
      <c r="NI211" s="26"/>
      <c r="NJ211" s="26"/>
      <c r="NK211" s="26"/>
      <c r="NL211" s="26"/>
      <c r="NM211" s="26"/>
      <c r="NN211" s="26"/>
      <c r="NO211" s="26"/>
      <c r="NP211" s="26"/>
      <c r="NQ211" s="26"/>
      <c r="NR211" s="26"/>
      <c r="NS211" s="26"/>
      <c r="NT211" s="26"/>
      <c r="NU211" s="26"/>
      <c r="NV211" s="26"/>
      <c r="NW211" s="26"/>
      <c r="NX211" s="26"/>
      <c r="NY211" s="26"/>
      <c r="NZ211" s="26"/>
      <c r="OA211" s="26"/>
      <c r="OB211" s="26"/>
      <c r="OC211" s="26"/>
      <c r="OD211" s="26"/>
      <c r="OE211" s="26"/>
      <c r="OF211" s="26"/>
      <c r="OG211" s="26"/>
      <c r="OH211" s="26"/>
      <c r="OI211" s="26"/>
      <c r="OJ211" s="26"/>
      <c r="OK211" s="26"/>
      <c r="OL211" s="26"/>
      <c r="OM211" s="26"/>
      <c r="ON211" s="26"/>
      <c r="OO211" s="26"/>
      <c r="OP211" s="26"/>
      <c r="OQ211" s="26"/>
      <c r="OR211" s="26"/>
      <c r="OS211" s="26"/>
      <c r="OT211" s="26"/>
      <c r="OU211" s="26"/>
      <c r="OV211" s="26"/>
      <c r="OW211" s="26"/>
      <c r="OX211" s="26"/>
      <c r="OY211" s="26"/>
      <c r="OZ211" s="26"/>
      <c r="PA211" s="26"/>
      <c r="PB211" s="26"/>
      <c r="PC211" s="26"/>
      <c r="PD211" s="26"/>
      <c r="PE211" s="26"/>
      <c r="PF211" s="26"/>
      <c r="PG211" s="26"/>
      <c r="PH211" s="26"/>
      <c r="PI211" s="26"/>
      <c r="PJ211" s="26"/>
      <c r="PK211" s="26"/>
      <c r="PL211" s="26"/>
      <c r="PM211" s="26"/>
      <c r="PN211" s="26"/>
      <c r="PO211" s="26"/>
      <c r="PP211" s="26"/>
      <c r="PQ211" s="26"/>
      <c r="PR211" s="26"/>
      <c r="PS211" s="26"/>
      <c r="PT211" s="26"/>
      <c r="PU211" s="26"/>
      <c r="PV211" s="26"/>
      <c r="PW211" s="26"/>
      <c r="PX211" s="26"/>
      <c r="PY211" s="26"/>
      <c r="PZ211" s="26"/>
      <c r="QA211" s="26"/>
      <c r="QB211" s="26"/>
      <c r="QC211" s="26"/>
      <c r="QD211" s="26"/>
      <c r="QE211" s="26"/>
      <c r="QF211" s="26"/>
      <c r="QG211" s="26"/>
      <c r="QH211" s="26"/>
      <c r="QI211" s="26"/>
      <c r="QJ211" s="26"/>
      <c r="QK211" s="26"/>
      <c r="QL211" s="26"/>
      <c r="QM211" s="26"/>
      <c r="QN211" s="26"/>
      <c r="QO211" s="26"/>
      <c r="QP211" s="26"/>
      <c r="QQ211" s="26"/>
      <c r="QR211" s="26"/>
      <c r="QS211" s="26"/>
      <c r="QT211" s="26"/>
      <c r="QU211" s="26"/>
      <c r="QV211" s="26"/>
      <c r="QW211" s="26"/>
      <c r="QX211" s="26"/>
      <c r="QY211" s="26"/>
      <c r="QZ211" s="26"/>
      <c r="RA211" s="26"/>
      <c r="RB211" s="26"/>
      <c r="RC211" s="26"/>
      <c r="RD211" s="26"/>
      <c r="RE211" s="26"/>
      <c r="RF211" s="26"/>
      <c r="RG211" s="26"/>
      <c r="RH211" s="26"/>
      <c r="RI211" s="26"/>
      <c r="RJ211" s="26"/>
      <c r="RK211" s="26"/>
      <c r="RL211" s="26"/>
      <c r="RM211" s="26"/>
      <c r="RN211" s="26"/>
      <c r="RO211" s="26"/>
      <c r="RP211" s="26"/>
      <c r="RQ211" s="26"/>
      <c r="RR211" s="26"/>
      <c r="RS211" s="26"/>
      <c r="RT211" s="26"/>
      <c r="RU211" s="26"/>
      <c r="RV211" s="26"/>
      <c r="RW211" s="26"/>
      <c r="RX211" s="26"/>
      <c r="RY211" s="26"/>
      <c r="RZ211" s="26"/>
      <c r="SA211" s="26"/>
      <c r="SB211" s="26"/>
      <c r="SC211" s="26"/>
      <c r="SD211" s="26"/>
      <c r="SE211" s="26"/>
      <c r="SF211" s="26"/>
      <c r="SG211" s="26"/>
      <c r="SH211" s="26"/>
      <c r="SI211" s="26"/>
      <c r="SJ211" s="26"/>
      <c r="SK211" s="26"/>
      <c r="SL211" s="26"/>
      <c r="SM211" s="26"/>
      <c r="SN211" s="26"/>
      <c r="SO211" s="26"/>
      <c r="SP211" s="26"/>
      <c r="SQ211" s="26"/>
      <c r="SR211" s="26"/>
      <c r="SS211" s="26"/>
      <c r="ST211" s="26"/>
      <c r="SU211" s="26"/>
      <c r="SV211" s="26"/>
      <c r="SW211" s="26"/>
      <c r="SX211" s="26"/>
      <c r="SY211" s="26"/>
      <c r="SZ211" s="26"/>
      <c r="TA211" s="26"/>
      <c r="TB211" s="26"/>
      <c r="TC211" s="26"/>
      <c r="TD211" s="26"/>
      <c r="TE211" s="26"/>
      <c r="TF211" s="26"/>
      <c r="TG211" s="26"/>
      <c r="TH211" s="26"/>
      <c r="TI211" s="26"/>
    </row>
    <row r="212" spans="1:529" s="23" customFormat="1" ht="18" customHeight="1" x14ac:dyDescent="0.25">
      <c r="A212" s="43" t="s">
        <v>300</v>
      </c>
      <c r="B212" s="44" t="str">
        <f>'дод 4'!A132</f>
        <v>7322</v>
      </c>
      <c r="C212" s="44" t="str">
        <f>'дод 4'!B132</f>
        <v>0443</v>
      </c>
      <c r="D212" s="24" t="str">
        <f>'дод 4'!C132</f>
        <v>Будівництво медичних установ та закладів</v>
      </c>
      <c r="E212" s="69">
        <f t="shared" si="114"/>
        <v>0</v>
      </c>
      <c r="F212" s="69"/>
      <c r="G212" s="69"/>
      <c r="H212" s="69"/>
      <c r="I212" s="69"/>
      <c r="J212" s="69">
        <f t="shared" si="116"/>
        <v>12454849</v>
      </c>
      <c r="K212" s="69">
        <f>7000000-3286719+741568+8000000</f>
        <v>12454849</v>
      </c>
      <c r="L212" s="69"/>
      <c r="M212" s="69"/>
      <c r="N212" s="69"/>
      <c r="O212" s="69">
        <f>7000000-3286719+741568+8000000</f>
        <v>12454849</v>
      </c>
      <c r="P212" s="69">
        <f t="shared" si="115"/>
        <v>12454849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  <c r="LB212" s="26"/>
      <c r="LC212" s="26"/>
      <c r="LD212" s="26"/>
      <c r="LE212" s="26"/>
      <c r="LF212" s="26"/>
      <c r="LG212" s="26"/>
      <c r="LH212" s="26"/>
      <c r="LI212" s="26"/>
      <c r="LJ212" s="26"/>
      <c r="LK212" s="26"/>
      <c r="LL212" s="26"/>
      <c r="LM212" s="26"/>
      <c r="LN212" s="26"/>
      <c r="LO212" s="26"/>
      <c r="LP212" s="26"/>
      <c r="LQ212" s="26"/>
      <c r="LR212" s="26"/>
      <c r="LS212" s="26"/>
      <c r="LT212" s="26"/>
      <c r="LU212" s="26"/>
      <c r="LV212" s="26"/>
      <c r="LW212" s="26"/>
      <c r="LX212" s="26"/>
      <c r="LY212" s="26"/>
      <c r="LZ212" s="26"/>
      <c r="MA212" s="26"/>
      <c r="MB212" s="26"/>
      <c r="MC212" s="26"/>
      <c r="MD212" s="26"/>
      <c r="ME212" s="26"/>
      <c r="MF212" s="26"/>
      <c r="MG212" s="26"/>
      <c r="MH212" s="26"/>
      <c r="MI212" s="26"/>
      <c r="MJ212" s="26"/>
      <c r="MK212" s="26"/>
      <c r="ML212" s="26"/>
      <c r="MM212" s="26"/>
      <c r="MN212" s="26"/>
      <c r="MO212" s="26"/>
      <c r="MP212" s="26"/>
      <c r="MQ212" s="26"/>
      <c r="MR212" s="26"/>
      <c r="MS212" s="26"/>
      <c r="MT212" s="26"/>
      <c r="MU212" s="26"/>
      <c r="MV212" s="26"/>
      <c r="MW212" s="26"/>
      <c r="MX212" s="26"/>
      <c r="MY212" s="26"/>
      <c r="MZ212" s="26"/>
      <c r="NA212" s="26"/>
      <c r="NB212" s="26"/>
      <c r="NC212" s="26"/>
      <c r="ND212" s="26"/>
      <c r="NE212" s="26"/>
      <c r="NF212" s="26"/>
      <c r="NG212" s="26"/>
      <c r="NH212" s="26"/>
      <c r="NI212" s="26"/>
      <c r="NJ212" s="26"/>
      <c r="NK212" s="26"/>
      <c r="NL212" s="26"/>
      <c r="NM212" s="26"/>
      <c r="NN212" s="26"/>
      <c r="NO212" s="26"/>
      <c r="NP212" s="26"/>
      <c r="NQ212" s="26"/>
      <c r="NR212" s="26"/>
      <c r="NS212" s="26"/>
      <c r="NT212" s="26"/>
      <c r="NU212" s="26"/>
      <c r="NV212" s="26"/>
      <c r="NW212" s="26"/>
      <c r="NX212" s="26"/>
      <c r="NY212" s="26"/>
      <c r="NZ212" s="26"/>
      <c r="OA212" s="26"/>
      <c r="OB212" s="26"/>
      <c r="OC212" s="26"/>
      <c r="OD212" s="26"/>
      <c r="OE212" s="26"/>
      <c r="OF212" s="26"/>
      <c r="OG212" s="26"/>
      <c r="OH212" s="26"/>
      <c r="OI212" s="26"/>
      <c r="OJ212" s="26"/>
      <c r="OK212" s="26"/>
      <c r="OL212" s="26"/>
      <c r="OM212" s="26"/>
      <c r="ON212" s="26"/>
      <c r="OO212" s="26"/>
      <c r="OP212" s="26"/>
      <c r="OQ212" s="26"/>
      <c r="OR212" s="26"/>
      <c r="OS212" s="26"/>
      <c r="OT212" s="26"/>
      <c r="OU212" s="26"/>
      <c r="OV212" s="26"/>
      <c r="OW212" s="26"/>
      <c r="OX212" s="26"/>
      <c r="OY212" s="26"/>
      <c r="OZ212" s="26"/>
      <c r="PA212" s="26"/>
      <c r="PB212" s="26"/>
      <c r="PC212" s="26"/>
      <c r="PD212" s="26"/>
      <c r="PE212" s="26"/>
      <c r="PF212" s="26"/>
      <c r="PG212" s="26"/>
      <c r="PH212" s="26"/>
      <c r="PI212" s="26"/>
      <c r="PJ212" s="26"/>
      <c r="PK212" s="26"/>
      <c r="PL212" s="26"/>
      <c r="PM212" s="26"/>
      <c r="PN212" s="26"/>
      <c r="PO212" s="26"/>
      <c r="PP212" s="26"/>
      <c r="PQ212" s="26"/>
      <c r="PR212" s="26"/>
      <c r="PS212" s="26"/>
      <c r="PT212" s="26"/>
      <c r="PU212" s="26"/>
      <c r="PV212" s="26"/>
      <c r="PW212" s="26"/>
      <c r="PX212" s="26"/>
      <c r="PY212" s="26"/>
      <c r="PZ212" s="26"/>
      <c r="QA212" s="26"/>
      <c r="QB212" s="26"/>
      <c r="QC212" s="26"/>
      <c r="QD212" s="26"/>
      <c r="QE212" s="26"/>
      <c r="QF212" s="26"/>
      <c r="QG212" s="26"/>
      <c r="QH212" s="26"/>
      <c r="QI212" s="26"/>
      <c r="QJ212" s="26"/>
      <c r="QK212" s="26"/>
      <c r="QL212" s="26"/>
      <c r="QM212" s="26"/>
      <c r="QN212" s="26"/>
      <c r="QO212" s="26"/>
      <c r="QP212" s="26"/>
      <c r="QQ212" s="26"/>
      <c r="QR212" s="26"/>
      <c r="QS212" s="26"/>
      <c r="QT212" s="26"/>
      <c r="QU212" s="26"/>
      <c r="QV212" s="26"/>
      <c r="QW212" s="26"/>
      <c r="QX212" s="26"/>
      <c r="QY212" s="26"/>
      <c r="QZ212" s="26"/>
      <c r="RA212" s="26"/>
      <c r="RB212" s="26"/>
      <c r="RC212" s="26"/>
      <c r="RD212" s="26"/>
      <c r="RE212" s="26"/>
      <c r="RF212" s="26"/>
      <c r="RG212" s="26"/>
      <c r="RH212" s="26"/>
      <c r="RI212" s="26"/>
      <c r="RJ212" s="26"/>
      <c r="RK212" s="26"/>
      <c r="RL212" s="26"/>
      <c r="RM212" s="26"/>
      <c r="RN212" s="26"/>
      <c r="RO212" s="26"/>
      <c r="RP212" s="26"/>
      <c r="RQ212" s="26"/>
      <c r="RR212" s="26"/>
      <c r="RS212" s="26"/>
      <c r="RT212" s="26"/>
      <c r="RU212" s="26"/>
      <c r="RV212" s="26"/>
      <c r="RW212" s="26"/>
      <c r="RX212" s="26"/>
      <c r="RY212" s="26"/>
      <c r="RZ212" s="26"/>
      <c r="SA212" s="26"/>
      <c r="SB212" s="26"/>
      <c r="SC212" s="26"/>
      <c r="SD212" s="26"/>
      <c r="SE212" s="26"/>
      <c r="SF212" s="26"/>
      <c r="SG212" s="26"/>
      <c r="SH212" s="26"/>
      <c r="SI212" s="26"/>
      <c r="SJ212" s="26"/>
      <c r="SK212" s="26"/>
      <c r="SL212" s="26"/>
      <c r="SM212" s="26"/>
      <c r="SN212" s="26"/>
      <c r="SO212" s="26"/>
      <c r="SP212" s="26"/>
      <c r="SQ212" s="26"/>
      <c r="SR212" s="26"/>
      <c r="SS212" s="26"/>
      <c r="ST212" s="26"/>
      <c r="SU212" s="26"/>
      <c r="SV212" s="26"/>
      <c r="SW212" s="26"/>
      <c r="SX212" s="26"/>
      <c r="SY212" s="26"/>
      <c r="SZ212" s="26"/>
      <c r="TA212" s="26"/>
      <c r="TB212" s="26"/>
      <c r="TC212" s="26"/>
      <c r="TD212" s="26"/>
      <c r="TE212" s="26"/>
      <c r="TF212" s="26"/>
      <c r="TG212" s="26"/>
      <c r="TH212" s="26"/>
      <c r="TI212" s="26"/>
    </row>
    <row r="213" spans="1:529" s="23" customFormat="1" ht="30" x14ac:dyDescent="0.25">
      <c r="A213" s="43" t="s">
        <v>395</v>
      </c>
      <c r="B213" s="44">
        <f>'дод 4'!A134</f>
        <v>7325</v>
      </c>
      <c r="C213" s="43" t="s">
        <v>119</v>
      </c>
      <c r="D213" s="24" t="str">
        <f>'дод 4'!C134</f>
        <v>Будівництво споруд, установ та закладів фізичної культури і спорту</v>
      </c>
      <c r="E213" s="69"/>
      <c r="F213" s="69"/>
      <c r="G213" s="69"/>
      <c r="H213" s="69"/>
      <c r="I213" s="69"/>
      <c r="J213" s="69">
        <f t="shared" si="116"/>
        <v>10500000</v>
      </c>
      <c r="K213" s="69">
        <f>7000000-7000000+100000+400000+10000000</f>
        <v>10500000</v>
      </c>
      <c r="L213" s="69"/>
      <c r="M213" s="69"/>
      <c r="N213" s="69"/>
      <c r="O213" s="69">
        <f>7000000-7000000+100000+400000+10000000</f>
        <v>10500000</v>
      </c>
      <c r="P213" s="69">
        <f t="shared" si="115"/>
        <v>10500000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6"/>
      <c r="KL213" s="26"/>
      <c r="KM213" s="26"/>
      <c r="KN213" s="26"/>
      <c r="KO213" s="26"/>
      <c r="KP213" s="26"/>
      <c r="KQ213" s="26"/>
      <c r="KR213" s="26"/>
      <c r="KS213" s="26"/>
      <c r="KT213" s="26"/>
      <c r="KU213" s="26"/>
      <c r="KV213" s="26"/>
      <c r="KW213" s="26"/>
      <c r="KX213" s="26"/>
      <c r="KY213" s="26"/>
      <c r="KZ213" s="26"/>
      <c r="LA213" s="26"/>
      <c r="LB213" s="26"/>
      <c r="LC213" s="26"/>
      <c r="LD213" s="26"/>
      <c r="LE213" s="26"/>
      <c r="LF213" s="26"/>
      <c r="LG213" s="26"/>
      <c r="LH213" s="26"/>
      <c r="LI213" s="26"/>
      <c r="LJ213" s="26"/>
      <c r="LK213" s="26"/>
      <c r="LL213" s="26"/>
      <c r="LM213" s="26"/>
      <c r="LN213" s="26"/>
      <c r="LO213" s="26"/>
      <c r="LP213" s="26"/>
      <c r="LQ213" s="26"/>
      <c r="LR213" s="26"/>
      <c r="LS213" s="26"/>
      <c r="LT213" s="26"/>
      <c r="LU213" s="26"/>
      <c r="LV213" s="26"/>
      <c r="LW213" s="26"/>
      <c r="LX213" s="26"/>
      <c r="LY213" s="26"/>
      <c r="LZ213" s="26"/>
      <c r="MA213" s="26"/>
      <c r="MB213" s="26"/>
      <c r="MC213" s="26"/>
      <c r="MD213" s="26"/>
      <c r="ME213" s="26"/>
      <c r="MF213" s="26"/>
      <c r="MG213" s="26"/>
      <c r="MH213" s="26"/>
      <c r="MI213" s="26"/>
      <c r="MJ213" s="26"/>
      <c r="MK213" s="26"/>
      <c r="ML213" s="26"/>
      <c r="MM213" s="26"/>
      <c r="MN213" s="26"/>
      <c r="MO213" s="26"/>
      <c r="MP213" s="26"/>
      <c r="MQ213" s="26"/>
      <c r="MR213" s="26"/>
      <c r="MS213" s="26"/>
      <c r="MT213" s="26"/>
      <c r="MU213" s="26"/>
      <c r="MV213" s="26"/>
      <c r="MW213" s="26"/>
      <c r="MX213" s="26"/>
      <c r="MY213" s="26"/>
      <c r="MZ213" s="26"/>
      <c r="NA213" s="26"/>
      <c r="NB213" s="26"/>
      <c r="NC213" s="26"/>
      <c r="ND213" s="26"/>
      <c r="NE213" s="26"/>
      <c r="NF213" s="26"/>
      <c r="NG213" s="26"/>
      <c r="NH213" s="26"/>
      <c r="NI213" s="26"/>
      <c r="NJ213" s="26"/>
      <c r="NK213" s="26"/>
      <c r="NL213" s="26"/>
      <c r="NM213" s="26"/>
      <c r="NN213" s="26"/>
      <c r="NO213" s="26"/>
      <c r="NP213" s="26"/>
      <c r="NQ213" s="26"/>
      <c r="NR213" s="26"/>
      <c r="NS213" s="26"/>
      <c r="NT213" s="26"/>
      <c r="NU213" s="26"/>
      <c r="NV213" s="26"/>
      <c r="NW213" s="26"/>
      <c r="NX213" s="26"/>
      <c r="NY213" s="26"/>
      <c r="NZ213" s="26"/>
      <c r="OA213" s="26"/>
      <c r="OB213" s="26"/>
      <c r="OC213" s="26"/>
      <c r="OD213" s="26"/>
      <c r="OE213" s="26"/>
      <c r="OF213" s="26"/>
      <c r="OG213" s="26"/>
      <c r="OH213" s="26"/>
      <c r="OI213" s="26"/>
      <c r="OJ213" s="26"/>
      <c r="OK213" s="26"/>
      <c r="OL213" s="26"/>
      <c r="OM213" s="26"/>
      <c r="ON213" s="26"/>
      <c r="OO213" s="26"/>
      <c r="OP213" s="26"/>
      <c r="OQ213" s="26"/>
      <c r="OR213" s="26"/>
      <c r="OS213" s="26"/>
      <c r="OT213" s="26"/>
      <c r="OU213" s="26"/>
      <c r="OV213" s="26"/>
      <c r="OW213" s="26"/>
      <c r="OX213" s="26"/>
      <c r="OY213" s="26"/>
      <c r="OZ213" s="26"/>
      <c r="PA213" s="26"/>
      <c r="PB213" s="26"/>
      <c r="PC213" s="26"/>
      <c r="PD213" s="26"/>
      <c r="PE213" s="26"/>
      <c r="PF213" s="26"/>
      <c r="PG213" s="26"/>
      <c r="PH213" s="26"/>
      <c r="PI213" s="26"/>
      <c r="PJ213" s="26"/>
      <c r="PK213" s="26"/>
      <c r="PL213" s="26"/>
      <c r="PM213" s="26"/>
      <c r="PN213" s="26"/>
      <c r="PO213" s="26"/>
      <c r="PP213" s="26"/>
      <c r="PQ213" s="26"/>
      <c r="PR213" s="26"/>
      <c r="PS213" s="26"/>
      <c r="PT213" s="26"/>
      <c r="PU213" s="26"/>
      <c r="PV213" s="26"/>
      <c r="PW213" s="26"/>
      <c r="PX213" s="26"/>
      <c r="PY213" s="26"/>
      <c r="PZ213" s="26"/>
      <c r="QA213" s="26"/>
      <c r="QB213" s="26"/>
      <c r="QC213" s="26"/>
      <c r="QD213" s="26"/>
      <c r="QE213" s="26"/>
      <c r="QF213" s="26"/>
      <c r="QG213" s="26"/>
      <c r="QH213" s="26"/>
      <c r="QI213" s="26"/>
      <c r="QJ213" s="26"/>
      <c r="QK213" s="26"/>
      <c r="QL213" s="26"/>
      <c r="QM213" s="26"/>
      <c r="QN213" s="26"/>
      <c r="QO213" s="26"/>
      <c r="QP213" s="26"/>
      <c r="QQ213" s="26"/>
      <c r="QR213" s="26"/>
      <c r="QS213" s="26"/>
      <c r="QT213" s="26"/>
      <c r="QU213" s="26"/>
      <c r="QV213" s="26"/>
      <c r="QW213" s="26"/>
      <c r="QX213" s="26"/>
      <c r="QY213" s="26"/>
      <c r="QZ213" s="26"/>
      <c r="RA213" s="26"/>
      <c r="RB213" s="26"/>
      <c r="RC213" s="26"/>
      <c r="RD213" s="26"/>
      <c r="RE213" s="26"/>
      <c r="RF213" s="26"/>
      <c r="RG213" s="26"/>
      <c r="RH213" s="26"/>
      <c r="RI213" s="26"/>
      <c r="RJ213" s="26"/>
      <c r="RK213" s="26"/>
      <c r="RL213" s="26"/>
      <c r="RM213" s="26"/>
      <c r="RN213" s="26"/>
      <c r="RO213" s="26"/>
      <c r="RP213" s="26"/>
      <c r="RQ213" s="26"/>
      <c r="RR213" s="26"/>
      <c r="RS213" s="26"/>
      <c r="RT213" s="26"/>
      <c r="RU213" s="26"/>
      <c r="RV213" s="26"/>
      <c r="RW213" s="26"/>
      <c r="RX213" s="26"/>
      <c r="RY213" s="26"/>
      <c r="RZ213" s="26"/>
      <c r="SA213" s="26"/>
      <c r="SB213" s="26"/>
      <c r="SC213" s="26"/>
      <c r="SD213" s="26"/>
      <c r="SE213" s="26"/>
      <c r="SF213" s="26"/>
      <c r="SG213" s="26"/>
      <c r="SH213" s="26"/>
      <c r="SI213" s="26"/>
      <c r="SJ213" s="26"/>
      <c r="SK213" s="26"/>
      <c r="SL213" s="26"/>
      <c r="SM213" s="26"/>
      <c r="SN213" s="26"/>
      <c r="SO213" s="26"/>
      <c r="SP213" s="26"/>
      <c r="SQ213" s="26"/>
      <c r="SR213" s="26"/>
      <c r="SS213" s="26"/>
      <c r="ST213" s="26"/>
      <c r="SU213" s="26"/>
      <c r="SV213" s="26"/>
      <c r="SW213" s="26"/>
      <c r="SX213" s="26"/>
      <c r="SY213" s="26"/>
      <c r="SZ213" s="26"/>
      <c r="TA213" s="26"/>
      <c r="TB213" s="26"/>
      <c r="TC213" s="26"/>
      <c r="TD213" s="26"/>
      <c r="TE213" s="26"/>
      <c r="TF213" s="26"/>
      <c r="TG213" s="26"/>
      <c r="TH213" s="26"/>
      <c r="TI213" s="26"/>
    </row>
    <row r="214" spans="1:529" s="23" customFormat="1" ht="23.25" customHeight="1" x14ac:dyDescent="0.25">
      <c r="A214" s="43" t="s">
        <v>302</v>
      </c>
      <c r="B214" s="44" t="str">
        <f>'дод 4'!A135</f>
        <v>7330</v>
      </c>
      <c r="C214" s="44" t="str">
        <f>'дод 4'!B135</f>
        <v>0443</v>
      </c>
      <c r="D214" s="24" t="str">
        <f>'дод 4'!C135</f>
        <v>Будівництво інших об'єктів комунальної власності</v>
      </c>
      <c r="E214" s="69">
        <f t="shared" si="114"/>
        <v>0</v>
      </c>
      <c r="F214" s="69"/>
      <c r="G214" s="69"/>
      <c r="H214" s="69"/>
      <c r="I214" s="69"/>
      <c r="J214" s="69">
        <f t="shared" si="116"/>
        <v>59018378</v>
      </c>
      <c r="K214" s="69">
        <f>41200000+100000-1000000+300000+1000000+1000000-1800000+860151+8034260+1003444+2000000+282968-10000000+290000-3311391+400000+558946+4830709+100000+10157970+1804021+1207300</f>
        <v>59018378</v>
      </c>
      <c r="L214" s="69"/>
      <c r="M214" s="69"/>
      <c r="N214" s="69"/>
      <c r="O214" s="69">
        <f>41200000+100000-1000000+300000+1000000+1000000-1800000+860151+8034260+1003444+2000000+282968-10000000+290000-3311391+400000+558946+4830709+100000+10157970+1804021+1207300</f>
        <v>59018378</v>
      </c>
      <c r="P214" s="69">
        <f t="shared" si="115"/>
        <v>59018378</v>
      </c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  <c r="IW214" s="26"/>
      <c r="IX214" s="26"/>
      <c r="IY214" s="26"/>
      <c r="IZ214" s="26"/>
      <c r="JA214" s="26"/>
      <c r="JB214" s="26"/>
      <c r="JC214" s="26"/>
      <c r="JD214" s="26"/>
      <c r="JE214" s="26"/>
      <c r="JF214" s="26"/>
      <c r="JG214" s="26"/>
      <c r="JH214" s="26"/>
      <c r="JI214" s="26"/>
      <c r="JJ214" s="26"/>
      <c r="JK214" s="26"/>
      <c r="JL214" s="26"/>
      <c r="JM214" s="26"/>
      <c r="JN214" s="26"/>
      <c r="JO214" s="26"/>
      <c r="JP214" s="26"/>
      <c r="JQ214" s="26"/>
      <c r="JR214" s="26"/>
      <c r="JS214" s="26"/>
      <c r="JT214" s="26"/>
      <c r="JU214" s="26"/>
      <c r="JV214" s="26"/>
      <c r="JW214" s="26"/>
      <c r="JX214" s="26"/>
      <c r="JY214" s="26"/>
      <c r="JZ214" s="26"/>
      <c r="KA214" s="26"/>
      <c r="KB214" s="26"/>
      <c r="KC214" s="26"/>
      <c r="KD214" s="26"/>
      <c r="KE214" s="26"/>
      <c r="KF214" s="26"/>
      <c r="KG214" s="26"/>
      <c r="KH214" s="26"/>
      <c r="KI214" s="26"/>
      <c r="KJ214" s="26"/>
      <c r="KK214" s="26"/>
      <c r="KL214" s="26"/>
      <c r="KM214" s="26"/>
      <c r="KN214" s="26"/>
      <c r="KO214" s="26"/>
      <c r="KP214" s="26"/>
      <c r="KQ214" s="26"/>
      <c r="KR214" s="26"/>
      <c r="KS214" s="26"/>
      <c r="KT214" s="26"/>
      <c r="KU214" s="26"/>
      <c r="KV214" s="26"/>
      <c r="KW214" s="26"/>
      <c r="KX214" s="26"/>
      <c r="KY214" s="26"/>
      <c r="KZ214" s="26"/>
      <c r="LA214" s="26"/>
      <c r="LB214" s="26"/>
      <c r="LC214" s="26"/>
      <c r="LD214" s="26"/>
      <c r="LE214" s="26"/>
      <c r="LF214" s="26"/>
      <c r="LG214" s="26"/>
      <c r="LH214" s="26"/>
      <c r="LI214" s="26"/>
      <c r="LJ214" s="26"/>
      <c r="LK214" s="26"/>
      <c r="LL214" s="26"/>
      <c r="LM214" s="26"/>
      <c r="LN214" s="26"/>
      <c r="LO214" s="26"/>
      <c r="LP214" s="26"/>
      <c r="LQ214" s="26"/>
      <c r="LR214" s="26"/>
      <c r="LS214" s="26"/>
      <c r="LT214" s="26"/>
      <c r="LU214" s="26"/>
      <c r="LV214" s="26"/>
      <c r="LW214" s="26"/>
      <c r="LX214" s="26"/>
      <c r="LY214" s="26"/>
      <c r="LZ214" s="26"/>
      <c r="MA214" s="26"/>
      <c r="MB214" s="26"/>
      <c r="MC214" s="26"/>
      <c r="MD214" s="26"/>
      <c r="ME214" s="26"/>
      <c r="MF214" s="26"/>
      <c r="MG214" s="26"/>
      <c r="MH214" s="26"/>
      <c r="MI214" s="26"/>
      <c r="MJ214" s="26"/>
      <c r="MK214" s="26"/>
      <c r="ML214" s="26"/>
      <c r="MM214" s="26"/>
      <c r="MN214" s="26"/>
      <c r="MO214" s="26"/>
      <c r="MP214" s="26"/>
      <c r="MQ214" s="26"/>
      <c r="MR214" s="26"/>
      <c r="MS214" s="26"/>
      <c r="MT214" s="26"/>
      <c r="MU214" s="26"/>
      <c r="MV214" s="26"/>
      <c r="MW214" s="26"/>
      <c r="MX214" s="26"/>
      <c r="MY214" s="26"/>
      <c r="MZ214" s="26"/>
      <c r="NA214" s="26"/>
      <c r="NB214" s="26"/>
      <c r="NC214" s="26"/>
      <c r="ND214" s="26"/>
      <c r="NE214" s="26"/>
      <c r="NF214" s="26"/>
      <c r="NG214" s="26"/>
      <c r="NH214" s="26"/>
      <c r="NI214" s="26"/>
      <c r="NJ214" s="26"/>
      <c r="NK214" s="26"/>
      <c r="NL214" s="26"/>
      <c r="NM214" s="26"/>
      <c r="NN214" s="26"/>
      <c r="NO214" s="26"/>
      <c r="NP214" s="26"/>
      <c r="NQ214" s="26"/>
      <c r="NR214" s="26"/>
      <c r="NS214" s="26"/>
      <c r="NT214" s="26"/>
      <c r="NU214" s="26"/>
      <c r="NV214" s="26"/>
      <c r="NW214" s="26"/>
      <c r="NX214" s="26"/>
      <c r="NY214" s="26"/>
      <c r="NZ214" s="26"/>
      <c r="OA214" s="26"/>
      <c r="OB214" s="26"/>
      <c r="OC214" s="26"/>
      <c r="OD214" s="26"/>
      <c r="OE214" s="26"/>
      <c r="OF214" s="26"/>
      <c r="OG214" s="26"/>
      <c r="OH214" s="26"/>
      <c r="OI214" s="26"/>
      <c r="OJ214" s="26"/>
      <c r="OK214" s="26"/>
      <c r="OL214" s="26"/>
      <c r="OM214" s="26"/>
      <c r="ON214" s="26"/>
      <c r="OO214" s="26"/>
      <c r="OP214" s="26"/>
      <c r="OQ214" s="26"/>
      <c r="OR214" s="26"/>
      <c r="OS214" s="26"/>
      <c r="OT214" s="26"/>
      <c r="OU214" s="26"/>
      <c r="OV214" s="26"/>
      <c r="OW214" s="26"/>
      <c r="OX214" s="26"/>
      <c r="OY214" s="26"/>
      <c r="OZ214" s="26"/>
      <c r="PA214" s="26"/>
      <c r="PB214" s="26"/>
      <c r="PC214" s="26"/>
      <c r="PD214" s="26"/>
      <c r="PE214" s="26"/>
      <c r="PF214" s="26"/>
      <c r="PG214" s="26"/>
      <c r="PH214" s="26"/>
      <c r="PI214" s="26"/>
      <c r="PJ214" s="26"/>
      <c r="PK214" s="26"/>
      <c r="PL214" s="26"/>
      <c r="PM214" s="26"/>
      <c r="PN214" s="26"/>
      <c r="PO214" s="26"/>
      <c r="PP214" s="26"/>
      <c r="PQ214" s="26"/>
      <c r="PR214" s="26"/>
      <c r="PS214" s="26"/>
      <c r="PT214" s="26"/>
      <c r="PU214" s="26"/>
      <c r="PV214" s="26"/>
      <c r="PW214" s="26"/>
      <c r="PX214" s="26"/>
      <c r="PY214" s="26"/>
      <c r="PZ214" s="26"/>
      <c r="QA214" s="26"/>
      <c r="QB214" s="26"/>
      <c r="QC214" s="26"/>
      <c r="QD214" s="26"/>
      <c r="QE214" s="26"/>
      <c r="QF214" s="26"/>
      <c r="QG214" s="26"/>
      <c r="QH214" s="26"/>
      <c r="QI214" s="26"/>
      <c r="QJ214" s="26"/>
      <c r="QK214" s="26"/>
      <c r="QL214" s="26"/>
      <c r="QM214" s="26"/>
      <c r="QN214" s="26"/>
      <c r="QO214" s="26"/>
      <c r="QP214" s="26"/>
      <c r="QQ214" s="26"/>
      <c r="QR214" s="26"/>
      <c r="QS214" s="26"/>
      <c r="QT214" s="26"/>
      <c r="QU214" s="26"/>
      <c r="QV214" s="26"/>
      <c r="QW214" s="26"/>
      <c r="QX214" s="26"/>
      <c r="QY214" s="26"/>
      <c r="QZ214" s="26"/>
      <c r="RA214" s="26"/>
      <c r="RB214" s="26"/>
      <c r="RC214" s="26"/>
      <c r="RD214" s="26"/>
      <c r="RE214" s="26"/>
      <c r="RF214" s="26"/>
      <c r="RG214" s="26"/>
      <c r="RH214" s="26"/>
      <c r="RI214" s="26"/>
      <c r="RJ214" s="26"/>
      <c r="RK214" s="26"/>
      <c r="RL214" s="26"/>
      <c r="RM214" s="26"/>
      <c r="RN214" s="26"/>
      <c r="RO214" s="26"/>
      <c r="RP214" s="26"/>
      <c r="RQ214" s="26"/>
      <c r="RR214" s="26"/>
      <c r="RS214" s="26"/>
      <c r="RT214" s="26"/>
      <c r="RU214" s="26"/>
      <c r="RV214" s="26"/>
      <c r="RW214" s="26"/>
      <c r="RX214" s="26"/>
      <c r="RY214" s="26"/>
      <c r="RZ214" s="26"/>
      <c r="SA214" s="26"/>
      <c r="SB214" s="26"/>
      <c r="SC214" s="26"/>
      <c r="SD214" s="26"/>
      <c r="SE214" s="26"/>
      <c r="SF214" s="26"/>
      <c r="SG214" s="26"/>
      <c r="SH214" s="26"/>
      <c r="SI214" s="26"/>
      <c r="SJ214" s="26"/>
      <c r="SK214" s="26"/>
      <c r="SL214" s="26"/>
      <c r="SM214" s="26"/>
      <c r="SN214" s="26"/>
      <c r="SO214" s="26"/>
      <c r="SP214" s="26"/>
      <c r="SQ214" s="26"/>
      <c r="SR214" s="26"/>
      <c r="SS214" s="26"/>
      <c r="ST214" s="26"/>
      <c r="SU214" s="26"/>
      <c r="SV214" s="26"/>
      <c r="SW214" s="26"/>
      <c r="SX214" s="26"/>
      <c r="SY214" s="26"/>
      <c r="SZ214" s="26"/>
      <c r="TA214" s="26"/>
      <c r="TB214" s="26"/>
      <c r="TC214" s="26"/>
      <c r="TD214" s="26"/>
      <c r="TE214" s="26"/>
      <c r="TF214" s="26"/>
      <c r="TG214" s="26"/>
      <c r="TH214" s="26"/>
      <c r="TI214" s="26"/>
    </row>
    <row r="215" spans="1:529" s="23" customFormat="1" ht="44.25" customHeight="1" x14ac:dyDescent="0.25">
      <c r="A215" s="43" t="s">
        <v>417</v>
      </c>
      <c r="B215" s="44">
        <f>'дод 4'!A137</f>
        <v>7361</v>
      </c>
      <c r="C215" s="44" t="str">
        <f>'дод 4'!B137</f>
        <v>0490</v>
      </c>
      <c r="D215" s="24" t="str">
        <f>'дод 4'!C137</f>
        <v>Співфінансування інвестиційних проектів, що реалізуються за рахунок коштів державного фонду регіонального розвитку</v>
      </c>
      <c r="E215" s="69">
        <f t="shared" ref="E215" si="117">F215+I215</f>
        <v>0</v>
      </c>
      <c r="F215" s="69"/>
      <c r="G215" s="69"/>
      <c r="H215" s="69"/>
      <c r="I215" s="69"/>
      <c r="J215" s="69">
        <f t="shared" ref="J215" si="118">L215+O215</f>
        <v>5000000</v>
      </c>
      <c r="K215" s="69">
        <v>5000000</v>
      </c>
      <c r="L215" s="69"/>
      <c r="M215" s="69"/>
      <c r="N215" s="69"/>
      <c r="O215" s="69">
        <v>5000000</v>
      </c>
      <c r="P215" s="69">
        <f t="shared" si="115"/>
        <v>5000000</v>
      </c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  <c r="JK215" s="26"/>
      <c r="JL215" s="26"/>
      <c r="JM215" s="26"/>
      <c r="JN215" s="26"/>
      <c r="JO215" s="26"/>
      <c r="JP215" s="26"/>
      <c r="JQ215" s="26"/>
      <c r="JR215" s="26"/>
      <c r="JS215" s="26"/>
      <c r="JT215" s="26"/>
      <c r="JU215" s="26"/>
      <c r="JV215" s="26"/>
      <c r="JW215" s="26"/>
      <c r="JX215" s="26"/>
      <c r="JY215" s="26"/>
      <c r="JZ215" s="26"/>
      <c r="KA215" s="26"/>
      <c r="KB215" s="26"/>
      <c r="KC215" s="26"/>
      <c r="KD215" s="26"/>
      <c r="KE215" s="26"/>
      <c r="KF215" s="26"/>
      <c r="KG215" s="26"/>
      <c r="KH215" s="26"/>
      <c r="KI215" s="26"/>
      <c r="KJ215" s="26"/>
      <c r="KK215" s="26"/>
      <c r="KL215" s="26"/>
      <c r="KM215" s="26"/>
      <c r="KN215" s="26"/>
      <c r="KO215" s="26"/>
      <c r="KP215" s="26"/>
      <c r="KQ215" s="26"/>
      <c r="KR215" s="26"/>
      <c r="KS215" s="26"/>
      <c r="KT215" s="26"/>
      <c r="KU215" s="26"/>
      <c r="KV215" s="26"/>
      <c r="KW215" s="26"/>
      <c r="KX215" s="26"/>
      <c r="KY215" s="26"/>
      <c r="KZ215" s="26"/>
      <c r="LA215" s="26"/>
      <c r="LB215" s="26"/>
      <c r="LC215" s="26"/>
      <c r="LD215" s="26"/>
      <c r="LE215" s="26"/>
      <c r="LF215" s="26"/>
      <c r="LG215" s="26"/>
      <c r="LH215" s="26"/>
      <c r="LI215" s="26"/>
      <c r="LJ215" s="26"/>
      <c r="LK215" s="26"/>
      <c r="LL215" s="26"/>
      <c r="LM215" s="26"/>
      <c r="LN215" s="26"/>
      <c r="LO215" s="26"/>
      <c r="LP215" s="26"/>
      <c r="LQ215" s="26"/>
      <c r="LR215" s="26"/>
      <c r="LS215" s="26"/>
      <c r="LT215" s="26"/>
      <c r="LU215" s="26"/>
      <c r="LV215" s="26"/>
      <c r="LW215" s="26"/>
      <c r="LX215" s="26"/>
      <c r="LY215" s="26"/>
      <c r="LZ215" s="26"/>
      <c r="MA215" s="26"/>
      <c r="MB215" s="26"/>
      <c r="MC215" s="26"/>
      <c r="MD215" s="26"/>
      <c r="ME215" s="26"/>
      <c r="MF215" s="26"/>
      <c r="MG215" s="26"/>
      <c r="MH215" s="26"/>
      <c r="MI215" s="26"/>
      <c r="MJ215" s="26"/>
      <c r="MK215" s="26"/>
      <c r="ML215" s="26"/>
      <c r="MM215" s="26"/>
      <c r="MN215" s="26"/>
      <c r="MO215" s="26"/>
      <c r="MP215" s="26"/>
      <c r="MQ215" s="26"/>
      <c r="MR215" s="26"/>
      <c r="MS215" s="26"/>
      <c r="MT215" s="26"/>
      <c r="MU215" s="26"/>
      <c r="MV215" s="26"/>
      <c r="MW215" s="26"/>
      <c r="MX215" s="26"/>
      <c r="MY215" s="26"/>
      <c r="MZ215" s="26"/>
      <c r="NA215" s="26"/>
      <c r="NB215" s="26"/>
      <c r="NC215" s="26"/>
      <c r="ND215" s="26"/>
      <c r="NE215" s="26"/>
      <c r="NF215" s="26"/>
      <c r="NG215" s="26"/>
      <c r="NH215" s="26"/>
      <c r="NI215" s="26"/>
      <c r="NJ215" s="26"/>
      <c r="NK215" s="26"/>
      <c r="NL215" s="26"/>
      <c r="NM215" s="26"/>
      <c r="NN215" s="26"/>
      <c r="NO215" s="26"/>
      <c r="NP215" s="26"/>
      <c r="NQ215" s="26"/>
      <c r="NR215" s="26"/>
      <c r="NS215" s="26"/>
      <c r="NT215" s="26"/>
      <c r="NU215" s="26"/>
      <c r="NV215" s="26"/>
      <c r="NW215" s="26"/>
      <c r="NX215" s="26"/>
      <c r="NY215" s="26"/>
      <c r="NZ215" s="26"/>
      <c r="OA215" s="26"/>
      <c r="OB215" s="26"/>
      <c r="OC215" s="26"/>
      <c r="OD215" s="26"/>
      <c r="OE215" s="26"/>
      <c r="OF215" s="26"/>
      <c r="OG215" s="26"/>
      <c r="OH215" s="26"/>
      <c r="OI215" s="26"/>
      <c r="OJ215" s="26"/>
      <c r="OK215" s="26"/>
      <c r="OL215" s="26"/>
      <c r="OM215" s="26"/>
      <c r="ON215" s="26"/>
      <c r="OO215" s="26"/>
      <c r="OP215" s="26"/>
      <c r="OQ215" s="26"/>
      <c r="OR215" s="26"/>
      <c r="OS215" s="26"/>
      <c r="OT215" s="26"/>
      <c r="OU215" s="26"/>
      <c r="OV215" s="26"/>
      <c r="OW215" s="26"/>
      <c r="OX215" s="26"/>
      <c r="OY215" s="26"/>
      <c r="OZ215" s="26"/>
      <c r="PA215" s="26"/>
      <c r="PB215" s="26"/>
      <c r="PC215" s="26"/>
      <c r="PD215" s="26"/>
      <c r="PE215" s="26"/>
      <c r="PF215" s="26"/>
      <c r="PG215" s="26"/>
      <c r="PH215" s="26"/>
      <c r="PI215" s="26"/>
      <c r="PJ215" s="26"/>
      <c r="PK215" s="26"/>
      <c r="PL215" s="26"/>
      <c r="PM215" s="26"/>
      <c r="PN215" s="26"/>
      <c r="PO215" s="26"/>
      <c r="PP215" s="26"/>
      <c r="PQ215" s="26"/>
      <c r="PR215" s="26"/>
      <c r="PS215" s="26"/>
      <c r="PT215" s="26"/>
      <c r="PU215" s="26"/>
      <c r="PV215" s="26"/>
      <c r="PW215" s="26"/>
      <c r="PX215" s="26"/>
      <c r="PY215" s="26"/>
      <c r="PZ215" s="26"/>
      <c r="QA215" s="26"/>
      <c r="QB215" s="26"/>
      <c r="QC215" s="26"/>
      <c r="QD215" s="26"/>
      <c r="QE215" s="26"/>
      <c r="QF215" s="26"/>
      <c r="QG215" s="26"/>
      <c r="QH215" s="26"/>
      <c r="QI215" s="26"/>
      <c r="QJ215" s="26"/>
      <c r="QK215" s="26"/>
      <c r="QL215" s="26"/>
      <c r="QM215" s="26"/>
      <c r="QN215" s="26"/>
      <c r="QO215" s="26"/>
      <c r="QP215" s="26"/>
      <c r="QQ215" s="26"/>
      <c r="QR215" s="26"/>
      <c r="QS215" s="26"/>
      <c r="QT215" s="26"/>
      <c r="QU215" s="26"/>
      <c r="QV215" s="26"/>
      <c r="QW215" s="26"/>
      <c r="QX215" s="26"/>
      <c r="QY215" s="26"/>
      <c r="QZ215" s="26"/>
      <c r="RA215" s="26"/>
      <c r="RB215" s="26"/>
      <c r="RC215" s="26"/>
      <c r="RD215" s="26"/>
      <c r="RE215" s="26"/>
      <c r="RF215" s="26"/>
      <c r="RG215" s="26"/>
      <c r="RH215" s="26"/>
      <c r="RI215" s="26"/>
      <c r="RJ215" s="26"/>
      <c r="RK215" s="26"/>
      <c r="RL215" s="26"/>
      <c r="RM215" s="26"/>
      <c r="RN215" s="26"/>
      <c r="RO215" s="26"/>
      <c r="RP215" s="26"/>
      <c r="RQ215" s="26"/>
      <c r="RR215" s="26"/>
      <c r="RS215" s="26"/>
      <c r="RT215" s="26"/>
      <c r="RU215" s="26"/>
      <c r="RV215" s="26"/>
      <c r="RW215" s="26"/>
      <c r="RX215" s="26"/>
      <c r="RY215" s="26"/>
      <c r="RZ215" s="26"/>
      <c r="SA215" s="26"/>
      <c r="SB215" s="26"/>
      <c r="SC215" s="26"/>
      <c r="SD215" s="26"/>
      <c r="SE215" s="26"/>
      <c r="SF215" s="26"/>
      <c r="SG215" s="26"/>
      <c r="SH215" s="26"/>
      <c r="SI215" s="26"/>
      <c r="SJ215" s="26"/>
      <c r="SK215" s="26"/>
      <c r="SL215" s="26"/>
      <c r="SM215" s="26"/>
      <c r="SN215" s="26"/>
      <c r="SO215" s="26"/>
      <c r="SP215" s="26"/>
      <c r="SQ215" s="26"/>
      <c r="SR215" s="26"/>
      <c r="SS215" s="26"/>
      <c r="ST215" s="26"/>
      <c r="SU215" s="26"/>
      <c r="SV215" s="26"/>
      <c r="SW215" s="26"/>
      <c r="SX215" s="26"/>
      <c r="SY215" s="26"/>
      <c r="SZ215" s="26"/>
      <c r="TA215" s="26"/>
      <c r="TB215" s="26"/>
      <c r="TC215" s="26"/>
      <c r="TD215" s="26"/>
      <c r="TE215" s="26"/>
      <c r="TF215" s="26"/>
      <c r="TG215" s="26"/>
      <c r="TH215" s="26"/>
      <c r="TI215" s="26"/>
    </row>
    <row r="216" spans="1:529" s="23" customFormat="1" ht="42.75" customHeight="1" x14ac:dyDescent="0.25">
      <c r="A216" s="43" t="s">
        <v>408</v>
      </c>
      <c r="B216" s="44">
        <v>7363</v>
      </c>
      <c r="C216" s="43" t="s">
        <v>89</v>
      </c>
      <c r="D216" s="24" t="s">
        <v>463</v>
      </c>
      <c r="E216" s="69">
        <f t="shared" si="114"/>
        <v>0</v>
      </c>
      <c r="F216" s="69"/>
      <c r="G216" s="69"/>
      <c r="H216" s="69"/>
      <c r="I216" s="69"/>
      <c r="J216" s="69">
        <f t="shared" si="116"/>
        <v>95000</v>
      </c>
      <c r="K216" s="69">
        <v>95000</v>
      </c>
      <c r="L216" s="69"/>
      <c r="M216" s="69"/>
      <c r="N216" s="69"/>
      <c r="O216" s="69">
        <v>95000</v>
      </c>
      <c r="P216" s="69">
        <f t="shared" si="115"/>
        <v>95000</v>
      </c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  <c r="IW216" s="26"/>
      <c r="IX216" s="26"/>
      <c r="IY216" s="26"/>
      <c r="IZ216" s="26"/>
      <c r="JA216" s="26"/>
      <c r="JB216" s="26"/>
      <c r="JC216" s="26"/>
      <c r="JD216" s="26"/>
      <c r="JE216" s="26"/>
      <c r="JF216" s="26"/>
      <c r="JG216" s="26"/>
      <c r="JH216" s="26"/>
      <c r="JI216" s="26"/>
      <c r="JJ216" s="26"/>
      <c r="JK216" s="26"/>
      <c r="JL216" s="26"/>
      <c r="JM216" s="26"/>
      <c r="JN216" s="26"/>
      <c r="JO216" s="26"/>
      <c r="JP216" s="26"/>
      <c r="JQ216" s="26"/>
      <c r="JR216" s="26"/>
      <c r="JS216" s="26"/>
      <c r="JT216" s="26"/>
      <c r="JU216" s="26"/>
      <c r="JV216" s="26"/>
      <c r="JW216" s="26"/>
      <c r="JX216" s="26"/>
      <c r="JY216" s="26"/>
      <c r="JZ216" s="26"/>
      <c r="KA216" s="26"/>
      <c r="KB216" s="26"/>
      <c r="KC216" s="26"/>
      <c r="KD216" s="26"/>
      <c r="KE216" s="26"/>
      <c r="KF216" s="26"/>
      <c r="KG216" s="26"/>
      <c r="KH216" s="26"/>
      <c r="KI216" s="26"/>
      <c r="KJ216" s="26"/>
      <c r="KK216" s="26"/>
      <c r="KL216" s="26"/>
      <c r="KM216" s="26"/>
      <c r="KN216" s="26"/>
      <c r="KO216" s="26"/>
      <c r="KP216" s="26"/>
      <c r="KQ216" s="26"/>
      <c r="KR216" s="26"/>
      <c r="KS216" s="26"/>
      <c r="KT216" s="26"/>
      <c r="KU216" s="26"/>
      <c r="KV216" s="26"/>
      <c r="KW216" s="26"/>
      <c r="KX216" s="26"/>
      <c r="KY216" s="26"/>
      <c r="KZ216" s="26"/>
      <c r="LA216" s="26"/>
      <c r="LB216" s="26"/>
      <c r="LC216" s="26"/>
      <c r="LD216" s="26"/>
      <c r="LE216" s="26"/>
      <c r="LF216" s="26"/>
      <c r="LG216" s="26"/>
      <c r="LH216" s="26"/>
      <c r="LI216" s="26"/>
      <c r="LJ216" s="26"/>
      <c r="LK216" s="26"/>
      <c r="LL216" s="26"/>
      <c r="LM216" s="26"/>
      <c r="LN216" s="26"/>
      <c r="LO216" s="26"/>
      <c r="LP216" s="26"/>
      <c r="LQ216" s="26"/>
      <c r="LR216" s="26"/>
      <c r="LS216" s="26"/>
      <c r="LT216" s="26"/>
      <c r="LU216" s="26"/>
      <c r="LV216" s="26"/>
      <c r="LW216" s="26"/>
      <c r="LX216" s="26"/>
      <c r="LY216" s="26"/>
      <c r="LZ216" s="26"/>
      <c r="MA216" s="26"/>
      <c r="MB216" s="26"/>
      <c r="MC216" s="26"/>
      <c r="MD216" s="26"/>
      <c r="ME216" s="26"/>
      <c r="MF216" s="26"/>
      <c r="MG216" s="26"/>
      <c r="MH216" s="26"/>
      <c r="MI216" s="26"/>
      <c r="MJ216" s="26"/>
      <c r="MK216" s="26"/>
      <c r="ML216" s="26"/>
      <c r="MM216" s="26"/>
      <c r="MN216" s="26"/>
      <c r="MO216" s="26"/>
      <c r="MP216" s="26"/>
      <c r="MQ216" s="26"/>
      <c r="MR216" s="26"/>
      <c r="MS216" s="26"/>
      <c r="MT216" s="26"/>
      <c r="MU216" s="26"/>
      <c r="MV216" s="26"/>
      <c r="MW216" s="26"/>
      <c r="MX216" s="26"/>
      <c r="MY216" s="26"/>
      <c r="MZ216" s="26"/>
      <c r="NA216" s="26"/>
      <c r="NB216" s="26"/>
      <c r="NC216" s="26"/>
      <c r="ND216" s="26"/>
      <c r="NE216" s="26"/>
      <c r="NF216" s="26"/>
      <c r="NG216" s="26"/>
      <c r="NH216" s="26"/>
      <c r="NI216" s="26"/>
      <c r="NJ216" s="26"/>
      <c r="NK216" s="26"/>
      <c r="NL216" s="26"/>
      <c r="NM216" s="26"/>
      <c r="NN216" s="26"/>
      <c r="NO216" s="26"/>
      <c r="NP216" s="26"/>
      <c r="NQ216" s="26"/>
      <c r="NR216" s="26"/>
      <c r="NS216" s="26"/>
      <c r="NT216" s="26"/>
      <c r="NU216" s="26"/>
      <c r="NV216" s="26"/>
      <c r="NW216" s="26"/>
      <c r="NX216" s="26"/>
      <c r="NY216" s="26"/>
      <c r="NZ216" s="26"/>
      <c r="OA216" s="26"/>
      <c r="OB216" s="26"/>
      <c r="OC216" s="26"/>
      <c r="OD216" s="26"/>
      <c r="OE216" s="26"/>
      <c r="OF216" s="26"/>
      <c r="OG216" s="26"/>
      <c r="OH216" s="26"/>
      <c r="OI216" s="26"/>
      <c r="OJ216" s="26"/>
      <c r="OK216" s="26"/>
      <c r="OL216" s="26"/>
      <c r="OM216" s="26"/>
      <c r="ON216" s="26"/>
      <c r="OO216" s="26"/>
      <c r="OP216" s="26"/>
      <c r="OQ216" s="26"/>
      <c r="OR216" s="26"/>
      <c r="OS216" s="26"/>
      <c r="OT216" s="26"/>
      <c r="OU216" s="26"/>
      <c r="OV216" s="26"/>
      <c r="OW216" s="26"/>
      <c r="OX216" s="26"/>
      <c r="OY216" s="26"/>
      <c r="OZ216" s="26"/>
      <c r="PA216" s="26"/>
      <c r="PB216" s="26"/>
      <c r="PC216" s="26"/>
      <c r="PD216" s="26"/>
      <c r="PE216" s="26"/>
      <c r="PF216" s="26"/>
      <c r="PG216" s="26"/>
      <c r="PH216" s="26"/>
      <c r="PI216" s="26"/>
      <c r="PJ216" s="26"/>
      <c r="PK216" s="26"/>
      <c r="PL216" s="26"/>
      <c r="PM216" s="26"/>
      <c r="PN216" s="26"/>
      <c r="PO216" s="26"/>
      <c r="PP216" s="26"/>
      <c r="PQ216" s="26"/>
      <c r="PR216" s="26"/>
      <c r="PS216" s="26"/>
      <c r="PT216" s="26"/>
      <c r="PU216" s="26"/>
      <c r="PV216" s="26"/>
      <c r="PW216" s="26"/>
      <c r="PX216" s="26"/>
      <c r="PY216" s="26"/>
      <c r="PZ216" s="26"/>
      <c r="QA216" s="26"/>
      <c r="QB216" s="26"/>
      <c r="QC216" s="26"/>
      <c r="QD216" s="26"/>
      <c r="QE216" s="26"/>
      <c r="QF216" s="26"/>
      <c r="QG216" s="26"/>
      <c r="QH216" s="26"/>
      <c r="QI216" s="26"/>
      <c r="QJ216" s="26"/>
      <c r="QK216" s="26"/>
      <c r="QL216" s="26"/>
      <c r="QM216" s="26"/>
      <c r="QN216" s="26"/>
      <c r="QO216" s="26"/>
      <c r="QP216" s="26"/>
      <c r="QQ216" s="26"/>
      <c r="QR216" s="26"/>
      <c r="QS216" s="26"/>
      <c r="QT216" s="26"/>
      <c r="QU216" s="26"/>
      <c r="QV216" s="26"/>
      <c r="QW216" s="26"/>
      <c r="QX216" s="26"/>
      <c r="QY216" s="26"/>
      <c r="QZ216" s="26"/>
      <c r="RA216" s="26"/>
      <c r="RB216" s="26"/>
      <c r="RC216" s="26"/>
      <c r="RD216" s="26"/>
      <c r="RE216" s="26"/>
      <c r="RF216" s="26"/>
      <c r="RG216" s="26"/>
      <c r="RH216" s="26"/>
      <c r="RI216" s="26"/>
      <c r="RJ216" s="26"/>
      <c r="RK216" s="26"/>
      <c r="RL216" s="26"/>
      <c r="RM216" s="26"/>
      <c r="RN216" s="26"/>
      <c r="RO216" s="26"/>
      <c r="RP216" s="26"/>
      <c r="RQ216" s="26"/>
      <c r="RR216" s="26"/>
      <c r="RS216" s="26"/>
      <c r="RT216" s="26"/>
      <c r="RU216" s="26"/>
      <c r="RV216" s="26"/>
      <c r="RW216" s="26"/>
      <c r="RX216" s="26"/>
      <c r="RY216" s="26"/>
      <c r="RZ216" s="26"/>
      <c r="SA216" s="26"/>
      <c r="SB216" s="26"/>
      <c r="SC216" s="26"/>
      <c r="SD216" s="26"/>
      <c r="SE216" s="26"/>
      <c r="SF216" s="26"/>
      <c r="SG216" s="26"/>
      <c r="SH216" s="26"/>
      <c r="SI216" s="26"/>
      <c r="SJ216" s="26"/>
      <c r="SK216" s="26"/>
      <c r="SL216" s="26"/>
      <c r="SM216" s="26"/>
      <c r="SN216" s="26"/>
      <c r="SO216" s="26"/>
      <c r="SP216" s="26"/>
      <c r="SQ216" s="26"/>
      <c r="SR216" s="26"/>
      <c r="SS216" s="26"/>
      <c r="ST216" s="26"/>
      <c r="SU216" s="26"/>
      <c r="SV216" s="26"/>
      <c r="SW216" s="26"/>
      <c r="SX216" s="26"/>
      <c r="SY216" s="26"/>
      <c r="SZ216" s="26"/>
      <c r="TA216" s="26"/>
      <c r="TB216" s="26"/>
      <c r="TC216" s="26"/>
      <c r="TD216" s="26"/>
      <c r="TE216" s="26"/>
      <c r="TF216" s="26"/>
      <c r="TG216" s="26"/>
      <c r="TH216" s="26"/>
      <c r="TI216" s="26"/>
    </row>
    <row r="217" spans="1:529" s="23" customFormat="1" ht="21.75" customHeight="1" x14ac:dyDescent="0.25">
      <c r="A217" s="43" t="s">
        <v>157</v>
      </c>
      <c r="B217" s="44" t="str">
        <f>'дод 4'!A153</f>
        <v>7640</v>
      </c>
      <c r="C217" s="44" t="str">
        <f>'дод 4'!B153</f>
        <v>0470</v>
      </c>
      <c r="D217" s="24" t="s">
        <v>515</v>
      </c>
      <c r="E217" s="69">
        <f t="shared" si="114"/>
        <v>1728011</v>
      </c>
      <c r="F217" s="69">
        <v>1728011</v>
      </c>
      <c r="G217" s="69"/>
      <c r="H217" s="69"/>
      <c r="I217" s="69"/>
      <c r="J217" s="69">
        <f t="shared" si="116"/>
        <v>68889000</v>
      </c>
      <c r="K217" s="69">
        <f>74352548-7700000-7500000</f>
        <v>59152548</v>
      </c>
      <c r="L217" s="71"/>
      <c r="M217" s="69"/>
      <c r="N217" s="69"/>
      <c r="O217" s="69">
        <f>74352548+9736452-7700000-7500000</f>
        <v>68889000</v>
      </c>
      <c r="P217" s="69">
        <f t="shared" si="115"/>
        <v>70617011</v>
      </c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  <c r="IW217" s="26"/>
      <c r="IX217" s="26"/>
      <c r="IY217" s="26"/>
      <c r="IZ217" s="26"/>
      <c r="JA217" s="26"/>
      <c r="JB217" s="26"/>
      <c r="JC217" s="26"/>
      <c r="JD217" s="26"/>
      <c r="JE217" s="26"/>
      <c r="JF217" s="26"/>
      <c r="JG217" s="26"/>
      <c r="JH217" s="26"/>
      <c r="JI217" s="26"/>
      <c r="JJ217" s="26"/>
      <c r="JK217" s="26"/>
      <c r="JL217" s="26"/>
      <c r="JM217" s="26"/>
      <c r="JN217" s="26"/>
      <c r="JO217" s="26"/>
      <c r="JP217" s="26"/>
      <c r="JQ217" s="26"/>
      <c r="JR217" s="26"/>
      <c r="JS217" s="26"/>
      <c r="JT217" s="26"/>
      <c r="JU217" s="26"/>
      <c r="JV217" s="26"/>
      <c r="JW217" s="26"/>
      <c r="JX217" s="26"/>
      <c r="JY217" s="26"/>
      <c r="JZ217" s="26"/>
      <c r="KA217" s="26"/>
      <c r="KB217" s="26"/>
      <c r="KC217" s="26"/>
      <c r="KD217" s="26"/>
      <c r="KE217" s="26"/>
      <c r="KF217" s="26"/>
      <c r="KG217" s="26"/>
      <c r="KH217" s="26"/>
      <c r="KI217" s="26"/>
      <c r="KJ217" s="26"/>
      <c r="KK217" s="26"/>
      <c r="KL217" s="26"/>
      <c r="KM217" s="26"/>
      <c r="KN217" s="26"/>
      <c r="KO217" s="26"/>
      <c r="KP217" s="26"/>
      <c r="KQ217" s="26"/>
      <c r="KR217" s="26"/>
      <c r="KS217" s="26"/>
      <c r="KT217" s="26"/>
      <c r="KU217" s="26"/>
      <c r="KV217" s="26"/>
      <c r="KW217" s="26"/>
      <c r="KX217" s="26"/>
      <c r="KY217" s="26"/>
      <c r="KZ217" s="26"/>
      <c r="LA217" s="26"/>
      <c r="LB217" s="26"/>
      <c r="LC217" s="26"/>
      <c r="LD217" s="26"/>
      <c r="LE217" s="26"/>
      <c r="LF217" s="26"/>
      <c r="LG217" s="26"/>
      <c r="LH217" s="26"/>
      <c r="LI217" s="26"/>
      <c r="LJ217" s="26"/>
      <c r="LK217" s="26"/>
      <c r="LL217" s="26"/>
      <c r="LM217" s="26"/>
      <c r="LN217" s="26"/>
      <c r="LO217" s="26"/>
      <c r="LP217" s="26"/>
      <c r="LQ217" s="26"/>
      <c r="LR217" s="26"/>
      <c r="LS217" s="26"/>
      <c r="LT217" s="26"/>
      <c r="LU217" s="26"/>
      <c r="LV217" s="26"/>
      <c r="LW217" s="26"/>
      <c r="LX217" s="26"/>
      <c r="LY217" s="26"/>
      <c r="LZ217" s="26"/>
      <c r="MA217" s="26"/>
      <c r="MB217" s="26"/>
      <c r="MC217" s="26"/>
      <c r="MD217" s="26"/>
      <c r="ME217" s="26"/>
      <c r="MF217" s="26"/>
      <c r="MG217" s="26"/>
      <c r="MH217" s="26"/>
      <c r="MI217" s="26"/>
      <c r="MJ217" s="26"/>
      <c r="MK217" s="26"/>
      <c r="ML217" s="26"/>
      <c r="MM217" s="26"/>
      <c r="MN217" s="26"/>
      <c r="MO217" s="26"/>
      <c r="MP217" s="26"/>
      <c r="MQ217" s="26"/>
      <c r="MR217" s="26"/>
      <c r="MS217" s="26"/>
      <c r="MT217" s="26"/>
      <c r="MU217" s="26"/>
      <c r="MV217" s="26"/>
      <c r="MW217" s="26"/>
      <c r="MX217" s="26"/>
      <c r="MY217" s="26"/>
      <c r="MZ217" s="26"/>
      <c r="NA217" s="26"/>
      <c r="NB217" s="26"/>
      <c r="NC217" s="26"/>
      <c r="ND217" s="26"/>
      <c r="NE217" s="26"/>
      <c r="NF217" s="26"/>
      <c r="NG217" s="26"/>
      <c r="NH217" s="26"/>
      <c r="NI217" s="26"/>
      <c r="NJ217" s="26"/>
      <c r="NK217" s="26"/>
      <c r="NL217" s="26"/>
      <c r="NM217" s="26"/>
      <c r="NN217" s="26"/>
      <c r="NO217" s="26"/>
      <c r="NP217" s="26"/>
      <c r="NQ217" s="26"/>
      <c r="NR217" s="26"/>
      <c r="NS217" s="26"/>
      <c r="NT217" s="26"/>
      <c r="NU217" s="26"/>
      <c r="NV217" s="26"/>
      <c r="NW217" s="26"/>
      <c r="NX217" s="26"/>
      <c r="NY217" s="26"/>
      <c r="NZ217" s="26"/>
      <c r="OA217" s="26"/>
      <c r="OB217" s="26"/>
      <c r="OC217" s="26"/>
      <c r="OD217" s="26"/>
      <c r="OE217" s="26"/>
      <c r="OF217" s="26"/>
      <c r="OG217" s="26"/>
      <c r="OH217" s="26"/>
      <c r="OI217" s="26"/>
      <c r="OJ217" s="26"/>
      <c r="OK217" s="26"/>
      <c r="OL217" s="26"/>
      <c r="OM217" s="26"/>
      <c r="ON217" s="26"/>
      <c r="OO217" s="26"/>
      <c r="OP217" s="26"/>
      <c r="OQ217" s="26"/>
      <c r="OR217" s="26"/>
      <c r="OS217" s="26"/>
      <c r="OT217" s="26"/>
      <c r="OU217" s="26"/>
      <c r="OV217" s="26"/>
      <c r="OW217" s="26"/>
      <c r="OX217" s="26"/>
      <c r="OY217" s="26"/>
      <c r="OZ217" s="26"/>
      <c r="PA217" s="26"/>
      <c r="PB217" s="26"/>
      <c r="PC217" s="26"/>
      <c r="PD217" s="26"/>
      <c r="PE217" s="26"/>
      <c r="PF217" s="26"/>
      <c r="PG217" s="26"/>
      <c r="PH217" s="26"/>
      <c r="PI217" s="26"/>
      <c r="PJ217" s="26"/>
      <c r="PK217" s="26"/>
      <c r="PL217" s="26"/>
      <c r="PM217" s="26"/>
      <c r="PN217" s="26"/>
      <c r="PO217" s="26"/>
      <c r="PP217" s="26"/>
      <c r="PQ217" s="26"/>
      <c r="PR217" s="26"/>
      <c r="PS217" s="26"/>
      <c r="PT217" s="26"/>
      <c r="PU217" s="26"/>
      <c r="PV217" s="26"/>
      <c r="PW217" s="26"/>
      <c r="PX217" s="26"/>
      <c r="PY217" s="26"/>
      <c r="PZ217" s="26"/>
      <c r="QA217" s="26"/>
      <c r="QB217" s="26"/>
      <c r="QC217" s="26"/>
      <c r="QD217" s="26"/>
      <c r="QE217" s="26"/>
      <c r="QF217" s="26"/>
      <c r="QG217" s="26"/>
      <c r="QH217" s="26"/>
      <c r="QI217" s="26"/>
      <c r="QJ217" s="26"/>
      <c r="QK217" s="26"/>
      <c r="QL217" s="26"/>
      <c r="QM217" s="26"/>
      <c r="QN217" s="26"/>
      <c r="QO217" s="26"/>
      <c r="QP217" s="26"/>
      <c r="QQ217" s="26"/>
      <c r="QR217" s="26"/>
      <c r="QS217" s="26"/>
      <c r="QT217" s="26"/>
      <c r="QU217" s="26"/>
      <c r="QV217" s="26"/>
      <c r="QW217" s="26"/>
      <c r="QX217" s="26"/>
      <c r="QY217" s="26"/>
      <c r="QZ217" s="26"/>
      <c r="RA217" s="26"/>
      <c r="RB217" s="26"/>
      <c r="RC217" s="26"/>
      <c r="RD217" s="26"/>
      <c r="RE217" s="26"/>
      <c r="RF217" s="26"/>
      <c r="RG217" s="26"/>
      <c r="RH217" s="26"/>
      <c r="RI217" s="26"/>
      <c r="RJ217" s="26"/>
      <c r="RK217" s="26"/>
      <c r="RL217" s="26"/>
      <c r="RM217" s="26"/>
      <c r="RN217" s="26"/>
      <c r="RO217" s="26"/>
      <c r="RP217" s="26"/>
      <c r="RQ217" s="26"/>
      <c r="RR217" s="26"/>
      <c r="RS217" s="26"/>
      <c r="RT217" s="26"/>
      <c r="RU217" s="26"/>
      <c r="RV217" s="26"/>
      <c r="RW217" s="26"/>
      <c r="RX217" s="26"/>
      <c r="RY217" s="26"/>
      <c r="RZ217" s="26"/>
      <c r="SA217" s="26"/>
      <c r="SB217" s="26"/>
      <c r="SC217" s="26"/>
      <c r="SD217" s="26"/>
      <c r="SE217" s="26"/>
      <c r="SF217" s="26"/>
      <c r="SG217" s="26"/>
      <c r="SH217" s="26"/>
      <c r="SI217" s="26"/>
      <c r="SJ217" s="26"/>
      <c r="SK217" s="26"/>
      <c r="SL217" s="26"/>
      <c r="SM217" s="26"/>
      <c r="SN217" s="26"/>
      <c r="SO217" s="26"/>
      <c r="SP217" s="26"/>
      <c r="SQ217" s="26"/>
      <c r="SR217" s="26"/>
      <c r="SS217" s="26"/>
      <c r="ST217" s="26"/>
      <c r="SU217" s="26"/>
      <c r="SV217" s="26"/>
      <c r="SW217" s="26"/>
      <c r="SX217" s="26"/>
      <c r="SY217" s="26"/>
      <c r="SZ217" s="26"/>
      <c r="TA217" s="26"/>
      <c r="TB217" s="26"/>
      <c r="TC217" s="26"/>
      <c r="TD217" s="26"/>
      <c r="TE217" s="26"/>
      <c r="TF217" s="26"/>
      <c r="TG217" s="26"/>
      <c r="TH217" s="26"/>
      <c r="TI217" s="26"/>
    </row>
    <row r="218" spans="1:529" s="27" customFormat="1" ht="24" customHeight="1" x14ac:dyDescent="0.25">
      <c r="A218" s="161"/>
      <c r="B218" s="162"/>
      <c r="C218" s="162"/>
      <c r="D218" s="165" t="s">
        <v>509</v>
      </c>
      <c r="E218" s="160"/>
      <c r="F218" s="160"/>
      <c r="G218" s="160"/>
      <c r="H218" s="160"/>
      <c r="I218" s="160"/>
      <c r="J218" s="160">
        <f t="shared" si="116"/>
        <v>44062207</v>
      </c>
      <c r="K218" s="160">
        <v>44062207</v>
      </c>
      <c r="L218" s="164"/>
      <c r="M218" s="160"/>
      <c r="N218" s="160"/>
      <c r="O218" s="160">
        <v>44062207</v>
      </c>
      <c r="P218" s="160">
        <f t="shared" si="115"/>
        <v>44062207</v>
      </c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6"/>
      <c r="HU218" s="36"/>
      <c r="HV218" s="36"/>
      <c r="HW218" s="36"/>
      <c r="HX218" s="36"/>
      <c r="HY218" s="36"/>
      <c r="HZ218" s="36"/>
      <c r="IA218" s="36"/>
      <c r="IB218" s="36"/>
      <c r="IC218" s="36"/>
      <c r="ID218" s="3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3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6"/>
      <c r="JC218" s="36"/>
      <c r="JD218" s="36"/>
      <c r="JE218" s="36"/>
      <c r="JF218" s="36"/>
      <c r="JG218" s="36"/>
      <c r="JH218" s="36"/>
      <c r="JI218" s="36"/>
      <c r="JJ218" s="36"/>
      <c r="JK218" s="36"/>
      <c r="JL218" s="36"/>
      <c r="JM218" s="36"/>
      <c r="JN218" s="36"/>
      <c r="JO218" s="36"/>
      <c r="JP218" s="36"/>
      <c r="JQ218" s="36"/>
      <c r="JR218" s="36"/>
      <c r="JS218" s="36"/>
      <c r="JT218" s="36"/>
      <c r="JU218" s="36"/>
      <c r="JV218" s="36"/>
      <c r="JW218" s="36"/>
      <c r="JX218" s="36"/>
      <c r="JY218" s="36"/>
      <c r="JZ218" s="36"/>
      <c r="KA218" s="36"/>
      <c r="KB218" s="36"/>
      <c r="KC218" s="36"/>
      <c r="KD218" s="36"/>
      <c r="KE218" s="36"/>
      <c r="KF218" s="36"/>
      <c r="KG218" s="36"/>
      <c r="KH218" s="36"/>
      <c r="KI218" s="36"/>
      <c r="KJ218" s="36"/>
      <c r="KK218" s="36"/>
      <c r="KL218" s="36"/>
      <c r="KM218" s="36"/>
      <c r="KN218" s="36"/>
      <c r="KO218" s="36"/>
      <c r="KP218" s="36"/>
      <c r="KQ218" s="36"/>
      <c r="KR218" s="36"/>
      <c r="KS218" s="36"/>
      <c r="KT218" s="36"/>
      <c r="KU218" s="36"/>
      <c r="KV218" s="36"/>
      <c r="KW218" s="36"/>
      <c r="KX218" s="36"/>
      <c r="KY218" s="36"/>
      <c r="KZ218" s="36"/>
      <c r="LA218" s="36"/>
      <c r="LB218" s="36"/>
      <c r="LC218" s="36"/>
      <c r="LD218" s="36"/>
      <c r="LE218" s="36"/>
      <c r="LF218" s="36"/>
      <c r="LG218" s="36"/>
      <c r="LH218" s="36"/>
      <c r="LI218" s="36"/>
      <c r="LJ218" s="36"/>
      <c r="LK218" s="36"/>
      <c r="LL218" s="36"/>
      <c r="LM218" s="36"/>
      <c r="LN218" s="36"/>
      <c r="LO218" s="36"/>
      <c r="LP218" s="36"/>
      <c r="LQ218" s="36"/>
      <c r="LR218" s="36"/>
      <c r="LS218" s="36"/>
      <c r="LT218" s="36"/>
      <c r="LU218" s="36"/>
      <c r="LV218" s="36"/>
      <c r="LW218" s="36"/>
      <c r="LX218" s="36"/>
      <c r="LY218" s="36"/>
      <c r="LZ218" s="36"/>
      <c r="MA218" s="36"/>
      <c r="MB218" s="36"/>
      <c r="MC218" s="36"/>
      <c r="MD218" s="36"/>
      <c r="ME218" s="36"/>
      <c r="MF218" s="36"/>
      <c r="MG218" s="36"/>
      <c r="MH218" s="36"/>
      <c r="MI218" s="36"/>
      <c r="MJ218" s="36"/>
      <c r="MK218" s="36"/>
      <c r="ML218" s="36"/>
      <c r="MM218" s="36"/>
      <c r="MN218" s="36"/>
      <c r="MO218" s="36"/>
      <c r="MP218" s="36"/>
      <c r="MQ218" s="36"/>
      <c r="MR218" s="36"/>
      <c r="MS218" s="36"/>
      <c r="MT218" s="36"/>
      <c r="MU218" s="36"/>
      <c r="MV218" s="36"/>
      <c r="MW218" s="36"/>
      <c r="MX218" s="36"/>
      <c r="MY218" s="36"/>
      <c r="MZ218" s="36"/>
      <c r="NA218" s="36"/>
      <c r="NB218" s="36"/>
      <c r="NC218" s="36"/>
      <c r="ND218" s="36"/>
      <c r="NE218" s="36"/>
      <c r="NF218" s="36"/>
      <c r="NG218" s="36"/>
      <c r="NH218" s="36"/>
      <c r="NI218" s="36"/>
      <c r="NJ218" s="36"/>
      <c r="NK218" s="36"/>
      <c r="NL218" s="36"/>
      <c r="NM218" s="36"/>
      <c r="NN218" s="36"/>
      <c r="NO218" s="36"/>
      <c r="NP218" s="36"/>
      <c r="NQ218" s="36"/>
      <c r="NR218" s="36"/>
      <c r="NS218" s="36"/>
      <c r="NT218" s="36"/>
      <c r="NU218" s="36"/>
      <c r="NV218" s="36"/>
      <c r="NW218" s="36"/>
      <c r="NX218" s="36"/>
      <c r="NY218" s="36"/>
      <c r="NZ218" s="36"/>
      <c r="OA218" s="36"/>
      <c r="OB218" s="36"/>
      <c r="OC218" s="36"/>
      <c r="OD218" s="36"/>
      <c r="OE218" s="36"/>
      <c r="OF218" s="36"/>
      <c r="OG218" s="36"/>
      <c r="OH218" s="36"/>
      <c r="OI218" s="36"/>
      <c r="OJ218" s="36"/>
      <c r="OK218" s="36"/>
      <c r="OL218" s="36"/>
      <c r="OM218" s="36"/>
      <c r="ON218" s="36"/>
      <c r="OO218" s="36"/>
      <c r="OP218" s="36"/>
      <c r="OQ218" s="36"/>
      <c r="OR218" s="36"/>
      <c r="OS218" s="36"/>
      <c r="OT218" s="36"/>
      <c r="OU218" s="36"/>
      <c r="OV218" s="36"/>
      <c r="OW218" s="36"/>
      <c r="OX218" s="36"/>
      <c r="OY218" s="36"/>
      <c r="OZ218" s="36"/>
      <c r="PA218" s="36"/>
      <c r="PB218" s="36"/>
      <c r="PC218" s="36"/>
      <c r="PD218" s="36"/>
      <c r="PE218" s="36"/>
      <c r="PF218" s="36"/>
      <c r="PG218" s="36"/>
      <c r="PH218" s="36"/>
      <c r="PI218" s="36"/>
      <c r="PJ218" s="36"/>
      <c r="PK218" s="36"/>
      <c r="PL218" s="36"/>
      <c r="PM218" s="36"/>
      <c r="PN218" s="36"/>
      <c r="PO218" s="36"/>
      <c r="PP218" s="36"/>
      <c r="PQ218" s="36"/>
      <c r="PR218" s="36"/>
      <c r="PS218" s="36"/>
      <c r="PT218" s="36"/>
      <c r="PU218" s="36"/>
      <c r="PV218" s="36"/>
      <c r="PW218" s="36"/>
      <c r="PX218" s="36"/>
      <c r="PY218" s="36"/>
      <c r="PZ218" s="36"/>
      <c r="QA218" s="36"/>
      <c r="QB218" s="36"/>
      <c r="QC218" s="36"/>
      <c r="QD218" s="36"/>
      <c r="QE218" s="36"/>
      <c r="QF218" s="36"/>
      <c r="QG218" s="36"/>
      <c r="QH218" s="36"/>
      <c r="QI218" s="36"/>
      <c r="QJ218" s="36"/>
      <c r="QK218" s="36"/>
      <c r="QL218" s="36"/>
      <c r="QM218" s="36"/>
      <c r="QN218" s="36"/>
      <c r="QO218" s="36"/>
      <c r="QP218" s="36"/>
      <c r="QQ218" s="36"/>
      <c r="QR218" s="36"/>
      <c r="QS218" s="36"/>
      <c r="QT218" s="36"/>
      <c r="QU218" s="36"/>
      <c r="QV218" s="36"/>
      <c r="QW218" s="36"/>
      <c r="QX218" s="36"/>
      <c r="QY218" s="36"/>
      <c r="QZ218" s="36"/>
      <c r="RA218" s="36"/>
      <c r="RB218" s="36"/>
      <c r="RC218" s="36"/>
      <c r="RD218" s="36"/>
      <c r="RE218" s="36"/>
      <c r="RF218" s="36"/>
      <c r="RG218" s="36"/>
      <c r="RH218" s="36"/>
      <c r="RI218" s="36"/>
      <c r="RJ218" s="36"/>
      <c r="RK218" s="36"/>
      <c r="RL218" s="36"/>
      <c r="RM218" s="36"/>
      <c r="RN218" s="36"/>
      <c r="RO218" s="36"/>
      <c r="RP218" s="36"/>
      <c r="RQ218" s="36"/>
      <c r="RR218" s="36"/>
      <c r="RS218" s="36"/>
      <c r="RT218" s="36"/>
      <c r="RU218" s="36"/>
      <c r="RV218" s="36"/>
      <c r="RW218" s="36"/>
      <c r="RX218" s="36"/>
      <c r="RY218" s="36"/>
      <c r="RZ218" s="36"/>
      <c r="SA218" s="36"/>
      <c r="SB218" s="36"/>
      <c r="SC218" s="36"/>
      <c r="SD218" s="36"/>
      <c r="SE218" s="36"/>
      <c r="SF218" s="36"/>
      <c r="SG218" s="36"/>
      <c r="SH218" s="36"/>
      <c r="SI218" s="36"/>
      <c r="SJ218" s="36"/>
      <c r="SK218" s="36"/>
      <c r="SL218" s="36"/>
      <c r="SM218" s="36"/>
      <c r="SN218" s="36"/>
      <c r="SO218" s="36"/>
      <c r="SP218" s="36"/>
      <c r="SQ218" s="36"/>
      <c r="SR218" s="36"/>
      <c r="SS218" s="36"/>
      <c r="ST218" s="36"/>
      <c r="SU218" s="36"/>
      <c r="SV218" s="36"/>
      <c r="SW218" s="36"/>
      <c r="SX218" s="36"/>
      <c r="SY218" s="36"/>
      <c r="SZ218" s="36"/>
      <c r="TA218" s="36"/>
      <c r="TB218" s="36"/>
      <c r="TC218" s="36"/>
      <c r="TD218" s="36"/>
      <c r="TE218" s="36"/>
      <c r="TF218" s="36"/>
      <c r="TG218" s="36"/>
      <c r="TH218" s="36"/>
      <c r="TI218" s="36"/>
    </row>
    <row r="219" spans="1:529" s="23" customFormat="1" ht="99.75" customHeight="1" x14ac:dyDescent="0.25">
      <c r="A219" s="43" t="s">
        <v>413</v>
      </c>
      <c r="B219" s="44">
        <v>7691</v>
      </c>
      <c r="C219" s="46" t="s">
        <v>89</v>
      </c>
      <c r="D219" s="24" t="s">
        <v>345</v>
      </c>
      <c r="E219" s="69">
        <f t="shared" si="114"/>
        <v>0</v>
      </c>
      <c r="F219" s="69"/>
      <c r="G219" s="69"/>
      <c r="H219" s="69"/>
      <c r="I219" s="69"/>
      <c r="J219" s="69">
        <f t="shared" si="116"/>
        <v>833117.12</v>
      </c>
      <c r="K219" s="69"/>
      <c r="L219" s="71"/>
      <c r="M219" s="69"/>
      <c r="N219" s="69"/>
      <c r="O219" s="69">
        <v>833117.12</v>
      </c>
      <c r="P219" s="69">
        <f t="shared" si="115"/>
        <v>833117.12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  <c r="IW219" s="26"/>
      <c r="IX219" s="26"/>
      <c r="IY219" s="26"/>
      <c r="IZ219" s="26"/>
      <c r="JA219" s="26"/>
      <c r="JB219" s="26"/>
      <c r="JC219" s="26"/>
      <c r="JD219" s="26"/>
      <c r="JE219" s="26"/>
      <c r="JF219" s="26"/>
      <c r="JG219" s="26"/>
      <c r="JH219" s="26"/>
      <c r="JI219" s="26"/>
      <c r="JJ219" s="26"/>
      <c r="JK219" s="26"/>
      <c r="JL219" s="26"/>
      <c r="JM219" s="26"/>
      <c r="JN219" s="26"/>
      <c r="JO219" s="26"/>
      <c r="JP219" s="26"/>
      <c r="JQ219" s="26"/>
      <c r="JR219" s="26"/>
      <c r="JS219" s="26"/>
      <c r="JT219" s="26"/>
      <c r="JU219" s="26"/>
      <c r="JV219" s="26"/>
      <c r="JW219" s="26"/>
      <c r="JX219" s="26"/>
      <c r="JY219" s="26"/>
      <c r="JZ219" s="26"/>
      <c r="KA219" s="26"/>
      <c r="KB219" s="26"/>
      <c r="KC219" s="26"/>
      <c r="KD219" s="26"/>
      <c r="KE219" s="26"/>
      <c r="KF219" s="26"/>
      <c r="KG219" s="26"/>
      <c r="KH219" s="26"/>
      <c r="KI219" s="26"/>
      <c r="KJ219" s="26"/>
      <c r="KK219" s="26"/>
      <c r="KL219" s="26"/>
      <c r="KM219" s="26"/>
      <c r="KN219" s="26"/>
      <c r="KO219" s="26"/>
      <c r="KP219" s="26"/>
      <c r="KQ219" s="26"/>
      <c r="KR219" s="26"/>
      <c r="KS219" s="26"/>
      <c r="KT219" s="26"/>
      <c r="KU219" s="26"/>
      <c r="KV219" s="26"/>
      <c r="KW219" s="26"/>
      <c r="KX219" s="26"/>
      <c r="KY219" s="26"/>
      <c r="KZ219" s="26"/>
      <c r="LA219" s="26"/>
      <c r="LB219" s="26"/>
      <c r="LC219" s="26"/>
      <c r="LD219" s="26"/>
      <c r="LE219" s="26"/>
      <c r="LF219" s="26"/>
      <c r="LG219" s="26"/>
      <c r="LH219" s="26"/>
      <c r="LI219" s="26"/>
      <c r="LJ219" s="26"/>
      <c r="LK219" s="26"/>
      <c r="LL219" s="26"/>
      <c r="LM219" s="26"/>
      <c r="LN219" s="26"/>
      <c r="LO219" s="26"/>
      <c r="LP219" s="26"/>
      <c r="LQ219" s="26"/>
      <c r="LR219" s="26"/>
      <c r="LS219" s="26"/>
      <c r="LT219" s="26"/>
      <c r="LU219" s="26"/>
      <c r="LV219" s="26"/>
      <c r="LW219" s="26"/>
      <c r="LX219" s="26"/>
      <c r="LY219" s="26"/>
      <c r="LZ219" s="26"/>
      <c r="MA219" s="26"/>
      <c r="MB219" s="26"/>
      <c r="MC219" s="26"/>
      <c r="MD219" s="26"/>
      <c r="ME219" s="26"/>
      <c r="MF219" s="26"/>
      <c r="MG219" s="26"/>
      <c r="MH219" s="26"/>
      <c r="MI219" s="26"/>
      <c r="MJ219" s="26"/>
      <c r="MK219" s="26"/>
      <c r="ML219" s="26"/>
      <c r="MM219" s="26"/>
      <c r="MN219" s="26"/>
      <c r="MO219" s="26"/>
      <c r="MP219" s="26"/>
      <c r="MQ219" s="26"/>
      <c r="MR219" s="26"/>
      <c r="MS219" s="26"/>
      <c r="MT219" s="26"/>
      <c r="MU219" s="26"/>
      <c r="MV219" s="26"/>
      <c r="MW219" s="26"/>
      <c r="MX219" s="26"/>
      <c r="MY219" s="26"/>
      <c r="MZ219" s="26"/>
      <c r="NA219" s="26"/>
      <c r="NB219" s="26"/>
      <c r="NC219" s="26"/>
      <c r="ND219" s="26"/>
      <c r="NE219" s="26"/>
      <c r="NF219" s="26"/>
      <c r="NG219" s="26"/>
      <c r="NH219" s="26"/>
      <c r="NI219" s="26"/>
      <c r="NJ219" s="26"/>
      <c r="NK219" s="26"/>
      <c r="NL219" s="26"/>
      <c r="NM219" s="26"/>
      <c r="NN219" s="26"/>
      <c r="NO219" s="26"/>
      <c r="NP219" s="26"/>
      <c r="NQ219" s="26"/>
      <c r="NR219" s="26"/>
      <c r="NS219" s="26"/>
      <c r="NT219" s="26"/>
      <c r="NU219" s="26"/>
      <c r="NV219" s="26"/>
      <c r="NW219" s="26"/>
      <c r="NX219" s="26"/>
      <c r="NY219" s="26"/>
      <c r="NZ219" s="26"/>
      <c r="OA219" s="26"/>
      <c r="OB219" s="26"/>
      <c r="OC219" s="26"/>
      <c r="OD219" s="26"/>
      <c r="OE219" s="26"/>
      <c r="OF219" s="26"/>
      <c r="OG219" s="26"/>
      <c r="OH219" s="26"/>
      <c r="OI219" s="26"/>
      <c r="OJ219" s="26"/>
      <c r="OK219" s="26"/>
      <c r="OL219" s="26"/>
      <c r="OM219" s="26"/>
      <c r="ON219" s="26"/>
      <c r="OO219" s="26"/>
      <c r="OP219" s="26"/>
      <c r="OQ219" s="26"/>
      <c r="OR219" s="26"/>
      <c r="OS219" s="26"/>
      <c r="OT219" s="26"/>
      <c r="OU219" s="26"/>
      <c r="OV219" s="26"/>
      <c r="OW219" s="26"/>
      <c r="OX219" s="26"/>
      <c r="OY219" s="26"/>
      <c r="OZ219" s="26"/>
      <c r="PA219" s="26"/>
      <c r="PB219" s="26"/>
      <c r="PC219" s="26"/>
      <c r="PD219" s="26"/>
      <c r="PE219" s="26"/>
      <c r="PF219" s="26"/>
      <c r="PG219" s="26"/>
      <c r="PH219" s="26"/>
      <c r="PI219" s="26"/>
      <c r="PJ219" s="26"/>
      <c r="PK219" s="26"/>
      <c r="PL219" s="26"/>
      <c r="PM219" s="26"/>
      <c r="PN219" s="26"/>
      <c r="PO219" s="26"/>
      <c r="PP219" s="26"/>
      <c r="PQ219" s="26"/>
      <c r="PR219" s="26"/>
      <c r="PS219" s="26"/>
      <c r="PT219" s="26"/>
      <c r="PU219" s="26"/>
      <c r="PV219" s="26"/>
      <c r="PW219" s="26"/>
      <c r="PX219" s="26"/>
      <c r="PY219" s="26"/>
      <c r="PZ219" s="26"/>
      <c r="QA219" s="26"/>
      <c r="QB219" s="26"/>
      <c r="QC219" s="26"/>
      <c r="QD219" s="26"/>
      <c r="QE219" s="26"/>
      <c r="QF219" s="26"/>
      <c r="QG219" s="26"/>
      <c r="QH219" s="26"/>
      <c r="QI219" s="26"/>
      <c r="QJ219" s="26"/>
      <c r="QK219" s="26"/>
      <c r="QL219" s="26"/>
      <c r="QM219" s="26"/>
      <c r="QN219" s="26"/>
      <c r="QO219" s="26"/>
      <c r="QP219" s="26"/>
      <c r="QQ219" s="26"/>
      <c r="QR219" s="26"/>
      <c r="QS219" s="26"/>
      <c r="QT219" s="26"/>
      <c r="QU219" s="26"/>
      <c r="QV219" s="26"/>
      <c r="QW219" s="26"/>
      <c r="QX219" s="26"/>
      <c r="QY219" s="26"/>
      <c r="QZ219" s="26"/>
      <c r="RA219" s="26"/>
      <c r="RB219" s="26"/>
      <c r="RC219" s="26"/>
      <c r="RD219" s="26"/>
      <c r="RE219" s="26"/>
      <c r="RF219" s="26"/>
      <c r="RG219" s="26"/>
      <c r="RH219" s="26"/>
      <c r="RI219" s="26"/>
      <c r="RJ219" s="26"/>
      <c r="RK219" s="26"/>
      <c r="RL219" s="26"/>
      <c r="RM219" s="26"/>
      <c r="RN219" s="26"/>
      <c r="RO219" s="26"/>
      <c r="RP219" s="26"/>
      <c r="RQ219" s="26"/>
      <c r="RR219" s="26"/>
      <c r="RS219" s="26"/>
      <c r="RT219" s="26"/>
      <c r="RU219" s="26"/>
      <c r="RV219" s="26"/>
      <c r="RW219" s="26"/>
      <c r="RX219" s="26"/>
      <c r="RY219" s="26"/>
      <c r="RZ219" s="26"/>
      <c r="SA219" s="26"/>
      <c r="SB219" s="26"/>
      <c r="SC219" s="26"/>
      <c r="SD219" s="26"/>
      <c r="SE219" s="26"/>
      <c r="SF219" s="26"/>
      <c r="SG219" s="26"/>
      <c r="SH219" s="26"/>
      <c r="SI219" s="26"/>
      <c r="SJ219" s="26"/>
      <c r="SK219" s="26"/>
      <c r="SL219" s="26"/>
      <c r="SM219" s="26"/>
      <c r="SN219" s="26"/>
      <c r="SO219" s="26"/>
      <c r="SP219" s="26"/>
      <c r="SQ219" s="26"/>
      <c r="SR219" s="26"/>
      <c r="SS219" s="26"/>
      <c r="ST219" s="26"/>
      <c r="SU219" s="26"/>
      <c r="SV219" s="26"/>
      <c r="SW219" s="26"/>
      <c r="SX219" s="26"/>
      <c r="SY219" s="26"/>
      <c r="SZ219" s="26"/>
      <c r="TA219" s="26"/>
      <c r="TB219" s="26"/>
      <c r="TC219" s="26"/>
      <c r="TD219" s="26"/>
      <c r="TE219" s="26"/>
      <c r="TF219" s="26"/>
      <c r="TG219" s="26"/>
      <c r="TH219" s="26"/>
      <c r="TI219" s="26"/>
    </row>
    <row r="220" spans="1:529" s="31" customFormat="1" ht="35.25" customHeight="1" x14ac:dyDescent="0.2">
      <c r="A220" s="156" t="s">
        <v>224</v>
      </c>
      <c r="B220" s="74"/>
      <c r="C220" s="74"/>
      <c r="D220" s="30" t="s">
        <v>44</v>
      </c>
      <c r="E220" s="66">
        <f>E221</f>
        <v>9048300</v>
      </c>
      <c r="F220" s="66">
        <f t="shared" ref="F220:J220" si="119">F221</f>
        <v>9048300</v>
      </c>
      <c r="G220" s="66">
        <f t="shared" si="119"/>
        <v>6934200</v>
      </c>
      <c r="H220" s="66">
        <f t="shared" si="119"/>
        <v>92400</v>
      </c>
      <c r="I220" s="66">
        <f t="shared" si="119"/>
        <v>0</v>
      </c>
      <c r="J220" s="66">
        <f t="shared" si="119"/>
        <v>2696249.54</v>
      </c>
      <c r="K220" s="66">
        <f t="shared" ref="K220" si="120">K221</f>
        <v>0</v>
      </c>
      <c r="L220" s="66">
        <f t="shared" ref="L220" si="121">L221</f>
        <v>1716249.54</v>
      </c>
      <c r="M220" s="66">
        <f t="shared" ref="M220" si="122">M221</f>
        <v>0</v>
      </c>
      <c r="N220" s="66">
        <f t="shared" ref="N220" si="123">N221</f>
        <v>0</v>
      </c>
      <c r="O220" s="66">
        <f t="shared" ref="O220:P220" si="124">O221</f>
        <v>980000</v>
      </c>
      <c r="P220" s="66">
        <f t="shared" si="124"/>
        <v>11744549.539999999</v>
      </c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ET220" s="38"/>
      <c r="EU220" s="38"/>
      <c r="EV220" s="38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8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8"/>
      <c r="GE220" s="38"/>
      <c r="GF220" s="38"/>
      <c r="GG220" s="38"/>
      <c r="GH220" s="38"/>
      <c r="GI220" s="38"/>
      <c r="GJ220" s="38"/>
      <c r="GK220" s="38"/>
      <c r="GL220" s="38"/>
      <c r="GM220" s="38"/>
      <c r="GN220" s="38"/>
      <c r="GO220" s="38"/>
      <c r="GP220" s="38"/>
      <c r="GQ220" s="38"/>
      <c r="GR220" s="38"/>
      <c r="GS220" s="38"/>
      <c r="GT220" s="38"/>
      <c r="GU220" s="38"/>
      <c r="GV220" s="38"/>
      <c r="GW220" s="38"/>
      <c r="GX220" s="38"/>
      <c r="GY220" s="38"/>
      <c r="GZ220" s="38"/>
      <c r="HA220" s="38"/>
      <c r="HB220" s="38"/>
      <c r="HC220" s="38"/>
      <c r="HD220" s="38"/>
      <c r="HE220" s="38"/>
      <c r="HF220" s="38"/>
      <c r="HG220" s="38"/>
      <c r="HH220" s="38"/>
      <c r="HI220" s="38"/>
      <c r="HJ220" s="38"/>
      <c r="HK220" s="38"/>
      <c r="HL220" s="38"/>
      <c r="HM220" s="38"/>
      <c r="HN220" s="38"/>
      <c r="HO220" s="38"/>
      <c r="HP220" s="38"/>
      <c r="HQ220" s="38"/>
      <c r="HR220" s="38"/>
      <c r="HS220" s="38"/>
      <c r="HT220" s="38"/>
      <c r="HU220" s="38"/>
      <c r="HV220" s="38"/>
      <c r="HW220" s="38"/>
      <c r="HX220" s="38"/>
      <c r="HY220" s="38"/>
      <c r="HZ220" s="38"/>
      <c r="IA220" s="38"/>
      <c r="IB220" s="38"/>
      <c r="IC220" s="38"/>
      <c r="ID220" s="38"/>
      <c r="IE220" s="38"/>
      <c r="IF220" s="38"/>
      <c r="IG220" s="38"/>
      <c r="IH220" s="38"/>
      <c r="II220" s="38"/>
      <c r="IJ220" s="38"/>
      <c r="IK220" s="38"/>
      <c r="IL220" s="38"/>
      <c r="IM220" s="38"/>
      <c r="IN220" s="38"/>
      <c r="IO220" s="38"/>
      <c r="IP220" s="38"/>
      <c r="IQ220" s="38"/>
      <c r="IR220" s="38"/>
      <c r="IS220" s="38"/>
      <c r="IT220" s="38"/>
      <c r="IU220" s="38"/>
      <c r="IV220" s="38"/>
      <c r="IW220" s="38"/>
      <c r="IX220" s="38"/>
      <c r="IY220" s="38"/>
      <c r="IZ220" s="38"/>
      <c r="JA220" s="38"/>
      <c r="JB220" s="38"/>
      <c r="JC220" s="38"/>
      <c r="JD220" s="38"/>
      <c r="JE220" s="38"/>
      <c r="JF220" s="38"/>
      <c r="JG220" s="38"/>
      <c r="JH220" s="38"/>
      <c r="JI220" s="38"/>
      <c r="JJ220" s="38"/>
      <c r="JK220" s="38"/>
      <c r="JL220" s="38"/>
      <c r="JM220" s="38"/>
      <c r="JN220" s="38"/>
      <c r="JO220" s="38"/>
      <c r="JP220" s="38"/>
      <c r="JQ220" s="38"/>
      <c r="JR220" s="38"/>
      <c r="JS220" s="38"/>
      <c r="JT220" s="38"/>
      <c r="JU220" s="38"/>
      <c r="JV220" s="38"/>
      <c r="JW220" s="38"/>
      <c r="JX220" s="38"/>
      <c r="JY220" s="38"/>
      <c r="JZ220" s="38"/>
      <c r="KA220" s="38"/>
      <c r="KB220" s="38"/>
      <c r="KC220" s="38"/>
      <c r="KD220" s="38"/>
      <c r="KE220" s="38"/>
      <c r="KF220" s="38"/>
      <c r="KG220" s="38"/>
      <c r="KH220" s="38"/>
      <c r="KI220" s="38"/>
      <c r="KJ220" s="38"/>
      <c r="KK220" s="38"/>
      <c r="KL220" s="38"/>
      <c r="KM220" s="38"/>
      <c r="KN220" s="38"/>
      <c r="KO220" s="38"/>
      <c r="KP220" s="38"/>
      <c r="KQ220" s="38"/>
      <c r="KR220" s="38"/>
      <c r="KS220" s="38"/>
      <c r="KT220" s="38"/>
      <c r="KU220" s="38"/>
      <c r="KV220" s="38"/>
      <c r="KW220" s="38"/>
      <c r="KX220" s="38"/>
      <c r="KY220" s="38"/>
      <c r="KZ220" s="38"/>
      <c r="LA220" s="38"/>
      <c r="LB220" s="38"/>
      <c r="LC220" s="38"/>
      <c r="LD220" s="38"/>
      <c r="LE220" s="38"/>
      <c r="LF220" s="38"/>
      <c r="LG220" s="38"/>
      <c r="LH220" s="38"/>
      <c r="LI220" s="38"/>
      <c r="LJ220" s="38"/>
      <c r="LK220" s="38"/>
      <c r="LL220" s="38"/>
      <c r="LM220" s="38"/>
      <c r="LN220" s="38"/>
      <c r="LO220" s="38"/>
      <c r="LP220" s="38"/>
      <c r="LQ220" s="38"/>
      <c r="LR220" s="38"/>
      <c r="LS220" s="38"/>
      <c r="LT220" s="38"/>
      <c r="LU220" s="38"/>
      <c r="LV220" s="38"/>
      <c r="LW220" s="38"/>
      <c r="LX220" s="38"/>
      <c r="LY220" s="38"/>
      <c r="LZ220" s="38"/>
      <c r="MA220" s="38"/>
      <c r="MB220" s="38"/>
      <c r="MC220" s="38"/>
      <c r="MD220" s="38"/>
      <c r="ME220" s="38"/>
      <c r="MF220" s="38"/>
      <c r="MG220" s="38"/>
      <c r="MH220" s="38"/>
      <c r="MI220" s="38"/>
      <c r="MJ220" s="38"/>
      <c r="MK220" s="38"/>
      <c r="ML220" s="38"/>
      <c r="MM220" s="38"/>
      <c r="MN220" s="38"/>
      <c r="MO220" s="38"/>
      <c r="MP220" s="38"/>
      <c r="MQ220" s="38"/>
      <c r="MR220" s="38"/>
      <c r="MS220" s="38"/>
      <c r="MT220" s="38"/>
      <c r="MU220" s="38"/>
      <c r="MV220" s="38"/>
      <c r="MW220" s="38"/>
      <c r="MX220" s="38"/>
      <c r="MY220" s="38"/>
      <c r="MZ220" s="38"/>
      <c r="NA220" s="38"/>
      <c r="NB220" s="38"/>
      <c r="NC220" s="38"/>
      <c r="ND220" s="38"/>
      <c r="NE220" s="38"/>
      <c r="NF220" s="38"/>
      <c r="NG220" s="38"/>
      <c r="NH220" s="38"/>
      <c r="NI220" s="38"/>
      <c r="NJ220" s="38"/>
      <c r="NK220" s="38"/>
      <c r="NL220" s="38"/>
      <c r="NM220" s="38"/>
      <c r="NN220" s="38"/>
      <c r="NO220" s="38"/>
      <c r="NP220" s="38"/>
      <c r="NQ220" s="38"/>
      <c r="NR220" s="38"/>
      <c r="NS220" s="38"/>
      <c r="NT220" s="38"/>
      <c r="NU220" s="38"/>
      <c r="NV220" s="38"/>
      <c r="NW220" s="38"/>
      <c r="NX220" s="38"/>
      <c r="NY220" s="38"/>
      <c r="NZ220" s="38"/>
      <c r="OA220" s="38"/>
      <c r="OB220" s="38"/>
      <c r="OC220" s="38"/>
      <c r="OD220" s="38"/>
      <c r="OE220" s="38"/>
      <c r="OF220" s="38"/>
      <c r="OG220" s="38"/>
      <c r="OH220" s="38"/>
      <c r="OI220" s="38"/>
      <c r="OJ220" s="38"/>
      <c r="OK220" s="38"/>
      <c r="OL220" s="38"/>
      <c r="OM220" s="38"/>
      <c r="ON220" s="38"/>
      <c r="OO220" s="38"/>
      <c r="OP220" s="38"/>
      <c r="OQ220" s="38"/>
      <c r="OR220" s="38"/>
      <c r="OS220" s="38"/>
      <c r="OT220" s="38"/>
      <c r="OU220" s="38"/>
      <c r="OV220" s="38"/>
      <c r="OW220" s="38"/>
      <c r="OX220" s="38"/>
      <c r="OY220" s="38"/>
      <c r="OZ220" s="38"/>
      <c r="PA220" s="38"/>
      <c r="PB220" s="38"/>
      <c r="PC220" s="38"/>
      <c r="PD220" s="38"/>
      <c r="PE220" s="38"/>
      <c r="PF220" s="38"/>
      <c r="PG220" s="38"/>
      <c r="PH220" s="38"/>
      <c r="PI220" s="38"/>
      <c r="PJ220" s="38"/>
      <c r="PK220" s="38"/>
      <c r="PL220" s="38"/>
      <c r="PM220" s="38"/>
      <c r="PN220" s="38"/>
      <c r="PO220" s="38"/>
      <c r="PP220" s="38"/>
      <c r="PQ220" s="38"/>
      <c r="PR220" s="38"/>
      <c r="PS220" s="38"/>
      <c r="PT220" s="38"/>
      <c r="PU220" s="38"/>
      <c r="PV220" s="38"/>
      <c r="PW220" s="38"/>
      <c r="PX220" s="38"/>
      <c r="PY220" s="38"/>
      <c r="PZ220" s="38"/>
      <c r="QA220" s="38"/>
      <c r="QB220" s="38"/>
      <c r="QC220" s="38"/>
      <c r="QD220" s="38"/>
      <c r="QE220" s="38"/>
      <c r="QF220" s="38"/>
      <c r="QG220" s="38"/>
      <c r="QH220" s="38"/>
      <c r="QI220" s="38"/>
      <c r="QJ220" s="38"/>
      <c r="QK220" s="38"/>
      <c r="QL220" s="38"/>
      <c r="QM220" s="38"/>
      <c r="QN220" s="38"/>
      <c r="QO220" s="38"/>
      <c r="QP220" s="38"/>
      <c r="QQ220" s="38"/>
      <c r="QR220" s="38"/>
      <c r="QS220" s="38"/>
      <c r="QT220" s="38"/>
      <c r="QU220" s="38"/>
      <c r="QV220" s="38"/>
      <c r="QW220" s="38"/>
      <c r="QX220" s="38"/>
      <c r="QY220" s="38"/>
      <c r="QZ220" s="38"/>
      <c r="RA220" s="38"/>
      <c r="RB220" s="38"/>
      <c r="RC220" s="38"/>
      <c r="RD220" s="38"/>
      <c r="RE220" s="38"/>
      <c r="RF220" s="38"/>
      <c r="RG220" s="38"/>
      <c r="RH220" s="38"/>
      <c r="RI220" s="38"/>
      <c r="RJ220" s="38"/>
      <c r="RK220" s="38"/>
      <c r="RL220" s="38"/>
      <c r="RM220" s="38"/>
      <c r="RN220" s="38"/>
      <c r="RO220" s="38"/>
      <c r="RP220" s="38"/>
      <c r="RQ220" s="38"/>
      <c r="RR220" s="38"/>
      <c r="RS220" s="38"/>
      <c r="RT220" s="38"/>
      <c r="RU220" s="38"/>
      <c r="RV220" s="38"/>
      <c r="RW220" s="38"/>
      <c r="RX220" s="38"/>
      <c r="RY220" s="38"/>
      <c r="RZ220" s="38"/>
      <c r="SA220" s="38"/>
      <c r="SB220" s="38"/>
      <c r="SC220" s="38"/>
      <c r="SD220" s="38"/>
      <c r="SE220" s="38"/>
      <c r="SF220" s="38"/>
      <c r="SG220" s="38"/>
      <c r="SH220" s="38"/>
      <c r="SI220" s="38"/>
      <c r="SJ220" s="38"/>
      <c r="SK220" s="38"/>
      <c r="SL220" s="38"/>
      <c r="SM220" s="38"/>
      <c r="SN220" s="38"/>
      <c r="SO220" s="38"/>
      <c r="SP220" s="38"/>
      <c r="SQ220" s="38"/>
      <c r="SR220" s="38"/>
      <c r="SS220" s="38"/>
      <c r="ST220" s="38"/>
      <c r="SU220" s="38"/>
      <c r="SV220" s="38"/>
      <c r="SW220" s="38"/>
      <c r="SX220" s="38"/>
      <c r="SY220" s="38"/>
      <c r="SZ220" s="38"/>
      <c r="TA220" s="38"/>
      <c r="TB220" s="38"/>
      <c r="TC220" s="38"/>
      <c r="TD220" s="38"/>
      <c r="TE220" s="38"/>
      <c r="TF220" s="38"/>
      <c r="TG220" s="38"/>
      <c r="TH220" s="38"/>
      <c r="TI220" s="38"/>
    </row>
    <row r="221" spans="1:529" s="40" customFormat="1" ht="41.25" customHeight="1" x14ac:dyDescent="0.25">
      <c r="A221" s="76" t="s">
        <v>225</v>
      </c>
      <c r="B221" s="75"/>
      <c r="C221" s="75"/>
      <c r="D221" s="33" t="s">
        <v>44</v>
      </c>
      <c r="E221" s="68">
        <f>E222+E223+E224</f>
        <v>9048300</v>
      </c>
      <c r="F221" s="68">
        <f t="shared" ref="F221:P221" si="125">F222+F223+F224</f>
        <v>9048300</v>
      </c>
      <c r="G221" s="68">
        <f t="shared" si="125"/>
        <v>6934200</v>
      </c>
      <c r="H221" s="68">
        <f t="shared" si="125"/>
        <v>92400</v>
      </c>
      <c r="I221" s="68">
        <f t="shared" si="125"/>
        <v>0</v>
      </c>
      <c r="J221" s="68">
        <f t="shared" si="125"/>
        <v>2696249.54</v>
      </c>
      <c r="K221" s="68">
        <f t="shared" si="125"/>
        <v>0</v>
      </c>
      <c r="L221" s="68">
        <f>L222+L223+L224</f>
        <v>1716249.54</v>
      </c>
      <c r="M221" s="68">
        <f t="shared" si="125"/>
        <v>0</v>
      </c>
      <c r="N221" s="68">
        <f t="shared" si="125"/>
        <v>0</v>
      </c>
      <c r="O221" s="68">
        <f t="shared" si="125"/>
        <v>980000</v>
      </c>
      <c r="P221" s="68">
        <f t="shared" si="125"/>
        <v>11744549.539999999</v>
      </c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  <c r="IV221" s="39"/>
      <c r="IW221" s="39"/>
      <c r="IX221" s="39"/>
      <c r="IY221" s="39"/>
      <c r="IZ221" s="39"/>
      <c r="JA221" s="39"/>
      <c r="JB221" s="39"/>
      <c r="JC221" s="39"/>
      <c r="JD221" s="39"/>
      <c r="JE221" s="39"/>
      <c r="JF221" s="39"/>
      <c r="JG221" s="39"/>
      <c r="JH221" s="39"/>
      <c r="JI221" s="39"/>
      <c r="JJ221" s="39"/>
      <c r="JK221" s="39"/>
      <c r="JL221" s="39"/>
      <c r="JM221" s="39"/>
      <c r="JN221" s="39"/>
      <c r="JO221" s="39"/>
      <c r="JP221" s="39"/>
      <c r="JQ221" s="39"/>
      <c r="JR221" s="39"/>
      <c r="JS221" s="39"/>
      <c r="JT221" s="39"/>
      <c r="JU221" s="39"/>
      <c r="JV221" s="39"/>
      <c r="JW221" s="39"/>
      <c r="JX221" s="39"/>
      <c r="JY221" s="39"/>
      <c r="JZ221" s="39"/>
      <c r="KA221" s="39"/>
      <c r="KB221" s="39"/>
      <c r="KC221" s="39"/>
      <c r="KD221" s="39"/>
      <c r="KE221" s="39"/>
      <c r="KF221" s="39"/>
      <c r="KG221" s="39"/>
      <c r="KH221" s="39"/>
      <c r="KI221" s="39"/>
      <c r="KJ221" s="39"/>
      <c r="KK221" s="39"/>
      <c r="KL221" s="39"/>
      <c r="KM221" s="39"/>
      <c r="KN221" s="39"/>
      <c r="KO221" s="39"/>
      <c r="KP221" s="39"/>
      <c r="KQ221" s="39"/>
      <c r="KR221" s="39"/>
      <c r="KS221" s="39"/>
      <c r="KT221" s="39"/>
      <c r="KU221" s="39"/>
      <c r="KV221" s="39"/>
      <c r="KW221" s="39"/>
      <c r="KX221" s="39"/>
      <c r="KY221" s="39"/>
      <c r="KZ221" s="39"/>
      <c r="LA221" s="39"/>
      <c r="LB221" s="39"/>
      <c r="LC221" s="39"/>
      <c r="LD221" s="39"/>
      <c r="LE221" s="39"/>
      <c r="LF221" s="39"/>
      <c r="LG221" s="39"/>
      <c r="LH221" s="39"/>
      <c r="LI221" s="39"/>
      <c r="LJ221" s="39"/>
      <c r="LK221" s="39"/>
      <c r="LL221" s="39"/>
      <c r="LM221" s="39"/>
      <c r="LN221" s="39"/>
      <c r="LO221" s="39"/>
      <c r="LP221" s="39"/>
      <c r="LQ221" s="39"/>
      <c r="LR221" s="39"/>
      <c r="LS221" s="39"/>
      <c r="LT221" s="39"/>
      <c r="LU221" s="39"/>
      <c r="LV221" s="39"/>
      <c r="LW221" s="39"/>
      <c r="LX221" s="39"/>
      <c r="LY221" s="39"/>
      <c r="LZ221" s="39"/>
      <c r="MA221" s="39"/>
      <c r="MB221" s="39"/>
      <c r="MC221" s="39"/>
      <c r="MD221" s="39"/>
      <c r="ME221" s="39"/>
      <c r="MF221" s="39"/>
      <c r="MG221" s="39"/>
      <c r="MH221" s="39"/>
      <c r="MI221" s="39"/>
      <c r="MJ221" s="39"/>
      <c r="MK221" s="39"/>
      <c r="ML221" s="39"/>
      <c r="MM221" s="39"/>
      <c r="MN221" s="39"/>
      <c r="MO221" s="39"/>
      <c r="MP221" s="39"/>
      <c r="MQ221" s="39"/>
      <c r="MR221" s="39"/>
      <c r="MS221" s="39"/>
      <c r="MT221" s="39"/>
      <c r="MU221" s="39"/>
      <c r="MV221" s="39"/>
      <c r="MW221" s="39"/>
      <c r="MX221" s="39"/>
      <c r="MY221" s="39"/>
      <c r="MZ221" s="39"/>
      <c r="NA221" s="39"/>
      <c r="NB221" s="39"/>
      <c r="NC221" s="39"/>
      <c r="ND221" s="39"/>
      <c r="NE221" s="39"/>
      <c r="NF221" s="39"/>
      <c r="NG221" s="39"/>
      <c r="NH221" s="39"/>
      <c r="NI221" s="39"/>
      <c r="NJ221" s="39"/>
      <c r="NK221" s="39"/>
      <c r="NL221" s="39"/>
      <c r="NM221" s="39"/>
      <c r="NN221" s="39"/>
      <c r="NO221" s="39"/>
      <c r="NP221" s="39"/>
      <c r="NQ221" s="39"/>
      <c r="NR221" s="39"/>
      <c r="NS221" s="39"/>
      <c r="NT221" s="39"/>
      <c r="NU221" s="39"/>
      <c r="NV221" s="39"/>
      <c r="NW221" s="39"/>
      <c r="NX221" s="39"/>
      <c r="NY221" s="39"/>
      <c r="NZ221" s="39"/>
      <c r="OA221" s="39"/>
      <c r="OB221" s="39"/>
      <c r="OC221" s="39"/>
      <c r="OD221" s="39"/>
      <c r="OE221" s="39"/>
      <c r="OF221" s="39"/>
      <c r="OG221" s="39"/>
      <c r="OH221" s="39"/>
      <c r="OI221" s="39"/>
      <c r="OJ221" s="39"/>
      <c r="OK221" s="39"/>
      <c r="OL221" s="39"/>
      <c r="OM221" s="39"/>
      <c r="ON221" s="39"/>
      <c r="OO221" s="39"/>
      <c r="OP221" s="39"/>
      <c r="OQ221" s="39"/>
      <c r="OR221" s="39"/>
      <c r="OS221" s="39"/>
      <c r="OT221" s="39"/>
      <c r="OU221" s="39"/>
      <c r="OV221" s="39"/>
      <c r="OW221" s="39"/>
      <c r="OX221" s="39"/>
      <c r="OY221" s="39"/>
      <c r="OZ221" s="39"/>
      <c r="PA221" s="39"/>
      <c r="PB221" s="39"/>
      <c r="PC221" s="39"/>
      <c r="PD221" s="39"/>
      <c r="PE221" s="39"/>
      <c r="PF221" s="39"/>
      <c r="PG221" s="39"/>
      <c r="PH221" s="39"/>
      <c r="PI221" s="39"/>
      <c r="PJ221" s="39"/>
      <c r="PK221" s="39"/>
      <c r="PL221" s="39"/>
      <c r="PM221" s="39"/>
      <c r="PN221" s="39"/>
      <c r="PO221" s="39"/>
      <c r="PP221" s="39"/>
      <c r="PQ221" s="39"/>
      <c r="PR221" s="39"/>
      <c r="PS221" s="39"/>
      <c r="PT221" s="39"/>
      <c r="PU221" s="39"/>
      <c r="PV221" s="39"/>
      <c r="PW221" s="39"/>
      <c r="PX221" s="39"/>
      <c r="PY221" s="39"/>
      <c r="PZ221" s="39"/>
      <c r="QA221" s="39"/>
      <c r="QB221" s="39"/>
      <c r="QC221" s="39"/>
      <c r="QD221" s="39"/>
      <c r="QE221" s="39"/>
      <c r="QF221" s="39"/>
      <c r="QG221" s="39"/>
      <c r="QH221" s="39"/>
      <c r="QI221" s="39"/>
      <c r="QJ221" s="39"/>
      <c r="QK221" s="39"/>
      <c r="QL221" s="39"/>
      <c r="QM221" s="39"/>
      <c r="QN221" s="39"/>
      <c r="QO221" s="39"/>
      <c r="QP221" s="39"/>
      <c r="QQ221" s="39"/>
      <c r="QR221" s="39"/>
      <c r="QS221" s="39"/>
      <c r="QT221" s="39"/>
      <c r="QU221" s="39"/>
      <c r="QV221" s="39"/>
      <c r="QW221" s="39"/>
      <c r="QX221" s="39"/>
      <c r="QY221" s="39"/>
      <c r="QZ221" s="39"/>
      <c r="RA221" s="39"/>
      <c r="RB221" s="39"/>
      <c r="RC221" s="39"/>
      <c r="RD221" s="39"/>
      <c r="RE221" s="39"/>
      <c r="RF221" s="39"/>
      <c r="RG221" s="39"/>
      <c r="RH221" s="39"/>
      <c r="RI221" s="39"/>
      <c r="RJ221" s="39"/>
      <c r="RK221" s="39"/>
      <c r="RL221" s="39"/>
      <c r="RM221" s="39"/>
      <c r="RN221" s="39"/>
      <c r="RO221" s="39"/>
      <c r="RP221" s="39"/>
      <c r="RQ221" s="39"/>
      <c r="RR221" s="39"/>
      <c r="RS221" s="39"/>
      <c r="RT221" s="39"/>
      <c r="RU221" s="39"/>
      <c r="RV221" s="39"/>
      <c r="RW221" s="39"/>
      <c r="RX221" s="39"/>
      <c r="RY221" s="39"/>
      <c r="RZ221" s="39"/>
      <c r="SA221" s="39"/>
      <c r="SB221" s="39"/>
      <c r="SC221" s="39"/>
      <c r="SD221" s="39"/>
      <c r="SE221" s="39"/>
      <c r="SF221" s="39"/>
      <c r="SG221" s="39"/>
      <c r="SH221" s="39"/>
      <c r="SI221" s="39"/>
      <c r="SJ221" s="39"/>
      <c r="SK221" s="39"/>
      <c r="SL221" s="39"/>
      <c r="SM221" s="39"/>
      <c r="SN221" s="39"/>
      <c r="SO221" s="39"/>
      <c r="SP221" s="39"/>
      <c r="SQ221" s="39"/>
      <c r="SR221" s="39"/>
      <c r="SS221" s="39"/>
      <c r="ST221" s="39"/>
      <c r="SU221" s="39"/>
      <c r="SV221" s="39"/>
      <c r="SW221" s="39"/>
      <c r="SX221" s="39"/>
      <c r="SY221" s="39"/>
      <c r="SZ221" s="39"/>
      <c r="TA221" s="39"/>
      <c r="TB221" s="39"/>
      <c r="TC221" s="39"/>
      <c r="TD221" s="39"/>
      <c r="TE221" s="39"/>
      <c r="TF221" s="39"/>
      <c r="TG221" s="39"/>
      <c r="TH221" s="39"/>
      <c r="TI221" s="39"/>
    </row>
    <row r="222" spans="1:529" s="23" customFormat="1" ht="45" customHeight="1" x14ac:dyDescent="0.25">
      <c r="A222" s="43" t="s">
        <v>226</v>
      </c>
      <c r="B222" s="44" t="str">
        <f>'дод 4'!A20</f>
        <v>0160</v>
      </c>
      <c r="C222" s="44" t="str">
        <f>'дод 4'!B20</f>
        <v>0111</v>
      </c>
      <c r="D22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22" s="69">
        <f>F222+I222</f>
        <v>8873300</v>
      </c>
      <c r="F222" s="69">
        <f>8936200+12100+288619-394119+50000-19500</f>
        <v>8873300</v>
      </c>
      <c r="G222" s="69">
        <f>7036700+236573-323073-16000</f>
        <v>6934200</v>
      </c>
      <c r="H222" s="69">
        <v>92400</v>
      </c>
      <c r="I222" s="69"/>
      <c r="J222" s="69">
        <f t="shared" si="116"/>
        <v>0</v>
      </c>
      <c r="K222" s="69"/>
      <c r="L222" s="69"/>
      <c r="M222" s="69"/>
      <c r="N222" s="69"/>
      <c r="O222" s="69"/>
      <c r="P222" s="69">
        <f>E222+J222</f>
        <v>8873300</v>
      </c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  <c r="JK222" s="26"/>
      <c r="JL222" s="26"/>
      <c r="JM222" s="26"/>
      <c r="JN222" s="26"/>
      <c r="JO222" s="26"/>
      <c r="JP222" s="26"/>
      <c r="JQ222" s="26"/>
      <c r="JR222" s="26"/>
      <c r="JS222" s="26"/>
      <c r="JT222" s="26"/>
      <c r="JU222" s="26"/>
      <c r="JV222" s="26"/>
      <c r="JW222" s="26"/>
      <c r="JX222" s="26"/>
      <c r="JY222" s="26"/>
      <c r="JZ222" s="26"/>
      <c r="KA222" s="26"/>
      <c r="KB222" s="26"/>
      <c r="KC222" s="26"/>
      <c r="KD222" s="26"/>
      <c r="KE222" s="26"/>
      <c r="KF222" s="26"/>
      <c r="KG222" s="26"/>
      <c r="KH222" s="26"/>
      <c r="KI222" s="26"/>
      <c r="KJ222" s="26"/>
      <c r="KK222" s="26"/>
      <c r="KL222" s="26"/>
      <c r="KM222" s="26"/>
      <c r="KN222" s="26"/>
      <c r="KO222" s="26"/>
      <c r="KP222" s="26"/>
      <c r="KQ222" s="26"/>
      <c r="KR222" s="26"/>
      <c r="KS222" s="26"/>
      <c r="KT222" s="26"/>
      <c r="KU222" s="26"/>
      <c r="KV222" s="26"/>
      <c r="KW222" s="26"/>
      <c r="KX222" s="26"/>
      <c r="KY222" s="26"/>
      <c r="KZ222" s="26"/>
      <c r="LA222" s="26"/>
      <c r="LB222" s="26"/>
      <c r="LC222" s="26"/>
      <c r="LD222" s="26"/>
      <c r="LE222" s="26"/>
      <c r="LF222" s="26"/>
      <c r="LG222" s="26"/>
      <c r="LH222" s="26"/>
      <c r="LI222" s="26"/>
      <c r="LJ222" s="26"/>
      <c r="LK222" s="26"/>
      <c r="LL222" s="26"/>
      <c r="LM222" s="26"/>
      <c r="LN222" s="26"/>
      <c r="LO222" s="26"/>
      <c r="LP222" s="26"/>
      <c r="LQ222" s="26"/>
      <c r="LR222" s="26"/>
      <c r="LS222" s="26"/>
      <c r="LT222" s="26"/>
      <c r="LU222" s="26"/>
      <c r="LV222" s="26"/>
      <c r="LW222" s="26"/>
      <c r="LX222" s="26"/>
      <c r="LY222" s="26"/>
      <c r="LZ222" s="26"/>
      <c r="MA222" s="26"/>
      <c r="MB222" s="26"/>
      <c r="MC222" s="26"/>
      <c r="MD222" s="26"/>
      <c r="ME222" s="26"/>
      <c r="MF222" s="26"/>
      <c r="MG222" s="26"/>
      <c r="MH222" s="26"/>
      <c r="MI222" s="26"/>
      <c r="MJ222" s="26"/>
      <c r="MK222" s="26"/>
      <c r="ML222" s="26"/>
      <c r="MM222" s="26"/>
      <c r="MN222" s="26"/>
      <c r="MO222" s="26"/>
      <c r="MP222" s="26"/>
      <c r="MQ222" s="26"/>
      <c r="MR222" s="26"/>
      <c r="MS222" s="26"/>
      <c r="MT222" s="26"/>
      <c r="MU222" s="26"/>
      <c r="MV222" s="26"/>
      <c r="MW222" s="26"/>
      <c r="MX222" s="26"/>
      <c r="MY222" s="26"/>
      <c r="MZ222" s="26"/>
      <c r="NA222" s="26"/>
      <c r="NB222" s="26"/>
      <c r="NC222" s="26"/>
      <c r="ND222" s="26"/>
      <c r="NE222" s="26"/>
      <c r="NF222" s="26"/>
      <c r="NG222" s="26"/>
      <c r="NH222" s="26"/>
      <c r="NI222" s="26"/>
      <c r="NJ222" s="26"/>
      <c r="NK222" s="26"/>
      <c r="NL222" s="26"/>
      <c r="NM222" s="26"/>
      <c r="NN222" s="26"/>
      <c r="NO222" s="26"/>
      <c r="NP222" s="26"/>
      <c r="NQ222" s="26"/>
      <c r="NR222" s="26"/>
      <c r="NS222" s="26"/>
      <c r="NT222" s="26"/>
      <c r="NU222" s="26"/>
      <c r="NV222" s="26"/>
      <c r="NW222" s="26"/>
      <c r="NX222" s="26"/>
      <c r="NY222" s="26"/>
      <c r="NZ222" s="26"/>
      <c r="OA222" s="26"/>
      <c r="OB222" s="26"/>
      <c r="OC222" s="26"/>
      <c r="OD222" s="26"/>
      <c r="OE222" s="26"/>
      <c r="OF222" s="26"/>
      <c r="OG222" s="26"/>
      <c r="OH222" s="26"/>
      <c r="OI222" s="26"/>
      <c r="OJ222" s="26"/>
      <c r="OK222" s="26"/>
      <c r="OL222" s="26"/>
      <c r="OM222" s="26"/>
      <c r="ON222" s="26"/>
      <c r="OO222" s="26"/>
      <c r="OP222" s="26"/>
      <c r="OQ222" s="26"/>
      <c r="OR222" s="26"/>
      <c r="OS222" s="26"/>
      <c r="OT222" s="26"/>
      <c r="OU222" s="26"/>
      <c r="OV222" s="26"/>
      <c r="OW222" s="26"/>
      <c r="OX222" s="26"/>
      <c r="OY222" s="26"/>
      <c r="OZ222" s="26"/>
      <c r="PA222" s="26"/>
      <c r="PB222" s="26"/>
      <c r="PC222" s="26"/>
      <c r="PD222" s="26"/>
      <c r="PE222" s="26"/>
      <c r="PF222" s="26"/>
      <c r="PG222" s="26"/>
      <c r="PH222" s="26"/>
      <c r="PI222" s="26"/>
      <c r="PJ222" s="26"/>
      <c r="PK222" s="26"/>
      <c r="PL222" s="26"/>
      <c r="PM222" s="26"/>
      <c r="PN222" s="26"/>
      <c r="PO222" s="26"/>
      <c r="PP222" s="26"/>
      <c r="PQ222" s="26"/>
      <c r="PR222" s="26"/>
      <c r="PS222" s="26"/>
      <c r="PT222" s="26"/>
      <c r="PU222" s="26"/>
      <c r="PV222" s="26"/>
      <c r="PW222" s="26"/>
      <c r="PX222" s="26"/>
      <c r="PY222" s="26"/>
      <c r="PZ222" s="26"/>
      <c r="QA222" s="26"/>
      <c r="QB222" s="26"/>
      <c r="QC222" s="26"/>
      <c r="QD222" s="26"/>
      <c r="QE222" s="26"/>
      <c r="QF222" s="26"/>
      <c r="QG222" s="26"/>
      <c r="QH222" s="26"/>
      <c r="QI222" s="26"/>
      <c r="QJ222" s="26"/>
      <c r="QK222" s="26"/>
      <c r="QL222" s="26"/>
      <c r="QM222" s="26"/>
      <c r="QN222" s="26"/>
      <c r="QO222" s="26"/>
      <c r="QP222" s="26"/>
      <c r="QQ222" s="26"/>
      <c r="QR222" s="26"/>
      <c r="QS222" s="26"/>
      <c r="QT222" s="26"/>
      <c r="QU222" s="26"/>
      <c r="QV222" s="26"/>
      <c r="QW222" s="26"/>
      <c r="QX222" s="26"/>
      <c r="QY222" s="26"/>
      <c r="QZ222" s="26"/>
      <c r="RA222" s="26"/>
      <c r="RB222" s="26"/>
      <c r="RC222" s="26"/>
      <c r="RD222" s="26"/>
      <c r="RE222" s="26"/>
      <c r="RF222" s="26"/>
      <c r="RG222" s="26"/>
      <c r="RH222" s="26"/>
      <c r="RI222" s="26"/>
      <c r="RJ222" s="26"/>
      <c r="RK222" s="26"/>
      <c r="RL222" s="26"/>
      <c r="RM222" s="26"/>
      <c r="RN222" s="26"/>
      <c r="RO222" s="26"/>
      <c r="RP222" s="26"/>
      <c r="RQ222" s="26"/>
      <c r="RR222" s="26"/>
      <c r="RS222" s="26"/>
      <c r="RT222" s="26"/>
      <c r="RU222" s="26"/>
      <c r="RV222" s="26"/>
      <c r="RW222" s="26"/>
      <c r="RX222" s="26"/>
      <c r="RY222" s="26"/>
      <c r="RZ222" s="26"/>
      <c r="SA222" s="26"/>
      <c r="SB222" s="26"/>
      <c r="SC222" s="26"/>
      <c r="SD222" s="26"/>
      <c r="SE222" s="26"/>
      <c r="SF222" s="26"/>
      <c r="SG222" s="26"/>
      <c r="SH222" s="26"/>
      <c r="SI222" s="26"/>
      <c r="SJ222" s="26"/>
      <c r="SK222" s="26"/>
      <c r="SL222" s="26"/>
      <c r="SM222" s="26"/>
      <c r="SN222" s="26"/>
      <c r="SO222" s="26"/>
      <c r="SP222" s="26"/>
      <c r="SQ222" s="26"/>
      <c r="SR222" s="26"/>
      <c r="SS222" s="26"/>
      <c r="ST222" s="26"/>
      <c r="SU222" s="26"/>
      <c r="SV222" s="26"/>
      <c r="SW222" s="26"/>
      <c r="SX222" s="26"/>
      <c r="SY222" s="26"/>
      <c r="SZ222" s="26"/>
      <c r="TA222" s="26"/>
      <c r="TB222" s="26"/>
      <c r="TC222" s="26"/>
      <c r="TD222" s="26"/>
      <c r="TE222" s="26"/>
      <c r="TF222" s="26"/>
      <c r="TG222" s="26"/>
      <c r="TH222" s="26"/>
      <c r="TI222" s="26"/>
    </row>
    <row r="223" spans="1:529" s="23" customFormat="1" ht="34.5" customHeight="1" x14ac:dyDescent="0.25">
      <c r="A223" s="43" t="s">
        <v>341</v>
      </c>
      <c r="B223" s="44" t="str">
        <f>'дод 4'!A121</f>
        <v>6090</v>
      </c>
      <c r="C223" s="44" t="str">
        <f>'дод 4'!B121</f>
        <v>0640</v>
      </c>
      <c r="D223" s="24" t="str">
        <f>'дод 4'!C121</f>
        <v>Інша діяльність у сфері житлово-комунального господарства</v>
      </c>
      <c r="E223" s="69">
        <f>F223+I223</f>
        <v>175000</v>
      </c>
      <c r="F223" s="69">
        <v>175000</v>
      </c>
      <c r="G223" s="69"/>
      <c r="H223" s="69"/>
      <c r="I223" s="69"/>
      <c r="J223" s="69">
        <f t="shared" si="116"/>
        <v>0</v>
      </c>
      <c r="K223" s="69"/>
      <c r="L223" s="69"/>
      <c r="M223" s="69"/>
      <c r="N223" s="69"/>
      <c r="O223" s="69"/>
      <c r="P223" s="69">
        <f>E223+J223</f>
        <v>175000</v>
      </c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  <c r="JK223" s="26"/>
      <c r="JL223" s="26"/>
      <c r="JM223" s="26"/>
      <c r="JN223" s="26"/>
      <c r="JO223" s="26"/>
      <c r="JP223" s="26"/>
      <c r="JQ223" s="26"/>
      <c r="JR223" s="26"/>
      <c r="JS223" s="26"/>
      <c r="JT223" s="26"/>
      <c r="JU223" s="26"/>
      <c r="JV223" s="26"/>
      <c r="JW223" s="26"/>
      <c r="JX223" s="26"/>
      <c r="JY223" s="26"/>
      <c r="JZ223" s="26"/>
      <c r="KA223" s="26"/>
      <c r="KB223" s="26"/>
      <c r="KC223" s="26"/>
      <c r="KD223" s="26"/>
      <c r="KE223" s="26"/>
      <c r="KF223" s="26"/>
      <c r="KG223" s="26"/>
      <c r="KH223" s="26"/>
      <c r="KI223" s="26"/>
      <c r="KJ223" s="26"/>
      <c r="KK223" s="26"/>
      <c r="KL223" s="26"/>
      <c r="KM223" s="26"/>
      <c r="KN223" s="26"/>
      <c r="KO223" s="26"/>
      <c r="KP223" s="26"/>
      <c r="KQ223" s="26"/>
      <c r="KR223" s="26"/>
      <c r="KS223" s="26"/>
      <c r="KT223" s="26"/>
      <c r="KU223" s="26"/>
      <c r="KV223" s="26"/>
      <c r="KW223" s="26"/>
      <c r="KX223" s="26"/>
      <c r="KY223" s="26"/>
      <c r="KZ223" s="26"/>
      <c r="LA223" s="26"/>
      <c r="LB223" s="26"/>
      <c r="LC223" s="26"/>
      <c r="LD223" s="26"/>
      <c r="LE223" s="26"/>
      <c r="LF223" s="26"/>
      <c r="LG223" s="26"/>
      <c r="LH223" s="26"/>
      <c r="LI223" s="26"/>
      <c r="LJ223" s="26"/>
      <c r="LK223" s="26"/>
      <c r="LL223" s="26"/>
      <c r="LM223" s="26"/>
      <c r="LN223" s="26"/>
      <c r="LO223" s="26"/>
      <c r="LP223" s="26"/>
      <c r="LQ223" s="26"/>
      <c r="LR223" s="26"/>
      <c r="LS223" s="26"/>
      <c r="LT223" s="26"/>
      <c r="LU223" s="26"/>
      <c r="LV223" s="26"/>
      <c r="LW223" s="26"/>
      <c r="LX223" s="26"/>
      <c r="LY223" s="26"/>
      <c r="LZ223" s="26"/>
      <c r="MA223" s="26"/>
      <c r="MB223" s="26"/>
      <c r="MC223" s="26"/>
      <c r="MD223" s="26"/>
      <c r="ME223" s="26"/>
      <c r="MF223" s="26"/>
      <c r="MG223" s="26"/>
      <c r="MH223" s="26"/>
      <c r="MI223" s="26"/>
      <c r="MJ223" s="26"/>
      <c r="MK223" s="26"/>
      <c r="ML223" s="26"/>
      <c r="MM223" s="26"/>
      <c r="MN223" s="26"/>
      <c r="MO223" s="26"/>
      <c r="MP223" s="26"/>
      <c r="MQ223" s="26"/>
      <c r="MR223" s="26"/>
      <c r="MS223" s="26"/>
      <c r="MT223" s="26"/>
      <c r="MU223" s="26"/>
      <c r="MV223" s="26"/>
      <c r="MW223" s="26"/>
      <c r="MX223" s="26"/>
      <c r="MY223" s="26"/>
      <c r="MZ223" s="26"/>
      <c r="NA223" s="26"/>
      <c r="NB223" s="26"/>
      <c r="NC223" s="26"/>
      <c r="ND223" s="26"/>
      <c r="NE223" s="26"/>
      <c r="NF223" s="26"/>
      <c r="NG223" s="26"/>
      <c r="NH223" s="26"/>
      <c r="NI223" s="26"/>
      <c r="NJ223" s="26"/>
      <c r="NK223" s="26"/>
      <c r="NL223" s="26"/>
      <c r="NM223" s="26"/>
      <c r="NN223" s="26"/>
      <c r="NO223" s="26"/>
      <c r="NP223" s="26"/>
      <c r="NQ223" s="26"/>
      <c r="NR223" s="26"/>
      <c r="NS223" s="26"/>
      <c r="NT223" s="26"/>
      <c r="NU223" s="26"/>
      <c r="NV223" s="26"/>
      <c r="NW223" s="26"/>
      <c r="NX223" s="26"/>
      <c r="NY223" s="26"/>
      <c r="NZ223" s="26"/>
      <c r="OA223" s="26"/>
      <c r="OB223" s="26"/>
      <c r="OC223" s="26"/>
      <c r="OD223" s="26"/>
      <c r="OE223" s="26"/>
      <c r="OF223" s="26"/>
      <c r="OG223" s="26"/>
      <c r="OH223" s="26"/>
      <c r="OI223" s="26"/>
      <c r="OJ223" s="26"/>
      <c r="OK223" s="26"/>
      <c r="OL223" s="26"/>
      <c r="OM223" s="26"/>
      <c r="ON223" s="26"/>
      <c r="OO223" s="26"/>
      <c r="OP223" s="26"/>
      <c r="OQ223" s="26"/>
      <c r="OR223" s="26"/>
      <c r="OS223" s="26"/>
      <c r="OT223" s="26"/>
      <c r="OU223" s="26"/>
      <c r="OV223" s="26"/>
      <c r="OW223" s="26"/>
      <c r="OX223" s="26"/>
      <c r="OY223" s="26"/>
      <c r="OZ223" s="26"/>
      <c r="PA223" s="26"/>
      <c r="PB223" s="26"/>
      <c r="PC223" s="26"/>
      <c r="PD223" s="26"/>
      <c r="PE223" s="26"/>
      <c r="PF223" s="26"/>
      <c r="PG223" s="26"/>
      <c r="PH223" s="26"/>
      <c r="PI223" s="26"/>
      <c r="PJ223" s="26"/>
      <c r="PK223" s="26"/>
      <c r="PL223" s="26"/>
      <c r="PM223" s="26"/>
      <c r="PN223" s="26"/>
      <c r="PO223" s="26"/>
      <c r="PP223" s="26"/>
      <c r="PQ223" s="26"/>
      <c r="PR223" s="26"/>
      <c r="PS223" s="26"/>
      <c r="PT223" s="26"/>
      <c r="PU223" s="26"/>
      <c r="PV223" s="26"/>
      <c r="PW223" s="26"/>
      <c r="PX223" s="26"/>
      <c r="PY223" s="26"/>
      <c r="PZ223" s="26"/>
      <c r="QA223" s="26"/>
      <c r="QB223" s="26"/>
      <c r="QC223" s="26"/>
      <c r="QD223" s="26"/>
      <c r="QE223" s="26"/>
      <c r="QF223" s="26"/>
      <c r="QG223" s="26"/>
      <c r="QH223" s="26"/>
      <c r="QI223" s="26"/>
      <c r="QJ223" s="26"/>
      <c r="QK223" s="26"/>
      <c r="QL223" s="26"/>
      <c r="QM223" s="26"/>
      <c r="QN223" s="26"/>
      <c r="QO223" s="26"/>
      <c r="QP223" s="26"/>
      <c r="QQ223" s="26"/>
      <c r="QR223" s="26"/>
      <c r="QS223" s="26"/>
      <c r="QT223" s="26"/>
      <c r="QU223" s="26"/>
      <c r="QV223" s="26"/>
      <c r="QW223" s="26"/>
      <c r="QX223" s="26"/>
      <c r="QY223" s="26"/>
      <c r="QZ223" s="26"/>
      <c r="RA223" s="26"/>
      <c r="RB223" s="26"/>
      <c r="RC223" s="26"/>
      <c r="RD223" s="26"/>
      <c r="RE223" s="26"/>
      <c r="RF223" s="26"/>
      <c r="RG223" s="26"/>
      <c r="RH223" s="26"/>
      <c r="RI223" s="26"/>
      <c r="RJ223" s="26"/>
      <c r="RK223" s="26"/>
      <c r="RL223" s="26"/>
      <c r="RM223" s="26"/>
      <c r="RN223" s="26"/>
      <c r="RO223" s="26"/>
      <c r="RP223" s="26"/>
      <c r="RQ223" s="26"/>
      <c r="RR223" s="26"/>
      <c r="RS223" s="26"/>
      <c r="RT223" s="26"/>
      <c r="RU223" s="26"/>
      <c r="RV223" s="26"/>
      <c r="RW223" s="26"/>
      <c r="RX223" s="26"/>
      <c r="RY223" s="26"/>
      <c r="RZ223" s="26"/>
      <c r="SA223" s="26"/>
      <c r="SB223" s="26"/>
      <c r="SC223" s="26"/>
      <c r="SD223" s="26"/>
      <c r="SE223" s="26"/>
      <c r="SF223" s="26"/>
      <c r="SG223" s="26"/>
      <c r="SH223" s="26"/>
      <c r="SI223" s="26"/>
      <c r="SJ223" s="26"/>
      <c r="SK223" s="26"/>
      <c r="SL223" s="26"/>
      <c r="SM223" s="26"/>
      <c r="SN223" s="26"/>
      <c r="SO223" s="26"/>
      <c r="SP223" s="26"/>
      <c r="SQ223" s="26"/>
      <c r="SR223" s="26"/>
      <c r="SS223" s="26"/>
      <c r="ST223" s="26"/>
      <c r="SU223" s="26"/>
      <c r="SV223" s="26"/>
      <c r="SW223" s="26"/>
      <c r="SX223" s="26"/>
      <c r="SY223" s="26"/>
      <c r="SZ223" s="26"/>
      <c r="TA223" s="26"/>
      <c r="TB223" s="26"/>
      <c r="TC223" s="26"/>
      <c r="TD223" s="26"/>
      <c r="TE223" s="26"/>
      <c r="TF223" s="26"/>
      <c r="TG223" s="26"/>
      <c r="TH223" s="26"/>
      <c r="TI223" s="26"/>
    </row>
    <row r="224" spans="1:529" s="23" customFormat="1" ht="87.75" customHeight="1" x14ac:dyDescent="0.25">
      <c r="A224" s="52" t="s">
        <v>327</v>
      </c>
      <c r="B224" s="45" t="str">
        <f>'дод 4'!A159</f>
        <v>7691</v>
      </c>
      <c r="C224" s="45" t="str">
        <f>'дод 4'!B159</f>
        <v>0490</v>
      </c>
      <c r="D224" s="22" t="str">
        <f>'дод 4'!C159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4" s="69">
        <f>F224+I224</f>
        <v>0</v>
      </c>
      <c r="F224" s="69"/>
      <c r="G224" s="69"/>
      <c r="H224" s="69"/>
      <c r="I224" s="69"/>
      <c r="J224" s="69">
        <f t="shared" si="116"/>
        <v>2696249.54</v>
      </c>
      <c r="K224" s="69"/>
      <c r="L224" s="69">
        <f>1321371+1074878.54-450000-230000</f>
        <v>1716249.54</v>
      </c>
      <c r="M224" s="69"/>
      <c r="N224" s="69"/>
      <c r="O224" s="69">
        <f>300000+450000+230000</f>
        <v>980000</v>
      </c>
      <c r="P224" s="69">
        <f>E224+J224</f>
        <v>2696249.54</v>
      </c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  <c r="LB224" s="26"/>
      <c r="LC224" s="26"/>
      <c r="LD224" s="26"/>
      <c r="LE224" s="26"/>
      <c r="LF224" s="26"/>
      <c r="LG224" s="26"/>
      <c r="LH224" s="26"/>
      <c r="LI224" s="26"/>
      <c r="LJ224" s="26"/>
      <c r="LK224" s="26"/>
      <c r="LL224" s="26"/>
      <c r="LM224" s="26"/>
      <c r="LN224" s="26"/>
      <c r="LO224" s="26"/>
      <c r="LP224" s="26"/>
      <c r="LQ224" s="26"/>
      <c r="LR224" s="26"/>
      <c r="LS224" s="26"/>
      <c r="LT224" s="26"/>
      <c r="LU224" s="26"/>
      <c r="LV224" s="26"/>
      <c r="LW224" s="26"/>
      <c r="LX224" s="26"/>
      <c r="LY224" s="26"/>
      <c r="LZ224" s="26"/>
      <c r="MA224" s="26"/>
      <c r="MB224" s="26"/>
      <c r="MC224" s="26"/>
      <c r="MD224" s="26"/>
      <c r="ME224" s="26"/>
      <c r="MF224" s="26"/>
      <c r="MG224" s="26"/>
      <c r="MH224" s="26"/>
      <c r="MI224" s="26"/>
      <c r="MJ224" s="26"/>
      <c r="MK224" s="26"/>
      <c r="ML224" s="26"/>
      <c r="MM224" s="26"/>
      <c r="MN224" s="26"/>
      <c r="MO224" s="26"/>
      <c r="MP224" s="26"/>
      <c r="MQ224" s="26"/>
      <c r="MR224" s="26"/>
      <c r="MS224" s="26"/>
      <c r="MT224" s="26"/>
      <c r="MU224" s="26"/>
      <c r="MV224" s="26"/>
      <c r="MW224" s="26"/>
      <c r="MX224" s="26"/>
      <c r="MY224" s="26"/>
      <c r="MZ224" s="26"/>
      <c r="NA224" s="26"/>
      <c r="NB224" s="26"/>
      <c r="NC224" s="26"/>
      <c r="ND224" s="26"/>
      <c r="NE224" s="26"/>
      <c r="NF224" s="26"/>
      <c r="NG224" s="26"/>
      <c r="NH224" s="26"/>
      <c r="NI224" s="26"/>
      <c r="NJ224" s="26"/>
      <c r="NK224" s="26"/>
      <c r="NL224" s="26"/>
      <c r="NM224" s="26"/>
      <c r="NN224" s="26"/>
      <c r="NO224" s="26"/>
      <c r="NP224" s="26"/>
      <c r="NQ224" s="26"/>
      <c r="NR224" s="26"/>
      <c r="NS224" s="26"/>
      <c r="NT224" s="26"/>
      <c r="NU224" s="26"/>
      <c r="NV224" s="26"/>
      <c r="NW224" s="26"/>
      <c r="NX224" s="26"/>
      <c r="NY224" s="26"/>
      <c r="NZ224" s="26"/>
      <c r="OA224" s="26"/>
      <c r="OB224" s="26"/>
      <c r="OC224" s="26"/>
      <c r="OD224" s="26"/>
      <c r="OE224" s="26"/>
      <c r="OF224" s="26"/>
      <c r="OG224" s="26"/>
      <c r="OH224" s="26"/>
      <c r="OI224" s="26"/>
      <c r="OJ224" s="26"/>
      <c r="OK224" s="26"/>
      <c r="OL224" s="26"/>
      <c r="OM224" s="26"/>
      <c r="ON224" s="26"/>
      <c r="OO224" s="26"/>
      <c r="OP224" s="26"/>
      <c r="OQ224" s="26"/>
      <c r="OR224" s="26"/>
      <c r="OS224" s="26"/>
      <c r="OT224" s="26"/>
      <c r="OU224" s="26"/>
      <c r="OV224" s="26"/>
      <c r="OW224" s="26"/>
      <c r="OX224" s="26"/>
      <c r="OY224" s="26"/>
      <c r="OZ224" s="26"/>
      <c r="PA224" s="26"/>
      <c r="PB224" s="26"/>
      <c r="PC224" s="26"/>
      <c r="PD224" s="26"/>
      <c r="PE224" s="26"/>
      <c r="PF224" s="26"/>
      <c r="PG224" s="26"/>
      <c r="PH224" s="26"/>
      <c r="PI224" s="26"/>
      <c r="PJ224" s="26"/>
      <c r="PK224" s="26"/>
      <c r="PL224" s="26"/>
      <c r="PM224" s="26"/>
      <c r="PN224" s="26"/>
      <c r="PO224" s="26"/>
      <c r="PP224" s="26"/>
      <c r="PQ224" s="26"/>
      <c r="PR224" s="26"/>
      <c r="PS224" s="26"/>
      <c r="PT224" s="26"/>
      <c r="PU224" s="26"/>
      <c r="PV224" s="26"/>
      <c r="PW224" s="26"/>
      <c r="PX224" s="26"/>
      <c r="PY224" s="26"/>
      <c r="PZ224" s="26"/>
      <c r="QA224" s="26"/>
      <c r="QB224" s="26"/>
      <c r="QC224" s="26"/>
      <c r="QD224" s="26"/>
      <c r="QE224" s="26"/>
      <c r="QF224" s="26"/>
      <c r="QG224" s="26"/>
      <c r="QH224" s="26"/>
      <c r="QI224" s="26"/>
      <c r="QJ224" s="26"/>
      <c r="QK224" s="26"/>
      <c r="QL224" s="26"/>
      <c r="QM224" s="26"/>
      <c r="QN224" s="26"/>
      <c r="QO224" s="26"/>
      <c r="QP224" s="26"/>
      <c r="QQ224" s="26"/>
      <c r="QR224" s="26"/>
      <c r="QS224" s="26"/>
      <c r="QT224" s="26"/>
      <c r="QU224" s="26"/>
      <c r="QV224" s="26"/>
      <c r="QW224" s="26"/>
      <c r="QX224" s="26"/>
      <c r="QY224" s="26"/>
      <c r="QZ224" s="26"/>
      <c r="RA224" s="26"/>
      <c r="RB224" s="26"/>
      <c r="RC224" s="26"/>
      <c r="RD224" s="26"/>
      <c r="RE224" s="26"/>
      <c r="RF224" s="26"/>
      <c r="RG224" s="26"/>
      <c r="RH224" s="26"/>
      <c r="RI224" s="26"/>
      <c r="RJ224" s="26"/>
      <c r="RK224" s="26"/>
      <c r="RL224" s="26"/>
      <c r="RM224" s="26"/>
      <c r="RN224" s="26"/>
      <c r="RO224" s="26"/>
      <c r="RP224" s="26"/>
      <c r="RQ224" s="26"/>
      <c r="RR224" s="26"/>
      <c r="RS224" s="26"/>
      <c r="RT224" s="26"/>
      <c r="RU224" s="26"/>
      <c r="RV224" s="26"/>
      <c r="RW224" s="26"/>
      <c r="RX224" s="26"/>
      <c r="RY224" s="26"/>
      <c r="RZ224" s="26"/>
      <c r="SA224" s="26"/>
      <c r="SB224" s="26"/>
      <c r="SC224" s="26"/>
      <c r="SD224" s="26"/>
      <c r="SE224" s="26"/>
      <c r="SF224" s="26"/>
      <c r="SG224" s="26"/>
      <c r="SH224" s="26"/>
      <c r="SI224" s="26"/>
      <c r="SJ224" s="26"/>
      <c r="SK224" s="26"/>
      <c r="SL224" s="26"/>
      <c r="SM224" s="26"/>
      <c r="SN224" s="26"/>
      <c r="SO224" s="26"/>
      <c r="SP224" s="26"/>
      <c r="SQ224" s="26"/>
      <c r="SR224" s="26"/>
      <c r="SS224" s="26"/>
      <c r="ST224" s="26"/>
      <c r="SU224" s="26"/>
      <c r="SV224" s="26"/>
      <c r="SW224" s="26"/>
      <c r="SX224" s="26"/>
      <c r="SY224" s="26"/>
      <c r="SZ224" s="26"/>
      <c r="TA224" s="26"/>
      <c r="TB224" s="26"/>
      <c r="TC224" s="26"/>
      <c r="TD224" s="26"/>
      <c r="TE224" s="26"/>
      <c r="TF224" s="26"/>
      <c r="TG224" s="26"/>
      <c r="TH224" s="26"/>
      <c r="TI224" s="26"/>
    </row>
    <row r="225" spans="1:529" s="31" customFormat="1" ht="36.75" customHeight="1" x14ac:dyDescent="0.2">
      <c r="A225" s="156" t="s">
        <v>229</v>
      </c>
      <c r="B225" s="74"/>
      <c r="C225" s="74"/>
      <c r="D225" s="30" t="s">
        <v>46</v>
      </c>
      <c r="E225" s="66">
        <f>E226</f>
        <v>4291518</v>
      </c>
      <c r="F225" s="66">
        <f t="shared" ref="F225:J226" si="126">F226</f>
        <v>4291518</v>
      </c>
      <c r="G225" s="66">
        <f t="shared" si="126"/>
        <v>3320099</v>
      </c>
      <c r="H225" s="66">
        <f t="shared" si="126"/>
        <v>52700</v>
      </c>
      <c r="I225" s="66">
        <f t="shared" si="126"/>
        <v>0</v>
      </c>
      <c r="J225" s="66">
        <f t="shared" si="126"/>
        <v>0</v>
      </c>
      <c r="K225" s="66">
        <f t="shared" ref="K225:K226" si="127">K226</f>
        <v>0</v>
      </c>
      <c r="L225" s="66">
        <f t="shared" ref="L225:L226" si="128">L226</f>
        <v>0</v>
      </c>
      <c r="M225" s="66">
        <f t="shared" ref="M225:M226" si="129">M226</f>
        <v>0</v>
      </c>
      <c r="N225" s="66">
        <f t="shared" ref="N225:N226" si="130">N226</f>
        <v>0</v>
      </c>
      <c r="O225" s="66">
        <f t="shared" ref="O225:P226" si="131">O226</f>
        <v>0</v>
      </c>
      <c r="P225" s="66">
        <f t="shared" si="131"/>
        <v>4291518</v>
      </c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38"/>
      <c r="FQ225" s="38"/>
      <c r="FR225" s="38"/>
      <c r="FS225" s="38"/>
      <c r="FT225" s="38"/>
      <c r="FU225" s="38"/>
      <c r="FV225" s="38"/>
      <c r="FW225" s="38"/>
      <c r="FX225" s="38"/>
      <c r="FY225" s="38"/>
      <c r="FZ225" s="38"/>
      <c r="GA225" s="38"/>
      <c r="GB225" s="38"/>
      <c r="GC225" s="38"/>
      <c r="GD225" s="38"/>
      <c r="GE225" s="38"/>
      <c r="GF225" s="38"/>
      <c r="GG225" s="38"/>
      <c r="GH225" s="38"/>
      <c r="GI225" s="38"/>
      <c r="GJ225" s="38"/>
      <c r="GK225" s="38"/>
      <c r="GL225" s="38"/>
      <c r="GM225" s="38"/>
      <c r="GN225" s="38"/>
      <c r="GO225" s="38"/>
      <c r="GP225" s="38"/>
      <c r="GQ225" s="38"/>
      <c r="GR225" s="38"/>
      <c r="GS225" s="38"/>
      <c r="GT225" s="38"/>
      <c r="GU225" s="38"/>
      <c r="GV225" s="38"/>
      <c r="GW225" s="38"/>
      <c r="GX225" s="38"/>
      <c r="GY225" s="38"/>
      <c r="GZ225" s="38"/>
      <c r="HA225" s="38"/>
      <c r="HB225" s="38"/>
      <c r="HC225" s="38"/>
      <c r="HD225" s="38"/>
      <c r="HE225" s="38"/>
      <c r="HF225" s="38"/>
      <c r="HG225" s="38"/>
      <c r="HH225" s="38"/>
      <c r="HI225" s="38"/>
      <c r="HJ225" s="38"/>
      <c r="HK225" s="38"/>
      <c r="HL225" s="38"/>
      <c r="HM225" s="38"/>
      <c r="HN225" s="38"/>
      <c r="HO225" s="38"/>
      <c r="HP225" s="38"/>
      <c r="HQ225" s="38"/>
      <c r="HR225" s="38"/>
      <c r="HS225" s="38"/>
      <c r="HT225" s="38"/>
      <c r="HU225" s="38"/>
      <c r="HV225" s="38"/>
      <c r="HW225" s="38"/>
      <c r="HX225" s="38"/>
      <c r="HY225" s="38"/>
      <c r="HZ225" s="38"/>
      <c r="IA225" s="38"/>
      <c r="IB225" s="38"/>
      <c r="IC225" s="38"/>
      <c r="ID225" s="38"/>
      <c r="IE225" s="38"/>
      <c r="IF225" s="38"/>
      <c r="IG225" s="38"/>
      <c r="IH225" s="38"/>
      <c r="II225" s="38"/>
      <c r="IJ225" s="38"/>
      <c r="IK225" s="38"/>
      <c r="IL225" s="38"/>
      <c r="IM225" s="38"/>
      <c r="IN225" s="38"/>
      <c r="IO225" s="38"/>
      <c r="IP225" s="38"/>
      <c r="IQ225" s="38"/>
      <c r="IR225" s="38"/>
      <c r="IS225" s="38"/>
      <c r="IT225" s="38"/>
      <c r="IU225" s="38"/>
      <c r="IV225" s="38"/>
      <c r="IW225" s="38"/>
      <c r="IX225" s="38"/>
      <c r="IY225" s="38"/>
      <c r="IZ225" s="38"/>
      <c r="JA225" s="38"/>
      <c r="JB225" s="38"/>
      <c r="JC225" s="38"/>
      <c r="JD225" s="38"/>
      <c r="JE225" s="38"/>
      <c r="JF225" s="38"/>
      <c r="JG225" s="38"/>
      <c r="JH225" s="38"/>
      <c r="JI225" s="38"/>
      <c r="JJ225" s="38"/>
      <c r="JK225" s="38"/>
      <c r="JL225" s="38"/>
      <c r="JM225" s="38"/>
      <c r="JN225" s="38"/>
      <c r="JO225" s="38"/>
      <c r="JP225" s="38"/>
      <c r="JQ225" s="38"/>
      <c r="JR225" s="38"/>
      <c r="JS225" s="38"/>
      <c r="JT225" s="38"/>
      <c r="JU225" s="38"/>
      <c r="JV225" s="38"/>
      <c r="JW225" s="38"/>
      <c r="JX225" s="38"/>
      <c r="JY225" s="38"/>
      <c r="JZ225" s="38"/>
      <c r="KA225" s="38"/>
      <c r="KB225" s="38"/>
      <c r="KC225" s="38"/>
      <c r="KD225" s="38"/>
      <c r="KE225" s="38"/>
      <c r="KF225" s="38"/>
      <c r="KG225" s="38"/>
      <c r="KH225" s="38"/>
      <c r="KI225" s="38"/>
      <c r="KJ225" s="38"/>
      <c r="KK225" s="38"/>
      <c r="KL225" s="38"/>
      <c r="KM225" s="38"/>
      <c r="KN225" s="38"/>
      <c r="KO225" s="38"/>
      <c r="KP225" s="38"/>
      <c r="KQ225" s="38"/>
      <c r="KR225" s="38"/>
      <c r="KS225" s="38"/>
      <c r="KT225" s="38"/>
      <c r="KU225" s="38"/>
      <c r="KV225" s="38"/>
      <c r="KW225" s="38"/>
      <c r="KX225" s="38"/>
      <c r="KY225" s="38"/>
      <c r="KZ225" s="38"/>
      <c r="LA225" s="38"/>
      <c r="LB225" s="38"/>
      <c r="LC225" s="38"/>
      <c r="LD225" s="38"/>
      <c r="LE225" s="38"/>
      <c r="LF225" s="38"/>
      <c r="LG225" s="38"/>
      <c r="LH225" s="38"/>
      <c r="LI225" s="38"/>
      <c r="LJ225" s="38"/>
      <c r="LK225" s="38"/>
      <c r="LL225" s="38"/>
      <c r="LM225" s="38"/>
      <c r="LN225" s="38"/>
      <c r="LO225" s="38"/>
      <c r="LP225" s="38"/>
      <c r="LQ225" s="38"/>
      <c r="LR225" s="38"/>
      <c r="LS225" s="38"/>
      <c r="LT225" s="38"/>
      <c r="LU225" s="38"/>
      <c r="LV225" s="38"/>
      <c r="LW225" s="38"/>
      <c r="LX225" s="38"/>
      <c r="LY225" s="38"/>
      <c r="LZ225" s="38"/>
      <c r="MA225" s="38"/>
      <c r="MB225" s="38"/>
      <c r="MC225" s="38"/>
      <c r="MD225" s="38"/>
      <c r="ME225" s="38"/>
      <c r="MF225" s="38"/>
      <c r="MG225" s="38"/>
      <c r="MH225" s="38"/>
      <c r="MI225" s="38"/>
      <c r="MJ225" s="38"/>
      <c r="MK225" s="38"/>
      <c r="ML225" s="38"/>
      <c r="MM225" s="38"/>
      <c r="MN225" s="38"/>
      <c r="MO225" s="38"/>
      <c r="MP225" s="38"/>
      <c r="MQ225" s="38"/>
      <c r="MR225" s="38"/>
      <c r="MS225" s="38"/>
      <c r="MT225" s="38"/>
      <c r="MU225" s="38"/>
      <c r="MV225" s="38"/>
      <c r="MW225" s="38"/>
      <c r="MX225" s="38"/>
      <c r="MY225" s="38"/>
      <c r="MZ225" s="38"/>
      <c r="NA225" s="38"/>
      <c r="NB225" s="38"/>
      <c r="NC225" s="38"/>
      <c r="ND225" s="38"/>
      <c r="NE225" s="38"/>
      <c r="NF225" s="38"/>
      <c r="NG225" s="38"/>
      <c r="NH225" s="38"/>
      <c r="NI225" s="38"/>
      <c r="NJ225" s="38"/>
      <c r="NK225" s="38"/>
      <c r="NL225" s="38"/>
      <c r="NM225" s="38"/>
      <c r="NN225" s="38"/>
      <c r="NO225" s="38"/>
      <c r="NP225" s="38"/>
      <c r="NQ225" s="38"/>
      <c r="NR225" s="38"/>
      <c r="NS225" s="38"/>
      <c r="NT225" s="38"/>
      <c r="NU225" s="38"/>
      <c r="NV225" s="38"/>
      <c r="NW225" s="38"/>
      <c r="NX225" s="38"/>
      <c r="NY225" s="38"/>
      <c r="NZ225" s="38"/>
      <c r="OA225" s="38"/>
      <c r="OB225" s="38"/>
      <c r="OC225" s="38"/>
      <c r="OD225" s="38"/>
      <c r="OE225" s="38"/>
      <c r="OF225" s="38"/>
      <c r="OG225" s="38"/>
      <c r="OH225" s="38"/>
      <c r="OI225" s="38"/>
      <c r="OJ225" s="38"/>
      <c r="OK225" s="38"/>
      <c r="OL225" s="38"/>
      <c r="OM225" s="38"/>
      <c r="ON225" s="38"/>
      <c r="OO225" s="38"/>
      <c r="OP225" s="38"/>
      <c r="OQ225" s="38"/>
      <c r="OR225" s="38"/>
      <c r="OS225" s="38"/>
      <c r="OT225" s="38"/>
      <c r="OU225" s="38"/>
      <c r="OV225" s="38"/>
      <c r="OW225" s="38"/>
      <c r="OX225" s="38"/>
      <c r="OY225" s="38"/>
      <c r="OZ225" s="38"/>
      <c r="PA225" s="38"/>
      <c r="PB225" s="38"/>
      <c r="PC225" s="38"/>
      <c r="PD225" s="38"/>
      <c r="PE225" s="38"/>
      <c r="PF225" s="38"/>
      <c r="PG225" s="38"/>
      <c r="PH225" s="38"/>
      <c r="PI225" s="38"/>
      <c r="PJ225" s="38"/>
      <c r="PK225" s="38"/>
      <c r="PL225" s="38"/>
      <c r="PM225" s="38"/>
      <c r="PN225" s="38"/>
      <c r="PO225" s="38"/>
      <c r="PP225" s="38"/>
      <c r="PQ225" s="38"/>
      <c r="PR225" s="38"/>
      <c r="PS225" s="38"/>
      <c r="PT225" s="38"/>
      <c r="PU225" s="38"/>
      <c r="PV225" s="38"/>
      <c r="PW225" s="38"/>
      <c r="PX225" s="38"/>
      <c r="PY225" s="38"/>
      <c r="PZ225" s="38"/>
      <c r="QA225" s="38"/>
      <c r="QB225" s="38"/>
      <c r="QC225" s="38"/>
      <c r="QD225" s="38"/>
      <c r="QE225" s="38"/>
      <c r="QF225" s="38"/>
      <c r="QG225" s="38"/>
      <c r="QH225" s="38"/>
      <c r="QI225" s="38"/>
      <c r="QJ225" s="38"/>
      <c r="QK225" s="38"/>
      <c r="QL225" s="38"/>
      <c r="QM225" s="38"/>
      <c r="QN225" s="38"/>
      <c r="QO225" s="38"/>
      <c r="QP225" s="38"/>
      <c r="QQ225" s="38"/>
      <c r="QR225" s="38"/>
      <c r="QS225" s="38"/>
      <c r="QT225" s="38"/>
      <c r="QU225" s="38"/>
      <c r="QV225" s="38"/>
      <c r="QW225" s="38"/>
      <c r="QX225" s="38"/>
      <c r="QY225" s="38"/>
      <c r="QZ225" s="38"/>
      <c r="RA225" s="38"/>
      <c r="RB225" s="38"/>
      <c r="RC225" s="38"/>
      <c r="RD225" s="38"/>
      <c r="RE225" s="38"/>
      <c r="RF225" s="38"/>
      <c r="RG225" s="38"/>
      <c r="RH225" s="38"/>
      <c r="RI225" s="38"/>
      <c r="RJ225" s="38"/>
      <c r="RK225" s="38"/>
      <c r="RL225" s="38"/>
      <c r="RM225" s="38"/>
      <c r="RN225" s="38"/>
      <c r="RO225" s="38"/>
      <c r="RP225" s="38"/>
      <c r="RQ225" s="38"/>
      <c r="RR225" s="38"/>
      <c r="RS225" s="38"/>
      <c r="RT225" s="38"/>
      <c r="RU225" s="38"/>
      <c r="RV225" s="38"/>
      <c r="RW225" s="38"/>
      <c r="RX225" s="38"/>
      <c r="RY225" s="38"/>
      <c r="RZ225" s="38"/>
      <c r="SA225" s="38"/>
      <c r="SB225" s="38"/>
      <c r="SC225" s="38"/>
      <c r="SD225" s="38"/>
      <c r="SE225" s="38"/>
      <c r="SF225" s="38"/>
      <c r="SG225" s="38"/>
      <c r="SH225" s="38"/>
      <c r="SI225" s="38"/>
      <c r="SJ225" s="38"/>
      <c r="SK225" s="38"/>
      <c r="SL225" s="38"/>
      <c r="SM225" s="38"/>
      <c r="SN225" s="38"/>
      <c r="SO225" s="38"/>
      <c r="SP225" s="38"/>
      <c r="SQ225" s="38"/>
      <c r="SR225" s="38"/>
      <c r="SS225" s="38"/>
      <c r="ST225" s="38"/>
      <c r="SU225" s="38"/>
      <c r="SV225" s="38"/>
      <c r="SW225" s="38"/>
      <c r="SX225" s="38"/>
      <c r="SY225" s="38"/>
      <c r="SZ225" s="38"/>
      <c r="TA225" s="38"/>
      <c r="TB225" s="38"/>
      <c r="TC225" s="38"/>
      <c r="TD225" s="38"/>
      <c r="TE225" s="38"/>
      <c r="TF225" s="38"/>
      <c r="TG225" s="38"/>
      <c r="TH225" s="38"/>
      <c r="TI225" s="38"/>
    </row>
    <row r="226" spans="1:529" s="40" customFormat="1" ht="35.25" customHeight="1" x14ac:dyDescent="0.25">
      <c r="A226" s="76" t="s">
        <v>227</v>
      </c>
      <c r="B226" s="75"/>
      <c r="C226" s="75"/>
      <c r="D226" s="33" t="s">
        <v>46</v>
      </c>
      <c r="E226" s="68">
        <f>E227</f>
        <v>4291518</v>
      </c>
      <c r="F226" s="68">
        <f t="shared" si="126"/>
        <v>4291518</v>
      </c>
      <c r="G226" s="68">
        <f t="shared" si="126"/>
        <v>3320099</v>
      </c>
      <c r="H226" s="68">
        <f t="shared" si="126"/>
        <v>52700</v>
      </c>
      <c r="I226" s="68">
        <f t="shared" si="126"/>
        <v>0</v>
      </c>
      <c r="J226" s="68">
        <f t="shared" si="126"/>
        <v>0</v>
      </c>
      <c r="K226" s="68">
        <f t="shared" si="127"/>
        <v>0</v>
      </c>
      <c r="L226" s="68">
        <f t="shared" si="128"/>
        <v>0</v>
      </c>
      <c r="M226" s="68">
        <f t="shared" si="129"/>
        <v>0</v>
      </c>
      <c r="N226" s="68">
        <f t="shared" si="130"/>
        <v>0</v>
      </c>
      <c r="O226" s="68">
        <f t="shared" si="131"/>
        <v>0</v>
      </c>
      <c r="P226" s="68">
        <f t="shared" si="131"/>
        <v>4291518</v>
      </c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/>
      <c r="HY226" s="39"/>
      <c r="HZ226" s="39"/>
      <c r="IA226" s="39"/>
      <c r="IB226" s="39"/>
      <c r="IC226" s="39"/>
      <c r="ID226" s="39"/>
      <c r="IE226" s="39"/>
      <c r="IF226" s="39"/>
      <c r="IG226" s="39"/>
      <c r="IH226" s="39"/>
      <c r="II226" s="39"/>
      <c r="IJ226" s="39"/>
      <c r="IK226" s="39"/>
      <c r="IL226" s="39"/>
      <c r="IM226" s="39"/>
      <c r="IN226" s="39"/>
      <c r="IO226" s="39"/>
      <c r="IP226" s="39"/>
      <c r="IQ226" s="39"/>
      <c r="IR226" s="39"/>
      <c r="IS226" s="39"/>
      <c r="IT226" s="39"/>
      <c r="IU226" s="39"/>
      <c r="IV226" s="39"/>
      <c r="IW226" s="39"/>
      <c r="IX226" s="39"/>
      <c r="IY226" s="39"/>
      <c r="IZ226" s="39"/>
      <c r="JA226" s="39"/>
      <c r="JB226" s="39"/>
      <c r="JC226" s="39"/>
      <c r="JD226" s="39"/>
      <c r="JE226" s="39"/>
      <c r="JF226" s="39"/>
      <c r="JG226" s="39"/>
      <c r="JH226" s="39"/>
      <c r="JI226" s="39"/>
      <c r="JJ226" s="39"/>
      <c r="JK226" s="39"/>
      <c r="JL226" s="39"/>
      <c r="JM226" s="39"/>
      <c r="JN226" s="39"/>
      <c r="JO226" s="39"/>
      <c r="JP226" s="39"/>
      <c r="JQ226" s="39"/>
      <c r="JR226" s="39"/>
      <c r="JS226" s="39"/>
      <c r="JT226" s="39"/>
      <c r="JU226" s="39"/>
      <c r="JV226" s="39"/>
      <c r="JW226" s="39"/>
      <c r="JX226" s="39"/>
      <c r="JY226" s="39"/>
      <c r="JZ226" s="39"/>
      <c r="KA226" s="39"/>
      <c r="KB226" s="39"/>
      <c r="KC226" s="39"/>
      <c r="KD226" s="39"/>
      <c r="KE226" s="39"/>
      <c r="KF226" s="39"/>
      <c r="KG226" s="39"/>
      <c r="KH226" s="39"/>
      <c r="KI226" s="39"/>
      <c r="KJ226" s="39"/>
      <c r="KK226" s="39"/>
      <c r="KL226" s="39"/>
      <c r="KM226" s="39"/>
      <c r="KN226" s="39"/>
      <c r="KO226" s="39"/>
      <c r="KP226" s="39"/>
      <c r="KQ226" s="39"/>
      <c r="KR226" s="39"/>
      <c r="KS226" s="39"/>
      <c r="KT226" s="39"/>
      <c r="KU226" s="39"/>
      <c r="KV226" s="39"/>
      <c r="KW226" s="39"/>
      <c r="KX226" s="39"/>
      <c r="KY226" s="39"/>
      <c r="KZ226" s="39"/>
      <c r="LA226" s="39"/>
      <c r="LB226" s="39"/>
      <c r="LC226" s="39"/>
      <c r="LD226" s="39"/>
      <c r="LE226" s="39"/>
      <c r="LF226" s="39"/>
      <c r="LG226" s="39"/>
      <c r="LH226" s="39"/>
      <c r="LI226" s="39"/>
      <c r="LJ226" s="39"/>
      <c r="LK226" s="39"/>
      <c r="LL226" s="39"/>
      <c r="LM226" s="39"/>
      <c r="LN226" s="39"/>
      <c r="LO226" s="39"/>
      <c r="LP226" s="39"/>
      <c r="LQ226" s="39"/>
      <c r="LR226" s="39"/>
      <c r="LS226" s="39"/>
      <c r="LT226" s="39"/>
      <c r="LU226" s="39"/>
      <c r="LV226" s="39"/>
      <c r="LW226" s="39"/>
      <c r="LX226" s="39"/>
      <c r="LY226" s="39"/>
      <c r="LZ226" s="39"/>
      <c r="MA226" s="39"/>
      <c r="MB226" s="39"/>
      <c r="MC226" s="39"/>
      <c r="MD226" s="39"/>
      <c r="ME226" s="39"/>
      <c r="MF226" s="39"/>
      <c r="MG226" s="39"/>
      <c r="MH226" s="39"/>
      <c r="MI226" s="39"/>
      <c r="MJ226" s="39"/>
      <c r="MK226" s="39"/>
      <c r="ML226" s="39"/>
      <c r="MM226" s="39"/>
      <c r="MN226" s="39"/>
      <c r="MO226" s="39"/>
      <c r="MP226" s="39"/>
      <c r="MQ226" s="39"/>
      <c r="MR226" s="39"/>
      <c r="MS226" s="39"/>
      <c r="MT226" s="39"/>
      <c r="MU226" s="39"/>
      <c r="MV226" s="39"/>
      <c r="MW226" s="39"/>
      <c r="MX226" s="39"/>
      <c r="MY226" s="39"/>
      <c r="MZ226" s="39"/>
      <c r="NA226" s="39"/>
      <c r="NB226" s="39"/>
      <c r="NC226" s="39"/>
      <c r="ND226" s="39"/>
      <c r="NE226" s="39"/>
      <c r="NF226" s="39"/>
      <c r="NG226" s="39"/>
      <c r="NH226" s="39"/>
      <c r="NI226" s="39"/>
      <c r="NJ226" s="39"/>
      <c r="NK226" s="39"/>
      <c r="NL226" s="39"/>
      <c r="NM226" s="39"/>
      <c r="NN226" s="39"/>
      <c r="NO226" s="39"/>
      <c r="NP226" s="39"/>
      <c r="NQ226" s="39"/>
      <c r="NR226" s="39"/>
      <c r="NS226" s="39"/>
      <c r="NT226" s="39"/>
      <c r="NU226" s="39"/>
      <c r="NV226" s="39"/>
      <c r="NW226" s="39"/>
      <c r="NX226" s="39"/>
      <c r="NY226" s="39"/>
      <c r="NZ226" s="39"/>
      <c r="OA226" s="39"/>
      <c r="OB226" s="39"/>
      <c r="OC226" s="39"/>
      <c r="OD226" s="39"/>
      <c r="OE226" s="39"/>
      <c r="OF226" s="39"/>
      <c r="OG226" s="39"/>
      <c r="OH226" s="39"/>
      <c r="OI226" s="39"/>
      <c r="OJ226" s="39"/>
      <c r="OK226" s="39"/>
      <c r="OL226" s="39"/>
      <c r="OM226" s="39"/>
      <c r="ON226" s="39"/>
      <c r="OO226" s="39"/>
      <c r="OP226" s="39"/>
      <c r="OQ226" s="39"/>
      <c r="OR226" s="39"/>
      <c r="OS226" s="39"/>
      <c r="OT226" s="39"/>
      <c r="OU226" s="39"/>
      <c r="OV226" s="39"/>
      <c r="OW226" s="39"/>
      <c r="OX226" s="39"/>
      <c r="OY226" s="39"/>
      <c r="OZ226" s="39"/>
      <c r="PA226" s="39"/>
      <c r="PB226" s="39"/>
      <c r="PC226" s="39"/>
      <c r="PD226" s="39"/>
      <c r="PE226" s="39"/>
      <c r="PF226" s="39"/>
      <c r="PG226" s="39"/>
      <c r="PH226" s="39"/>
      <c r="PI226" s="39"/>
      <c r="PJ226" s="39"/>
      <c r="PK226" s="39"/>
      <c r="PL226" s="39"/>
      <c r="PM226" s="39"/>
      <c r="PN226" s="39"/>
      <c r="PO226" s="39"/>
      <c r="PP226" s="39"/>
      <c r="PQ226" s="39"/>
      <c r="PR226" s="39"/>
      <c r="PS226" s="39"/>
      <c r="PT226" s="39"/>
      <c r="PU226" s="39"/>
      <c r="PV226" s="39"/>
      <c r="PW226" s="39"/>
      <c r="PX226" s="39"/>
      <c r="PY226" s="39"/>
      <c r="PZ226" s="39"/>
      <c r="QA226" s="39"/>
      <c r="QB226" s="39"/>
      <c r="QC226" s="39"/>
      <c r="QD226" s="39"/>
      <c r="QE226" s="39"/>
      <c r="QF226" s="39"/>
      <c r="QG226" s="39"/>
      <c r="QH226" s="39"/>
      <c r="QI226" s="39"/>
      <c r="QJ226" s="39"/>
      <c r="QK226" s="39"/>
      <c r="QL226" s="39"/>
      <c r="QM226" s="39"/>
      <c r="QN226" s="39"/>
      <c r="QO226" s="39"/>
      <c r="QP226" s="39"/>
      <c r="QQ226" s="39"/>
      <c r="QR226" s="39"/>
      <c r="QS226" s="39"/>
      <c r="QT226" s="39"/>
      <c r="QU226" s="39"/>
      <c r="QV226" s="39"/>
      <c r="QW226" s="39"/>
      <c r="QX226" s="39"/>
      <c r="QY226" s="39"/>
      <c r="QZ226" s="39"/>
      <c r="RA226" s="39"/>
      <c r="RB226" s="39"/>
      <c r="RC226" s="39"/>
      <c r="RD226" s="39"/>
      <c r="RE226" s="39"/>
      <c r="RF226" s="39"/>
      <c r="RG226" s="39"/>
      <c r="RH226" s="39"/>
      <c r="RI226" s="39"/>
      <c r="RJ226" s="39"/>
      <c r="RK226" s="39"/>
      <c r="RL226" s="39"/>
      <c r="RM226" s="39"/>
      <c r="RN226" s="39"/>
      <c r="RO226" s="39"/>
      <c r="RP226" s="39"/>
      <c r="RQ226" s="39"/>
      <c r="RR226" s="39"/>
      <c r="RS226" s="39"/>
      <c r="RT226" s="39"/>
      <c r="RU226" s="39"/>
      <c r="RV226" s="39"/>
      <c r="RW226" s="39"/>
      <c r="RX226" s="39"/>
      <c r="RY226" s="39"/>
      <c r="RZ226" s="39"/>
      <c r="SA226" s="39"/>
      <c r="SB226" s="39"/>
      <c r="SC226" s="39"/>
      <c r="SD226" s="39"/>
      <c r="SE226" s="39"/>
      <c r="SF226" s="39"/>
      <c r="SG226" s="39"/>
      <c r="SH226" s="39"/>
      <c r="SI226" s="39"/>
      <c r="SJ226" s="39"/>
      <c r="SK226" s="39"/>
      <c r="SL226" s="39"/>
      <c r="SM226" s="39"/>
      <c r="SN226" s="39"/>
      <c r="SO226" s="39"/>
      <c r="SP226" s="39"/>
      <c r="SQ226" s="39"/>
      <c r="SR226" s="39"/>
      <c r="SS226" s="39"/>
      <c r="ST226" s="39"/>
      <c r="SU226" s="39"/>
      <c r="SV226" s="39"/>
      <c r="SW226" s="39"/>
      <c r="SX226" s="39"/>
      <c r="SY226" s="39"/>
      <c r="SZ226" s="39"/>
      <c r="TA226" s="39"/>
      <c r="TB226" s="39"/>
      <c r="TC226" s="39"/>
      <c r="TD226" s="39"/>
      <c r="TE226" s="39"/>
      <c r="TF226" s="39"/>
      <c r="TG226" s="39"/>
      <c r="TH226" s="39"/>
      <c r="TI226" s="39"/>
    </row>
    <row r="227" spans="1:529" s="23" customFormat="1" ht="43.5" customHeight="1" x14ac:dyDescent="0.25">
      <c r="A227" s="43" t="s">
        <v>228</v>
      </c>
      <c r="B227" s="44" t="str">
        <f>'дод 4'!A20</f>
        <v>0160</v>
      </c>
      <c r="C227" s="44" t="str">
        <f>'дод 4'!B20</f>
        <v>0111</v>
      </c>
      <c r="D22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27" s="69">
        <f>F227+I227</f>
        <v>4291518</v>
      </c>
      <c r="F227" s="69">
        <f>4985700+21800-233000-243482-9500-230000</f>
        <v>4291518</v>
      </c>
      <c r="G227" s="69">
        <f>3907000-191000-199575-7800-188526</f>
        <v>3320099</v>
      </c>
      <c r="H227" s="69">
        <v>52700</v>
      </c>
      <c r="I227" s="69"/>
      <c r="J227" s="69">
        <f>L227+O227</f>
        <v>0</v>
      </c>
      <c r="K227" s="69"/>
      <c r="L227" s="69"/>
      <c r="M227" s="69"/>
      <c r="N227" s="69"/>
      <c r="O227" s="69"/>
      <c r="P227" s="69">
        <f>E227+J227</f>
        <v>4291518</v>
      </c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  <c r="IW227" s="26"/>
      <c r="IX227" s="26"/>
      <c r="IY227" s="26"/>
      <c r="IZ227" s="26"/>
      <c r="JA227" s="26"/>
      <c r="JB227" s="26"/>
      <c r="JC227" s="26"/>
      <c r="JD227" s="26"/>
      <c r="JE227" s="26"/>
      <c r="JF227" s="26"/>
      <c r="JG227" s="26"/>
      <c r="JH227" s="26"/>
      <c r="JI227" s="26"/>
      <c r="JJ227" s="26"/>
      <c r="JK227" s="26"/>
      <c r="JL227" s="26"/>
      <c r="JM227" s="26"/>
      <c r="JN227" s="26"/>
      <c r="JO227" s="26"/>
      <c r="JP227" s="26"/>
      <c r="JQ227" s="26"/>
      <c r="JR227" s="26"/>
      <c r="JS227" s="26"/>
      <c r="JT227" s="26"/>
      <c r="JU227" s="26"/>
      <c r="JV227" s="26"/>
      <c r="JW227" s="26"/>
      <c r="JX227" s="26"/>
      <c r="JY227" s="26"/>
      <c r="JZ227" s="26"/>
      <c r="KA227" s="26"/>
      <c r="KB227" s="26"/>
      <c r="KC227" s="26"/>
      <c r="KD227" s="26"/>
      <c r="KE227" s="26"/>
      <c r="KF227" s="26"/>
      <c r="KG227" s="26"/>
      <c r="KH227" s="26"/>
      <c r="KI227" s="26"/>
      <c r="KJ227" s="26"/>
      <c r="KK227" s="26"/>
      <c r="KL227" s="26"/>
      <c r="KM227" s="26"/>
      <c r="KN227" s="26"/>
      <c r="KO227" s="26"/>
      <c r="KP227" s="26"/>
      <c r="KQ227" s="26"/>
      <c r="KR227" s="26"/>
      <c r="KS227" s="26"/>
      <c r="KT227" s="26"/>
      <c r="KU227" s="26"/>
      <c r="KV227" s="26"/>
      <c r="KW227" s="26"/>
      <c r="KX227" s="26"/>
      <c r="KY227" s="26"/>
      <c r="KZ227" s="26"/>
      <c r="LA227" s="26"/>
      <c r="LB227" s="26"/>
      <c r="LC227" s="26"/>
      <c r="LD227" s="26"/>
      <c r="LE227" s="26"/>
      <c r="LF227" s="26"/>
      <c r="LG227" s="26"/>
      <c r="LH227" s="26"/>
      <c r="LI227" s="26"/>
      <c r="LJ227" s="26"/>
      <c r="LK227" s="26"/>
      <c r="LL227" s="26"/>
      <c r="LM227" s="26"/>
      <c r="LN227" s="26"/>
      <c r="LO227" s="26"/>
      <c r="LP227" s="26"/>
      <c r="LQ227" s="26"/>
      <c r="LR227" s="26"/>
      <c r="LS227" s="26"/>
      <c r="LT227" s="26"/>
      <c r="LU227" s="26"/>
      <c r="LV227" s="26"/>
      <c r="LW227" s="26"/>
      <c r="LX227" s="26"/>
      <c r="LY227" s="26"/>
      <c r="LZ227" s="26"/>
      <c r="MA227" s="26"/>
      <c r="MB227" s="26"/>
      <c r="MC227" s="26"/>
      <c r="MD227" s="26"/>
      <c r="ME227" s="26"/>
      <c r="MF227" s="26"/>
      <c r="MG227" s="26"/>
      <c r="MH227" s="26"/>
      <c r="MI227" s="26"/>
      <c r="MJ227" s="26"/>
      <c r="MK227" s="26"/>
      <c r="ML227" s="26"/>
      <c r="MM227" s="26"/>
      <c r="MN227" s="26"/>
      <c r="MO227" s="26"/>
      <c r="MP227" s="26"/>
      <c r="MQ227" s="26"/>
      <c r="MR227" s="26"/>
      <c r="MS227" s="26"/>
      <c r="MT227" s="26"/>
      <c r="MU227" s="26"/>
      <c r="MV227" s="26"/>
      <c r="MW227" s="26"/>
      <c r="MX227" s="26"/>
      <c r="MY227" s="26"/>
      <c r="MZ227" s="26"/>
      <c r="NA227" s="26"/>
      <c r="NB227" s="26"/>
      <c r="NC227" s="26"/>
      <c r="ND227" s="26"/>
      <c r="NE227" s="26"/>
      <c r="NF227" s="26"/>
      <c r="NG227" s="26"/>
      <c r="NH227" s="26"/>
      <c r="NI227" s="26"/>
      <c r="NJ227" s="26"/>
      <c r="NK227" s="26"/>
      <c r="NL227" s="26"/>
      <c r="NM227" s="26"/>
      <c r="NN227" s="26"/>
      <c r="NO227" s="26"/>
      <c r="NP227" s="26"/>
      <c r="NQ227" s="26"/>
      <c r="NR227" s="26"/>
      <c r="NS227" s="26"/>
      <c r="NT227" s="26"/>
      <c r="NU227" s="26"/>
      <c r="NV227" s="26"/>
      <c r="NW227" s="26"/>
      <c r="NX227" s="26"/>
      <c r="NY227" s="26"/>
      <c r="NZ227" s="26"/>
      <c r="OA227" s="26"/>
      <c r="OB227" s="26"/>
      <c r="OC227" s="26"/>
      <c r="OD227" s="26"/>
      <c r="OE227" s="26"/>
      <c r="OF227" s="26"/>
      <c r="OG227" s="26"/>
      <c r="OH227" s="26"/>
      <c r="OI227" s="26"/>
      <c r="OJ227" s="26"/>
      <c r="OK227" s="26"/>
      <c r="OL227" s="26"/>
      <c r="OM227" s="26"/>
      <c r="ON227" s="26"/>
      <c r="OO227" s="26"/>
      <c r="OP227" s="26"/>
      <c r="OQ227" s="26"/>
      <c r="OR227" s="26"/>
      <c r="OS227" s="26"/>
      <c r="OT227" s="26"/>
      <c r="OU227" s="26"/>
      <c r="OV227" s="26"/>
      <c r="OW227" s="26"/>
      <c r="OX227" s="26"/>
      <c r="OY227" s="26"/>
      <c r="OZ227" s="26"/>
      <c r="PA227" s="26"/>
      <c r="PB227" s="26"/>
      <c r="PC227" s="26"/>
      <c r="PD227" s="26"/>
      <c r="PE227" s="26"/>
      <c r="PF227" s="26"/>
      <c r="PG227" s="26"/>
      <c r="PH227" s="26"/>
      <c r="PI227" s="26"/>
      <c r="PJ227" s="26"/>
      <c r="PK227" s="26"/>
      <c r="PL227" s="26"/>
      <c r="PM227" s="26"/>
      <c r="PN227" s="26"/>
      <c r="PO227" s="26"/>
      <c r="PP227" s="26"/>
      <c r="PQ227" s="26"/>
      <c r="PR227" s="26"/>
      <c r="PS227" s="26"/>
      <c r="PT227" s="26"/>
      <c r="PU227" s="26"/>
      <c r="PV227" s="26"/>
      <c r="PW227" s="26"/>
      <c r="PX227" s="26"/>
      <c r="PY227" s="26"/>
      <c r="PZ227" s="26"/>
      <c r="QA227" s="26"/>
      <c r="QB227" s="26"/>
      <c r="QC227" s="26"/>
      <c r="QD227" s="26"/>
      <c r="QE227" s="26"/>
      <c r="QF227" s="26"/>
      <c r="QG227" s="26"/>
      <c r="QH227" s="26"/>
      <c r="QI227" s="26"/>
      <c r="QJ227" s="26"/>
      <c r="QK227" s="26"/>
      <c r="QL227" s="26"/>
      <c r="QM227" s="26"/>
      <c r="QN227" s="26"/>
      <c r="QO227" s="26"/>
      <c r="QP227" s="26"/>
      <c r="QQ227" s="26"/>
      <c r="QR227" s="26"/>
      <c r="QS227" s="26"/>
      <c r="QT227" s="26"/>
      <c r="QU227" s="26"/>
      <c r="QV227" s="26"/>
      <c r="QW227" s="26"/>
      <c r="QX227" s="26"/>
      <c r="QY227" s="26"/>
      <c r="QZ227" s="26"/>
      <c r="RA227" s="26"/>
      <c r="RB227" s="26"/>
      <c r="RC227" s="26"/>
      <c r="RD227" s="26"/>
      <c r="RE227" s="26"/>
      <c r="RF227" s="26"/>
      <c r="RG227" s="26"/>
      <c r="RH227" s="26"/>
      <c r="RI227" s="26"/>
      <c r="RJ227" s="26"/>
      <c r="RK227" s="26"/>
      <c r="RL227" s="26"/>
      <c r="RM227" s="26"/>
      <c r="RN227" s="26"/>
      <c r="RO227" s="26"/>
      <c r="RP227" s="26"/>
      <c r="RQ227" s="26"/>
      <c r="RR227" s="26"/>
      <c r="RS227" s="26"/>
      <c r="RT227" s="26"/>
      <c r="RU227" s="26"/>
      <c r="RV227" s="26"/>
      <c r="RW227" s="26"/>
      <c r="RX227" s="26"/>
      <c r="RY227" s="26"/>
      <c r="RZ227" s="26"/>
      <c r="SA227" s="26"/>
      <c r="SB227" s="26"/>
      <c r="SC227" s="26"/>
      <c r="SD227" s="26"/>
      <c r="SE227" s="26"/>
      <c r="SF227" s="26"/>
      <c r="SG227" s="26"/>
      <c r="SH227" s="26"/>
      <c r="SI227" s="26"/>
      <c r="SJ227" s="26"/>
      <c r="SK227" s="26"/>
      <c r="SL227" s="26"/>
      <c r="SM227" s="26"/>
      <c r="SN227" s="26"/>
      <c r="SO227" s="26"/>
      <c r="SP227" s="26"/>
      <c r="SQ227" s="26"/>
      <c r="SR227" s="26"/>
      <c r="SS227" s="26"/>
      <c r="ST227" s="26"/>
      <c r="SU227" s="26"/>
      <c r="SV227" s="26"/>
      <c r="SW227" s="26"/>
      <c r="SX227" s="26"/>
      <c r="SY227" s="26"/>
      <c r="SZ227" s="26"/>
      <c r="TA227" s="26"/>
      <c r="TB227" s="26"/>
      <c r="TC227" s="26"/>
      <c r="TD227" s="26"/>
      <c r="TE227" s="26"/>
      <c r="TF227" s="26"/>
      <c r="TG227" s="26"/>
      <c r="TH227" s="26"/>
      <c r="TI227" s="26"/>
    </row>
    <row r="228" spans="1:529" s="31" customFormat="1" ht="37.5" customHeight="1" x14ac:dyDescent="0.2">
      <c r="A228" s="156" t="s">
        <v>230</v>
      </c>
      <c r="B228" s="74"/>
      <c r="C228" s="74"/>
      <c r="D228" s="30" t="s">
        <v>43</v>
      </c>
      <c r="E228" s="66">
        <f>E229</f>
        <v>20307000</v>
      </c>
      <c r="F228" s="66">
        <f t="shared" ref="F228:J228" si="132">F229</f>
        <v>19689000</v>
      </c>
      <c r="G228" s="66">
        <f t="shared" si="132"/>
        <v>13897700</v>
      </c>
      <c r="H228" s="66">
        <f t="shared" si="132"/>
        <v>314600</v>
      </c>
      <c r="I228" s="66">
        <f t="shared" si="132"/>
        <v>618000</v>
      </c>
      <c r="J228" s="66">
        <f t="shared" si="132"/>
        <v>145000</v>
      </c>
      <c r="K228" s="66">
        <f t="shared" ref="K228" si="133">K229</f>
        <v>145000</v>
      </c>
      <c r="L228" s="66">
        <f t="shared" ref="L228" si="134">L229</f>
        <v>0</v>
      </c>
      <c r="M228" s="66">
        <f t="shared" ref="M228" si="135">M229</f>
        <v>0</v>
      </c>
      <c r="N228" s="66">
        <f t="shared" ref="N228" si="136">N229</f>
        <v>0</v>
      </c>
      <c r="O228" s="66">
        <f t="shared" ref="O228" si="137">O229</f>
        <v>145000</v>
      </c>
      <c r="P228" s="66">
        <f>P229</f>
        <v>20452000</v>
      </c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8"/>
      <c r="CX228" s="38"/>
      <c r="CY228" s="38"/>
      <c r="CZ228" s="38"/>
      <c r="DA228" s="38"/>
      <c r="DB228" s="38"/>
      <c r="DC228" s="38"/>
      <c r="DD228" s="38"/>
      <c r="DE228" s="38"/>
      <c r="DF228" s="38"/>
      <c r="DG228" s="38"/>
      <c r="DH228" s="38"/>
      <c r="DI228" s="38"/>
      <c r="DJ228" s="38"/>
      <c r="DK228" s="38"/>
      <c r="DL228" s="38"/>
      <c r="DM228" s="38"/>
      <c r="DN228" s="38"/>
      <c r="DO228" s="38"/>
      <c r="DP228" s="38"/>
      <c r="DQ228" s="38"/>
      <c r="DR228" s="38"/>
      <c r="DS228" s="38"/>
      <c r="DT228" s="38"/>
      <c r="DU228" s="38"/>
      <c r="DV228" s="38"/>
      <c r="DW228" s="38"/>
      <c r="DX228" s="38"/>
      <c r="DY228" s="38"/>
      <c r="DZ228" s="38"/>
      <c r="EA228" s="38"/>
      <c r="EB228" s="38"/>
      <c r="EC228" s="38"/>
      <c r="ED228" s="38"/>
      <c r="EE228" s="38"/>
      <c r="EF228" s="38"/>
      <c r="EG228" s="38"/>
      <c r="EH228" s="38"/>
      <c r="EI228" s="38"/>
      <c r="EJ228" s="38"/>
      <c r="EK228" s="38"/>
      <c r="EL228" s="38"/>
      <c r="EM228" s="38"/>
      <c r="EN228" s="38"/>
      <c r="EO228" s="38"/>
      <c r="EP228" s="38"/>
      <c r="EQ228" s="38"/>
      <c r="ER228" s="38"/>
      <c r="ES228" s="38"/>
      <c r="ET228" s="38"/>
      <c r="EU228" s="38"/>
      <c r="EV228" s="38"/>
      <c r="EW228" s="38"/>
      <c r="EX228" s="38"/>
      <c r="EY228" s="38"/>
      <c r="EZ228" s="38"/>
      <c r="FA228" s="38"/>
      <c r="FB228" s="38"/>
      <c r="FC228" s="38"/>
      <c r="FD228" s="38"/>
      <c r="FE228" s="38"/>
      <c r="FF228" s="38"/>
      <c r="FG228" s="38"/>
      <c r="FH228" s="38"/>
      <c r="FI228" s="38"/>
      <c r="FJ228" s="38"/>
      <c r="FK228" s="38"/>
      <c r="FL228" s="38"/>
      <c r="FM228" s="38"/>
      <c r="FN228" s="38"/>
      <c r="FO228" s="38"/>
      <c r="FP228" s="38"/>
      <c r="FQ228" s="38"/>
      <c r="FR228" s="38"/>
      <c r="FS228" s="38"/>
      <c r="FT228" s="38"/>
      <c r="FU228" s="38"/>
      <c r="FV228" s="38"/>
      <c r="FW228" s="38"/>
      <c r="FX228" s="38"/>
      <c r="FY228" s="38"/>
      <c r="FZ228" s="38"/>
      <c r="GA228" s="38"/>
      <c r="GB228" s="38"/>
      <c r="GC228" s="38"/>
      <c r="GD228" s="38"/>
      <c r="GE228" s="38"/>
      <c r="GF228" s="38"/>
      <c r="GG228" s="38"/>
      <c r="GH228" s="38"/>
      <c r="GI228" s="38"/>
      <c r="GJ228" s="38"/>
      <c r="GK228" s="38"/>
      <c r="GL228" s="38"/>
      <c r="GM228" s="38"/>
      <c r="GN228" s="38"/>
      <c r="GO228" s="38"/>
      <c r="GP228" s="38"/>
      <c r="GQ228" s="38"/>
      <c r="GR228" s="38"/>
      <c r="GS228" s="38"/>
      <c r="GT228" s="38"/>
      <c r="GU228" s="38"/>
      <c r="GV228" s="38"/>
      <c r="GW228" s="38"/>
      <c r="GX228" s="38"/>
      <c r="GY228" s="38"/>
      <c r="GZ228" s="38"/>
      <c r="HA228" s="38"/>
      <c r="HB228" s="38"/>
      <c r="HC228" s="38"/>
      <c r="HD228" s="38"/>
      <c r="HE228" s="38"/>
      <c r="HF228" s="38"/>
      <c r="HG228" s="38"/>
      <c r="HH228" s="38"/>
      <c r="HI228" s="38"/>
      <c r="HJ228" s="38"/>
      <c r="HK228" s="38"/>
      <c r="HL228" s="38"/>
      <c r="HM228" s="38"/>
      <c r="HN228" s="38"/>
      <c r="HO228" s="38"/>
      <c r="HP228" s="38"/>
      <c r="HQ228" s="38"/>
      <c r="HR228" s="38"/>
      <c r="HS228" s="38"/>
      <c r="HT228" s="38"/>
      <c r="HU228" s="38"/>
      <c r="HV228" s="38"/>
      <c r="HW228" s="38"/>
      <c r="HX228" s="38"/>
      <c r="HY228" s="38"/>
      <c r="HZ228" s="38"/>
      <c r="IA228" s="38"/>
      <c r="IB228" s="38"/>
      <c r="IC228" s="38"/>
      <c r="ID228" s="38"/>
      <c r="IE228" s="38"/>
      <c r="IF228" s="38"/>
      <c r="IG228" s="38"/>
      <c r="IH228" s="38"/>
      <c r="II228" s="38"/>
      <c r="IJ228" s="38"/>
      <c r="IK228" s="38"/>
      <c r="IL228" s="38"/>
      <c r="IM228" s="38"/>
      <c r="IN228" s="38"/>
      <c r="IO228" s="38"/>
      <c r="IP228" s="38"/>
      <c r="IQ228" s="38"/>
      <c r="IR228" s="38"/>
      <c r="IS228" s="38"/>
      <c r="IT228" s="38"/>
      <c r="IU228" s="38"/>
      <c r="IV228" s="38"/>
      <c r="IW228" s="38"/>
      <c r="IX228" s="38"/>
      <c r="IY228" s="38"/>
      <c r="IZ228" s="38"/>
      <c r="JA228" s="38"/>
      <c r="JB228" s="38"/>
      <c r="JC228" s="38"/>
      <c r="JD228" s="38"/>
      <c r="JE228" s="38"/>
      <c r="JF228" s="38"/>
      <c r="JG228" s="38"/>
      <c r="JH228" s="38"/>
      <c r="JI228" s="38"/>
      <c r="JJ228" s="38"/>
      <c r="JK228" s="38"/>
      <c r="JL228" s="38"/>
      <c r="JM228" s="38"/>
      <c r="JN228" s="38"/>
      <c r="JO228" s="38"/>
      <c r="JP228" s="38"/>
      <c r="JQ228" s="38"/>
      <c r="JR228" s="38"/>
      <c r="JS228" s="38"/>
      <c r="JT228" s="38"/>
      <c r="JU228" s="38"/>
      <c r="JV228" s="38"/>
      <c r="JW228" s="38"/>
      <c r="JX228" s="38"/>
      <c r="JY228" s="38"/>
      <c r="JZ228" s="38"/>
      <c r="KA228" s="38"/>
      <c r="KB228" s="38"/>
      <c r="KC228" s="38"/>
      <c r="KD228" s="38"/>
      <c r="KE228" s="38"/>
      <c r="KF228" s="38"/>
      <c r="KG228" s="38"/>
      <c r="KH228" s="38"/>
      <c r="KI228" s="38"/>
      <c r="KJ228" s="38"/>
      <c r="KK228" s="38"/>
      <c r="KL228" s="38"/>
      <c r="KM228" s="38"/>
      <c r="KN228" s="38"/>
      <c r="KO228" s="38"/>
      <c r="KP228" s="38"/>
      <c r="KQ228" s="38"/>
      <c r="KR228" s="38"/>
      <c r="KS228" s="38"/>
      <c r="KT228" s="38"/>
      <c r="KU228" s="38"/>
      <c r="KV228" s="38"/>
      <c r="KW228" s="38"/>
      <c r="KX228" s="38"/>
      <c r="KY228" s="38"/>
      <c r="KZ228" s="38"/>
      <c r="LA228" s="38"/>
      <c r="LB228" s="38"/>
      <c r="LC228" s="38"/>
      <c r="LD228" s="38"/>
      <c r="LE228" s="38"/>
      <c r="LF228" s="38"/>
      <c r="LG228" s="38"/>
      <c r="LH228" s="38"/>
      <c r="LI228" s="38"/>
      <c r="LJ228" s="38"/>
      <c r="LK228" s="38"/>
      <c r="LL228" s="38"/>
      <c r="LM228" s="38"/>
      <c r="LN228" s="38"/>
      <c r="LO228" s="38"/>
      <c r="LP228" s="38"/>
      <c r="LQ228" s="38"/>
      <c r="LR228" s="38"/>
      <c r="LS228" s="38"/>
      <c r="LT228" s="38"/>
      <c r="LU228" s="38"/>
      <c r="LV228" s="38"/>
      <c r="LW228" s="38"/>
      <c r="LX228" s="38"/>
      <c r="LY228" s="38"/>
      <c r="LZ228" s="38"/>
      <c r="MA228" s="38"/>
      <c r="MB228" s="38"/>
      <c r="MC228" s="38"/>
      <c r="MD228" s="38"/>
      <c r="ME228" s="38"/>
      <c r="MF228" s="38"/>
      <c r="MG228" s="38"/>
      <c r="MH228" s="38"/>
      <c r="MI228" s="38"/>
      <c r="MJ228" s="38"/>
      <c r="MK228" s="38"/>
      <c r="ML228" s="38"/>
      <c r="MM228" s="38"/>
      <c r="MN228" s="38"/>
      <c r="MO228" s="38"/>
      <c r="MP228" s="38"/>
      <c r="MQ228" s="38"/>
      <c r="MR228" s="38"/>
      <c r="MS228" s="38"/>
      <c r="MT228" s="38"/>
      <c r="MU228" s="38"/>
      <c r="MV228" s="38"/>
      <c r="MW228" s="38"/>
      <c r="MX228" s="38"/>
      <c r="MY228" s="38"/>
      <c r="MZ228" s="38"/>
      <c r="NA228" s="38"/>
      <c r="NB228" s="38"/>
      <c r="NC228" s="38"/>
      <c r="ND228" s="38"/>
      <c r="NE228" s="38"/>
      <c r="NF228" s="38"/>
      <c r="NG228" s="38"/>
      <c r="NH228" s="38"/>
      <c r="NI228" s="38"/>
      <c r="NJ228" s="38"/>
      <c r="NK228" s="38"/>
      <c r="NL228" s="38"/>
      <c r="NM228" s="38"/>
      <c r="NN228" s="38"/>
      <c r="NO228" s="38"/>
      <c r="NP228" s="38"/>
      <c r="NQ228" s="38"/>
      <c r="NR228" s="38"/>
      <c r="NS228" s="38"/>
      <c r="NT228" s="38"/>
      <c r="NU228" s="38"/>
      <c r="NV228" s="38"/>
      <c r="NW228" s="38"/>
      <c r="NX228" s="38"/>
      <c r="NY228" s="38"/>
      <c r="NZ228" s="38"/>
      <c r="OA228" s="38"/>
      <c r="OB228" s="38"/>
      <c r="OC228" s="38"/>
      <c r="OD228" s="38"/>
      <c r="OE228" s="38"/>
      <c r="OF228" s="38"/>
      <c r="OG228" s="38"/>
      <c r="OH228" s="38"/>
      <c r="OI228" s="38"/>
      <c r="OJ228" s="38"/>
      <c r="OK228" s="38"/>
      <c r="OL228" s="38"/>
      <c r="OM228" s="38"/>
      <c r="ON228" s="38"/>
      <c r="OO228" s="38"/>
      <c r="OP228" s="38"/>
      <c r="OQ228" s="38"/>
      <c r="OR228" s="38"/>
      <c r="OS228" s="38"/>
      <c r="OT228" s="38"/>
      <c r="OU228" s="38"/>
      <c r="OV228" s="38"/>
      <c r="OW228" s="38"/>
      <c r="OX228" s="38"/>
      <c r="OY228" s="38"/>
      <c r="OZ228" s="38"/>
      <c r="PA228" s="38"/>
      <c r="PB228" s="38"/>
      <c r="PC228" s="38"/>
      <c r="PD228" s="38"/>
      <c r="PE228" s="38"/>
      <c r="PF228" s="38"/>
      <c r="PG228" s="38"/>
      <c r="PH228" s="38"/>
      <c r="PI228" s="38"/>
      <c r="PJ228" s="38"/>
      <c r="PK228" s="38"/>
      <c r="PL228" s="38"/>
      <c r="PM228" s="38"/>
      <c r="PN228" s="38"/>
      <c r="PO228" s="38"/>
      <c r="PP228" s="38"/>
      <c r="PQ228" s="38"/>
      <c r="PR228" s="38"/>
      <c r="PS228" s="38"/>
      <c r="PT228" s="38"/>
      <c r="PU228" s="38"/>
      <c r="PV228" s="38"/>
      <c r="PW228" s="38"/>
      <c r="PX228" s="38"/>
      <c r="PY228" s="38"/>
      <c r="PZ228" s="38"/>
      <c r="QA228" s="38"/>
      <c r="QB228" s="38"/>
      <c r="QC228" s="38"/>
      <c r="QD228" s="38"/>
      <c r="QE228" s="38"/>
      <c r="QF228" s="38"/>
      <c r="QG228" s="38"/>
      <c r="QH228" s="38"/>
      <c r="QI228" s="38"/>
      <c r="QJ228" s="38"/>
      <c r="QK228" s="38"/>
      <c r="QL228" s="38"/>
      <c r="QM228" s="38"/>
      <c r="QN228" s="38"/>
      <c r="QO228" s="38"/>
      <c r="QP228" s="38"/>
      <c r="QQ228" s="38"/>
      <c r="QR228" s="38"/>
      <c r="QS228" s="38"/>
      <c r="QT228" s="38"/>
      <c r="QU228" s="38"/>
      <c r="QV228" s="38"/>
      <c r="QW228" s="38"/>
      <c r="QX228" s="38"/>
      <c r="QY228" s="38"/>
      <c r="QZ228" s="38"/>
      <c r="RA228" s="38"/>
      <c r="RB228" s="38"/>
      <c r="RC228" s="38"/>
      <c r="RD228" s="38"/>
      <c r="RE228" s="38"/>
      <c r="RF228" s="38"/>
      <c r="RG228" s="38"/>
      <c r="RH228" s="38"/>
      <c r="RI228" s="38"/>
      <c r="RJ228" s="38"/>
      <c r="RK228" s="38"/>
      <c r="RL228" s="38"/>
      <c r="RM228" s="38"/>
      <c r="RN228" s="38"/>
      <c r="RO228" s="38"/>
      <c r="RP228" s="38"/>
      <c r="RQ228" s="38"/>
      <c r="RR228" s="38"/>
      <c r="RS228" s="38"/>
      <c r="RT228" s="38"/>
      <c r="RU228" s="38"/>
      <c r="RV228" s="38"/>
      <c r="RW228" s="38"/>
      <c r="RX228" s="38"/>
      <c r="RY228" s="38"/>
      <c r="RZ228" s="38"/>
      <c r="SA228" s="38"/>
      <c r="SB228" s="38"/>
      <c r="SC228" s="38"/>
      <c r="SD228" s="38"/>
      <c r="SE228" s="38"/>
      <c r="SF228" s="38"/>
      <c r="SG228" s="38"/>
      <c r="SH228" s="38"/>
      <c r="SI228" s="38"/>
      <c r="SJ228" s="38"/>
      <c r="SK228" s="38"/>
      <c r="SL228" s="38"/>
      <c r="SM228" s="38"/>
      <c r="SN228" s="38"/>
      <c r="SO228" s="38"/>
      <c r="SP228" s="38"/>
      <c r="SQ228" s="38"/>
      <c r="SR228" s="38"/>
      <c r="SS228" s="38"/>
      <c r="ST228" s="38"/>
      <c r="SU228" s="38"/>
      <c r="SV228" s="38"/>
      <c r="SW228" s="38"/>
      <c r="SX228" s="38"/>
      <c r="SY228" s="38"/>
      <c r="SZ228" s="38"/>
      <c r="TA228" s="38"/>
      <c r="TB228" s="38"/>
      <c r="TC228" s="38"/>
      <c r="TD228" s="38"/>
      <c r="TE228" s="38"/>
      <c r="TF228" s="38"/>
      <c r="TG228" s="38"/>
      <c r="TH228" s="38"/>
      <c r="TI228" s="38"/>
    </row>
    <row r="229" spans="1:529" s="40" customFormat="1" ht="37.5" customHeight="1" x14ac:dyDescent="0.25">
      <c r="A229" s="76" t="s">
        <v>231</v>
      </c>
      <c r="B229" s="75"/>
      <c r="C229" s="75"/>
      <c r="D229" s="33" t="s">
        <v>43</v>
      </c>
      <c r="E229" s="68">
        <f>E230+E231++E232+E233+E234+E235</f>
        <v>20307000</v>
      </c>
      <c r="F229" s="68">
        <f t="shared" ref="F229:P229" si="138">F230+F231++F232+F233+F234+F235</f>
        <v>19689000</v>
      </c>
      <c r="G229" s="68">
        <f t="shared" si="138"/>
        <v>13897700</v>
      </c>
      <c r="H229" s="68">
        <f t="shared" si="138"/>
        <v>314600</v>
      </c>
      <c r="I229" s="68">
        <f t="shared" si="138"/>
        <v>618000</v>
      </c>
      <c r="J229" s="68">
        <f t="shared" si="138"/>
        <v>145000</v>
      </c>
      <c r="K229" s="68">
        <f>K230+K231++K232+K233+K234+K235</f>
        <v>145000</v>
      </c>
      <c r="L229" s="68">
        <f t="shared" si="138"/>
        <v>0</v>
      </c>
      <c r="M229" s="68">
        <f t="shared" si="138"/>
        <v>0</v>
      </c>
      <c r="N229" s="68">
        <f t="shared" si="138"/>
        <v>0</v>
      </c>
      <c r="O229" s="68">
        <f t="shared" si="138"/>
        <v>145000</v>
      </c>
      <c r="P229" s="68">
        <f t="shared" si="138"/>
        <v>20452000</v>
      </c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/>
      <c r="HN229" s="39"/>
      <c r="HO229" s="39"/>
      <c r="HP229" s="39"/>
      <c r="HQ229" s="39"/>
      <c r="HR229" s="39"/>
      <c r="HS229" s="39"/>
      <c r="HT229" s="39"/>
      <c r="HU229" s="39"/>
      <c r="HV229" s="39"/>
      <c r="HW229" s="39"/>
      <c r="HX229" s="39"/>
      <c r="HY229" s="39"/>
      <c r="HZ229" s="39"/>
      <c r="IA229" s="39"/>
      <c r="IB229" s="39"/>
      <c r="IC229" s="39"/>
      <c r="ID229" s="39"/>
      <c r="IE229" s="39"/>
      <c r="IF229" s="39"/>
      <c r="IG229" s="39"/>
      <c r="IH229" s="39"/>
      <c r="II229" s="39"/>
      <c r="IJ229" s="39"/>
      <c r="IK229" s="39"/>
      <c r="IL229" s="39"/>
      <c r="IM229" s="39"/>
      <c r="IN229" s="39"/>
      <c r="IO229" s="39"/>
      <c r="IP229" s="39"/>
      <c r="IQ229" s="39"/>
      <c r="IR229" s="39"/>
      <c r="IS229" s="39"/>
      <c r="IT229" s="39"/>
      <c r="IU229" s="39"/>
      <c r="IV229" s="39"/>
      <c r="IW229" s="39"/>
      <c r="IX229" s="39"/>
      <c r="IY229" s="39"/>
      <c r="IZ229" s="39"/>
      <c r="JA229" s="39"/>
      <c r="JB229" s="39"/>
      <c r="JC229" s="39"/>
      <c r="JD229" s="39"/>
      <c r="JE229" s="39"/>
      <c r="JF229" s="39"/>
      <c r="JG229" s="39"/>
      <c r="JH229" s="39"/>
      <c r="JI229" s="39"/>
      <c r="JJ229" s="39"/>
      <c r="JK229" s="39"/>
      <c r="JL229" s="39"/>
      <c r="JM229" s="39"/>
      <c r="JN229" s="39"/>
      <c r="JO229" s="39"/>
      <c r="JP229" s="39"/>
      <c r="JQ229" s="39"/>
      <c r="JR229" s="39"/>
      <c r="JS229" s="39"/>
      <c r="JT229" s="39"/>
      <c r="JU229" s="39"/>
      <c r="JV229" s="39"/>
      <c r="JW229" s="39"/>
      <c r="JX229" s="39"/>
      <c r="JY229" s="39"/>
      <c r="JZ229" s="39"/>
      <c r="KA229" s="39"/>
      <c r="KB229" s="39"/>
      <c r="KC229" s="39"/>
      <c r="KD229" s="39"/>
      <c r="KE229" s="39"/>
      <c r="KF229" s="39"/>
      <c r="KG229" s="39"/>
      <c r="KH229" s="39"/>
      <c r="KI229" s="39"/>
      <c r="KJ229" s="39"/>
      <c r="KK229" s="39"/>
      <c r="KL229" s="39"/>
      <c r="KM229" s="39"/>
      <c r="KN229" s="39"/>
      <c r="KO229" s="39"/>
      <c r="KP229" s="39"/>
      <c r="KQ229" s="39"/>
      <c r="KR229" s="39"/>
      <c r="KS229" s="39"/>
      <c r="KT229" s="39"/>
      <c r="KU229" s="39"/>
      <c r="KV229" s="39"/>
      <c r="KW229" s="39"/>
      <c r="KX229" s="39"/>
      <c r="KY229" s="39"/>
      <c r="KZ229" s="39"/>
      <c r="LA229" s="39"/>
      <c r="LB229" s="39"/>
      <c r="LC229" s="39"/>
      <c r="LD229" s="39"/>
      <c r="LE229" s="39"/>
      <c r="LF229" s="39"/>
      <c r="LG229" s="39"/>
      <c r="LH229" s="39"/>
      <c r="LI229" s="39"/>
      <c r="LJ229" s="39"/>
      <c r="LK229" s="39"/>
      <c r="LL229" s="39"/>
      <c r="LM229" s="39"/>
      <c r="LN229" s="39"/>
      <c r="LO229" s="39"/>
      <c r="LP229" s="39"/>
      <c r="LQ229" s="39"/>
      <c r="LR229" s="39"/>
      <c r="LS229" s="39"/>
      <c r="LT229" s="39"/>
      <c r="LU229" s="39"/>
      <c r="LV229" s="39"/>
      <c r="LW229" s="39"/>
      <c r="LX229" s="39"/>
      <c r="LY229" s="39"/>
      <c r="LZ229" s="39"/>
      <c r="MA229" s="39"/>
      <c r="MB229" s="39"/>
      <c r="MC229" s="39"/>
      <c r="MD229" s="39"/>
      <c r="ME229" s="39"/>
      <c r="MF229" s="39"/>
      <c r="MG229" s="39"/>
      <c r="MH229" s="39"/>
      <c r="MI229" s="39"/>
      <c r="MJ229" s="39"/>
      <c r="MK229" s="39"/>
      <c r="ML229" s="39"/>
      <c r="MM229" s="39"/>
      <c r="MN229" s="39"/>
      <c r="MO229" s="39"/>
      <c r="MP229" s="39"/>
      <c r="MQ229" s="39"/>
      <c r="MR229" s="39"/>
      <c r="MS229" s="39"/>
      <c r="MT229" s="39"/>
      <c r="MU229" s="39"/>
      <c r="MV229" s="39"/>
      <c r="MW229" s="39"/>
      <c r="MX229" s="39"/>
      <c r="MY229" s="39"/>
      <c r="MZ229" s="39"/>
      <c r="NA229" s="39"/>
      <c r="NB229" s="39"/>
      <c r="NC229" s="39"/>
      <c r="ND229" s="39"/>
      <c r="NE229" s="39"/>
      <c r="NF229" s="39"/>
      <c r="NG229" s="39"/>
      <c r="NH229" s="39"/>
      <c r="NI229" s="39"/>
      <c r="NJ229" s="39"/>
      <c r="NK229" s="39"/>
      <c r="NL229" s="39"/>
      <c r="NM229" s="39"/>
      <c r="NN229" s="39"/>
      <c r="NO229" s="39"/>
      <c r="NP229" s="39"/>
      <c r="NQ229" s="39"/>
      <c r="NR229" s="39"/>
      <c r="NS229" s="39"/>
      <c r="NT229" s="39"/>
      <c r="NU229" s="39"/>
      <c r="NV229" s="39"/>
      <c r="NW229" s="39"/>
      <c r="NX229" s="39"/>
      <c r="NY229" s="39"/>
      <c r="NZ229" s="39"/>
      <c r="OA229" s="39"/>
      <c r="OB229" s="39"/>
      <c r="OC229" s="39"/>
      <c r="OD229" s="39"/>
      <c r="OE229" s="39"/>
      <c r="OF229" s="39"/>
      <c r="OG229" s="39"/>
      <c r="OH229" s="39"/>
      <c r="OI229" s="39"/>
      <c r="OJ229" s="39"/>
      <c r="OK229" s="39"/>
      <c r="OL229" s="39"/>
      <c r="OM229" s="39"/>
      <c r="ON229" s="39"/>
      <c r="OO229" s="39"/>
      <c r="OP229" s="39"/>
      <c r="OQ229" s="39"/>
      <c r="OR229" s="39"/>
      <c r="OS229" s="39"/>
      <c r="OT229" s="39"/>
      <c r="OU229" s="39"/>
      <c r="OV229" s="39"/>
      <c r="OW229" s="39"/>
      <c r="OX229" s="39"/>
      <c r="OY229" s="39"/>
      <c r="OZ229" s="39"/>
      <c r="PA229" s="39"/>
      <c r="PB229" s="39"/>
      <c r="PC229" s="39"/>
      <c r="PD229" s="39"/>
      <c r="PE229" s="39"/>
      <c r="PF229" s="39"/>
      <c r="PG229" s="39"/>
      <c r="PH229" s="39"/>
      <c r="PI229" s="39"/>
      <c r="PJ229" s="39"/>
      <c r="PK229" s="39"/>
      <c r="PL229" s="39"/>
      <c r="PM229" s="39"/>
      <c r="PN229" s="39"/>
      <c r="PO229" s="39"/>
      <c r="PP229" s="39"/>
      <c r="PQ229" s="39"/>
      <c r="PR229" s="39"/>
      <c r="PS229" s="39"/>
      <c r="PT229" s="39"/>
      <c r="PU229" s="39"/>
      <c r="PV229" s="39"/>
      <c r="PW229" s="39"/>
      <c r="PX229" s="39"/>
      <c r="PY229" s="39"/>
      <c r="PZ229" s="39"/>
      <c r="QA229" s="39"/>
      <c r="QB229" s="39"/>
      <c r="QC229" s="39"/>
      <c r="QD229" s="39"/>
      <c r="QE229" s="39"/>
      <c r="QF229" s="39"/>
      <c r="QG229" s="39"/>
      <c r="QH229" s="39"/>
      <c r="QI229" s="39"/>
      <c r="QJ229" s="39"/>
      <c r="QK229" s="39"/>
      <c r="QL229" s="39"/>
      <c r="QM229" s="39"/>
      <c r="QN229" s="39"/>
      <c r="QO229" s="39"/>
      <c r="QP229" s="39"/>
      <c r="QQ229" s="39"/>
      <c r="QR229" s="39"/>
      <c r="QS229" s="39"/>
      <c r="QT229" s="39"/>
      <c r="QU229" s="39"/>
      <c r="QV229" s="39"/>
      <c r="QW229" s="39"/>
      <c r="QX229" s="39"/>
      <c r="QY229" s="39"/>
      <c r="QZ229" s="39"/>
      <c r="RA229" s="39"/>
      <c r="RB229" s="39"/>
      <c r="RC229" s="39"/>
      <c r="RD229" s="39"/>
      <c r="RE229" s="39"/>
      <c r="RF229" s="39"/>
      <c r="RG229" s="39"/>
      <c r="RH229" s="39"/>
      <c r="RI229" s="39"/>
      <c r="RJ229" s="39"/>
      <c r="RK229" s="39"/>
      <c r="RL229" s="39"/>
      <c r="RM229" s="39"/>
      <c r="RN229" s="39"/>
      <c r="RO229" s="39"/>
      <c r="RP229" s="39"/>
      <c r="RQ229" s="39"/>
      <c r="RR229" s="39"/>
      <c r="RS229" s="39"/>
      <c r="RT229" s="39"/>
      <c r="RU229" s="39"/>
      <c r="RV229" s="39"/>
      <c r="RW229" s="39"/>
      <c r="RX229" s="39"/>
      <c r="RY229" s="39"/>
      <c r="RZ229" s="39"/>
      <c r="SA229" s="39"/>
      <c r="SB229" s="39"/>
      <c r="SC229" s="39"/>
      <c r="SD229" s="39"/>
      <c r="SE229" s="39"/>
      <c r="SF229" s="39"/>
      <c r="SG229" s="39"/>
      <c r="SH229" s="39"/>
      <c r="SI229" s="39"/>
      <c r="SJ229" s="39"/>
      <c r="SK229" s="39"/>
      <c r="SL229" s="39"/>
      <c r="SM229" s="39"/>
      <c r="SN229" s="39"/>
      <c r="SO229" s="39"/>
      <c r="SP229" s="39"/>
      <c r="SQ229" s="39"/>
      <c r="SR229" s="39"/>
      <c r="SS229" s="39"/>
      <c r="ST229" s="39"/>
      <c r="SU229" s="39"/>
      <c r="SV229" s="39"/>
      <c r="SW229" s="39"/>
      <c r="SX229" s="39"/>
      <c r="SY229" s="39"/>
      <c r="SZ229" s="39"/>
      <c r="TA229" s="39"/>
      <c r="TB229" s="39"/>
      <c r="TC229" s="39"/>
      <c r="TD229" s="39"/>
      <c r="TE229" s="39"/>
      <c r="TF229" s="39"/>
      <c r="TG229" s="39"/>
      <c r="TH229" s="39"/>
      <c r="TI229" s="39"/>
    </row>
    <row r="230" spans="1:529" s="23" customFormat="1" ht="47.25" customHeight="1" x14ac:dyDescent="0.25">
      <c r="A230" s="43" t="s">
        <v>232</v>
      </c>
      <c r="B230" s="44" t="str">
        <f>'дод 4'!A20</f>
        <v>0160</v>
      </c>
      <c r="C230" s="44" t="str">
        <f>'дод 4'!B20</f>
        <v>0111</v>
      </c>
      <c r="D230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30" s="69">
        <f t="shared" ref="E230:E235" si="139">F230+I230</f>
        <v>17942000</v>
      </c>
      <c r="F230" s="69">
        <f>18803900+108500-929400-41000</f>
        <v>17942000</v>
      </c>
      <c r="G230" s="69">
        <f>14693100-761800-33600</f>
        <v>13897700</v>
      </c>
      <c r="H230" s="69">
        <v>314600</v>
      </c>
      <c r="I230" s="69"/>
      <c r="J230" s="69">
        <f>L230+O230</f>
        <v>25000</v>
      </c>
      <c r="K230" s="69">
        <v>25000</v>
      </c>
      <c r="L230" s="69"/>
      <c r="M230" s="69"/>
      <c r="N230" s="69"/>
      <c r="O230" s="69">
        <v>25000</v>
      </c>
      <c r="P230" s="69">
        <f t="shared" ref="P230:P235" si="140">E230+J230</f>
        <v>17967000</v>
      </c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  <c r="IW230" s="26"/>
      <c r="IX230" s="26"/>
      <c r="IY230" s="26"/>
      <c r="IZ230" s="26"/>
      <c r="JA230" s="26"/>
      <c r="JB230" s="26"/>
      <c r="JC230" s="26"/>
      <c r="JD230" s="26"/>
      <c r="JE230" s="26"/>
      <c r="JF230" s="26"/>
      <c r="JG230" s="26"/>
      <c r="JH230" s="26"/>
      <c r="JI230" s="26"/>
      <c r="JJ230" s="26"/>
      <c r="JK230" s="26"/>
      <c r="JL230" s="26"/>
      <c r="JM230" s="26"/>
      <c r="JN230" s="26"/>
      <c r="JO230" s="26"/>
      <c r="JP230" s="26"/>
      <c r="JQ230" s="26"/>
      <c r="JR230" s="26"/>
      <c r="JS230" s="26"/>
      <c r="JT230" s="26"/>
      <c r="JU230" s="26"/>
      <c r="JV230" s="26"/>
      <c r="JW230" s="26"/>
      <c r="JX230" s="26"/>
      <c r="JY230" s="26"/>
      <c r="JZ230" s="26"/>
      <c r="KA230" s="26"/>
      <c r="KB230" s="26"/>
      <c r="KC230" s="26"/>
      <c r="KD230" s="26"/>
      <c r="KE230" s="26"/>
      <c r="KF230" s="26"/>
      <c r="KG230" s="26"/>
      <c r="KH230" s="26"/>
      <c r="KI230" s="26"/>
      <c r="KJ230" s="26"/>
      <c r="KK230" s="26"/>
      <c r="KL230" s="26"/>
      <c r="KM230" s="26"/>
      <c r="KN230" s="26"/>
      <c r="KO230" s="26"/>
      <c r="KP230" s="26"/>
      <c r="KQ230" s="26"/>
      <c r="KR230" s="26"/>
      <c r="KS230" s="26"/>
      <c r="KT230" s="26"/>
      <c r="KU230" s="26"/>
      <c r="KV230" s="26"/>
      <c r="KW230" s="26"/>
      <c r="KX230" s="26"/>
      <c r="KY230" s="26"/>
      <c r="KZ230" s="26"/>
      <c r="LA230" s="26"/>
      <c r="LB230" s="26"/>
      <c r="LC230" s="26"/>
      <c r="LD230" s="26"/>
      <c r="LE230" s="26"/>
      <c r="LF230" s="26"/>
      <c r="LG230" s="26"/>
      <c r="LH230" s="26"/>
      <c r="LI230" s="26"/>
      <c r="LJ230" s="26"/>
      <c r="LK230" s="26"/>
      <c r="LL230" s="26"/>
      <c r="LM230" s="26"/>
      <c r="LN230" s="26"/>
      <c r="LO230" s="26"/>
      <c r="LP230" s="26"/>
      <c r="LQ230" s="26"/>
      <c r="LR230" s="26"/>
      <c r="LS230" s="26"/>
      <c r="LT230" s="26"/>
      <c r="LU230" s="26"/>
      <c r="LV230" s="26"/>
      <c r="LW230" s="26"/>
      <c r="LX230" s="26"/>
      <c r="LY230" s="26"/>
      <c r="LZ230" s="26"/>
      <c r="MA230" s="26"/>
      <c r="MB230" s="26"/>
      <c r="MC230" s="26"/>
      <c r="MD230" s="26"/>
      <c r="ME230" s="26"/>
      <c r="MF230" s="26"/>
      <c r="MG230" s="26"/>
      <c r="MH230" s="26"/>
      <c r="MI230" s="26"/>
      <c r="MJ230" s="26"/>
      <c r="MK230" s="26"/>
      <c r="ML230" s="26"/>
      <c r="MM230" s="26"/>
      <c r="MN230" s="26"/>
      <c r="MO230" s="26"/>
      <c r="MP230" s="26"/>
      <c r="MQ230" s="26"/>
      <c r="MR230" s="26"/>
      <c r="MS230" s="26"/>
      <c r="MT230" s="26"/>
      <c r="MU230" s="26"/>
      <c r="MV230" s="26"/>
      <c r="MW230" s="26"/>
      <c r="MX230" s="26"/>
      <c r="MY230" s="26"/>
      <c r="MZ230" s="26"/>
      <c r="NA230" s="26"/>
      <c r="NB230" s="26"/>
      <c r="NC230" s="26"/>
      <c r="ND230" s="26"/>
      <c r="NE230" s="26"/>
      <c r="NF230" s="26"/>
      <c r="NG230" s="26"/>
      <c r="NH230" s="26"/>
      <c r="NI230" s="26"/>
      <c r="NJ230" s="26"/>
      <c r="NK230" s="26"/>
      <c r="NL230" s="26"/>
      <c r="NM230" s="26"/>
      <c r="NN230" s="26"/>
      <c r="NO230" s="26"/>
      <c r="NP230" s="26"/>
      <c r="NQ230" s="26"/>
      <c r="NR230" s="26"/>
      <c r="NS230" s="26"/>
      <c r="NT230" s="26"/>
      <c r="NU230" s="26"/>
      <c r="NV230" s="26"/>
      <c r="NW230" s="26"/>
      <c r="NX230" s="26"/>
      <c r="NY230" s="26"/>
      <c r="NZ230" s="26"/>
      <c r="OA230" s="26"/>
      <c r="OB230" s="26"/>
      <c r="OC230" s="26"/>
      <c r="OD230" s="26"/>
      <c r="OE230" s="26"/>
      <c r="OF230" s="26"/>
      <c r="OG230" s="26"/>
      <c r="OH230" s="26"/>
      <c r="OI230" s="26"/>
      <c r="OJ230" s="26"/>
      <c r="OK230" s="26"/>
      <c r="OL230" s="26"/>
      <c r="OM230" s="26"/>
      <c r="ON230" s="26"/>
      <c r="OO230" s="26"/>
      <c r="OP230" s="26"/>
      <c r="OQ230" s="26"/>
      <c r="OR230" s="26"/>
      <c r="OS230" s="26"/>
      <c r="OT230" s="26"/>
      <c r="OU230" s="26"/>
      <c r="OV230" s="26"/>
      <c r="OW230" s="26"/>
      <c r="OX230" s="26"/>
      <c r="OY230" s="26"/>
      <c r="OZ230" s="26"/>
      <c r="PA230" s="26"/>
      <c r="PB230" s="26"/>
      <c r="PC230" s="26"/>
      <c r="PD230" s="26"/>
      <c r="PE230" s="26"/>
      <c r="PF230" s="26"/>
      <c r="PG230" s="26"/>
      <c r="PH230" s="26"/>
      <c r="PI230" s="26"/>
      <c r="PJ230" s="26"/>
      <c r="PK230" s="26"/>
      <c r="PL230" s="26"/>
      <c r="PM230" s="26"/>
      <c r="PN230" s="26"/>
      <c r="PO230" s="26"/>
      <c r="PP230" s="26"/>
      <c r="PQ230" s="26"/>
      <c r="PR230" s="26"/>
      <c r="PS230" s="26"/>
      <c r="PT230" s="26"/>
      <c r="PU230" s="26"/>
      <c r="PV230" s="26"/>
      <c r="PW230" s="26"/>
      <c r="PX230" s="26"/>
      <c r="PY230" s="26"/>
      <c r="PZ230" s="26"/>
      <c r="QA230" s="26"/>
      <c r="QB230" s="26"/>
      <c r="QC230" s="26"/>
      <c r="QD230" s="26"/>
      <c r="QE230" s="26"/>
      <c r="QF230" s="26"/>
      <c r="QG230" s="26"/>
      <c r="QH230" s="26"/>
      <c r="QI230" s="26"/>
      <c r="QJ230" s="26"/>
      <c r="QK230" s="26"/>
      <c r="QL230" s="26"/>
      <c r="QM230" s="26"/>
      <c r="QN230" s="26"/>
      <c r="QO230" s="26"/>
      <c r="QP230" s="26"/>
      <c r="QQ230" s="26"/>
      <c r="QR230" s="26"/>
      <c r="QS230" s="26"/>
      <c r="QT230" s="26"/>
      <c r="QU230" s="26"/>
      <c r="QV230" s="26"/>
      <c r="QW230" s="26"/>
      <c r="QX230" s="26"/>
      <c r="QY230" s="26"/>
      <c r="QZ230" s="26"/>
      <c r="RA230" s="26"/>
      <c r="RB230" s="26"/>
      <c r="RC230" s="26"/>
      <c r="RD230" s="26"/>
      <c r="RE230" s="26"/>
      <c r="RF230" s="26"/>
      <c r="RG230" s="26"/>
      <c r="RH230" s="26"/>
      <c r="RI230" s="26"/>
      <c r="RJ230" s="26"/>
      <c r="RK230" s="26"/>
      <c r="RL230" s="26"/>
      <c r="RM230" s="26"/>
      <c r="RN230" s="26"/>
      <c r="RO230" s="26"/>
      <c r="RP230" s="26"/>
      <c r="RQ230" s="26"/>
      <c r="RR230" s="26"/>
      <c r="RS230" s="26"/>
      <c r="RT230" s="26"/>
      <c r="RU230" s="26"/>
      <c r="RV230" s="26"/>
      <c r="RW230" s="26"/>
      <c r="RX230" s="26"/>
      <c r="RY230" s="26"/>
      <c r="RZ230" s="26"/>
      <c r="SA230" s="26"/>
      <c r="SB230" s="26"/>
      <c r="SC230" s="26"/>
      <c r="SD230" s="26"/>
      <c r="SE230" s="26"/>
      <c r="SF230" s="26"/>
      <c r="SG230" s="26"/>
      <c r="SH230" s="26"/>
      <c r="SI230" s="26"/>
      <c r="SJ230" s="26"/>
      <c r="SK230" s="26"/>
      <c r="SL230" s="26"/>
      <c r="SM230" s="26"/>
      <c r="SN230" s="26"/>
      <c r="SO230" s="26"/>
      <c r="SP230" s="26"/>
      <c r="SQ230" s="26"/>
      <c r="SR230" s="26"/>
      <c r="SS230" s="26"/>
      <c r="ST230" s="26"/>
      <c r="SU230" s="26"/>
      <c r="SV230" s="26"/>
      <c r="SW230" s="26"/>
      <c r="SX230" s="26"/>
      <c r="SY230" s="26"/>
      <c r="SZ230" s="26"/>
      <c r="TA230" s="26"/>
      <c r="TB230" s="26"/>
      <c r="TC230" s="26"/>
      <c r="TD230" s="26"/>
      <c r="TE230" s="26"/>
      <c r="TF230" s="26"/>
      <c r="TG230" s="26"/>
      <c r="TH230" s="26"/>
      <c r="TI230" s="26"/>
    </row>
    <row r="231" spans="1:529" s="28" customFormat="1" ht="29.25" customHeight="1" x14ac:dyDescent="0.25">
      <c r="A231" s="43" t="s">
        <v>233</v>
      </c>
      <c r="B231" s="44" t="str">
        <f>'дод 4'!A127</f>
        <v>7130</v>
      </c>
      <c r="C231" s="44" t="str">
        <f>'дод 4'!B127</f>
        <v>0421</v>
      </c>
      <c r="D231" s="24" t="str">
        <f>'дод 4'!C127</f>
        <v>Здійснення заходів із землеустрою</v>
      </c>
      <c r="E231" s="69">
        <f t="shared" si="139"/>
        <v>655000</v>
      </c>
      <c r="F231" s="69">
        <f>700000-45000</f>
        <v>655000</v>
      </c>
      <c r="G231" s="69"/>
      <c r="H231" s="69"/>
      <c r="I231" s="69"/>
      <c r="J231" s="69">
        <f t="shared" ref="J231:J235" si="141">L231+O231</f>
        <v>0</v>
      </c>
      <c r="K231" s="69"/>
      <c r="L231" s="69"/>
      <c r="M231" s="69"/>
      <c r="N231" s="69"/>
      <c r="O231" s="69"/>
      <c r="P231" s="69">
        <f t="shared" si="140"/>
        <v>655000</v>
      </c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  <c r="IO231" s="37"/>
      <c r="IP231" s="37"/>
      <c r="IQ231" s="37"/>
      <c r="IR231" s="37"/>
      <c r="IS231" s="37"/>
      <c r="IT231" s="37"/>
      <c r="IU231" s="37"/>
      <c r="IV231" s="37"/>
      <c r="IW231" s="37"/>
      <c r="IX231" s="37"/>
      <c r="IY231" s="37"/>
      <c r="IZ231" s="37"/>
      <c r="JA231" s="37"/>
      <c r="JB231" s="37"/>
      <c r="JC231" s="37"/>
      <c r="JD231" s="37"/>
      <c r="JE231" s="37"/>
      <c r="JF231" s="37"/>
      <c r="JG231" s="37"/>
      <c r="JH231" s="37"/>
      <c r="JI231" s="37"/>
      <c r="JJ231" s="37"/>
      <c r="JK231" s="37"/>
      <c r="JL231" s="37"/>
      <c r="JM231" s="37"/>
      <c r="JN231" s="37"/>
      <c r="JO231" s="37"/>
      <c r="JP231" s="37"/>
      <c r="JQ231" s="37"/>
      <c r="JR231" s="37"/>
      <c r="JS231" s="37"/>
      <c r="JT231" s="37"/>
      <c r="JU231" s="37"/>
      <c r="JV231" s="37"/>
      <c r="JW231" s="37"/>
      <c r="JX231" s="37"/>
      <c r="JY231" s="37"/>
      <c r="JZ231" s="37"/>
      <c r="KA231" s="37"/>
      <c r="KB231" s="37"/>
      <c r="KC231" s="37"/>
      <c r="KD231" s="37"/>
      <c r="KE231" s="37"/>
      <c r="KF231" s="37"/>
      <c r="KG231" s="37"/>
      <c r="KH231" s="37"/>
      <c r="KI231" s="37"/>
      <c r="KJ231" s="37"/>
      <c r="KK231" s="37"/>
      <c r="KL231" s="37"/>
      <c r="KM231" s="37"/>
      <c r="KN231" s="37"/>
      <c r="KO231" s="37"/>
      <c r="KP231" s="37"/>
      <c r="KQ231" s="37"/>
      <c r="KR231" s="37"/>
      <c r="KS231" s="37"/>
      <c r="KT231" s="37"/>
      <c r="KU231" s="37"/>
      <c r="KV231" s="37"/>
      <c r="KW231" s="37"/>
      <c r="KX231" s="37"/>
      <c r="KY231" s="37"/>
      <c r="KZ231" s="37"/>
      <c r="LA231" s="37"/>
      <c r="LB231" s="37"/>
      <c r="LC231" s="37"/>
      <c r="LD231" s="37"/>
      <c r="LE231" s="37"/>
      <c r="LF231" s="37"/>
      <c r="LG231" s="37"/>
      <c r="LH231" s="37"/>
      <c r="LI231" s="37"/>
      <c r="LJ231" s="37"/>
      <c r="LK231" s="37"/>
      <c r="LL231" s="37"/>
      <c r="LM231" s="37"/>
      <c r="LN231" s="37"/>
      <c r="LO231" s="37"/>
      <c r="LP231" s="37"/>
      <c r="LQ231" s="37"/>
      <c r="LR231" s="37"/>
      <c r="LS231" s="37"/>
      <c r="LT231" s="37"/>
      <c r="LU231" s="37"/>
      <c r="LV231" s="37"/>
      <c r="LW231" s="37"/>
      <c r="LX231" s="37"/>
      <c r="LY231" s="37"/>
      <c r="LZ231" s="37"/>
      <c r="MA231" s="37"/>
      <c r="MB231" s="37"/>
      <c r="MC231" s="37"/>
      <c r="MD231" s="37"/>
      <c r="ME231" s="37"/>
      <c r="MF231" s="37"/>
      <c r="MG231" s="37"/>
      <c r="MH231" s="37"/>
      <c r="MI231" s="37"/>
      <c r="MJ231" s="37"/>
      <c r="MK231" s="37"/>
      <c r="ML231" s="37"/>
      <c r="MM231" s="37"/>
      <c r="MN231" s="37"/>
      <c r="MO231" s="37"/>
      <c r="MP231" s="37"/>
      <c r="MQ231" s="37"/>
      <c r="MR231" s="37"/>
      <c r="MS231" s="37"/>
      <c r="MT231" s="37"/>
      <c r="MU231" s="37"/>
      <c r="MV231" s="37"/>
      <c r="MW231" s="37"/>
      <c r="MX231" s="37"/>
      <c r="MY231" s="37"/>
      <c r="MZ231" s="37"/>
      <c r="NA231" s="37"/>
      <c r="NB231" s="37"/>
      <c r="NC231" s="37"/>
      <c r="ND231" s="37"/>
      <c r="NE231" s="37"/>
      <c r="NF231" s="37"/>
      <c r="NG231" s="37"/>
      <c r="NH231" s="37"/>
      <c r="NI231" s="37"/>
      <c r="NJ231" s="37"/>
      <c r="NK231" s="37"/>
      <c r="NL231" s="37"/>
      <c r="NM231" s="37"/>
      <c r="NN231" s="37"/>
      <c r="NO231" s="37"/>
      <c r="NP231" s="37"/>
      <c r="NQ231" s="37"/>
      <c r="NR231" s="37"/>
      <c r="NS231" s="37"/>
      <c r="NT231" s="37"/>
      <c r="NU231" s="37"/>
      <c r="NV231" s="37"/>
      <c r="NW231" s="37"/>
      <c r="NX231" s="37"/>
      <c r="NY231" s="37"/>
      <c r="NZ231" s="37"/>
      <c r="OA231" s="37"/>
      <c r="OB231" s="37"/>
      <c r="OC231" s="37"/>
      <c r="OD231" s="37"/>
      <c r="OE231" s="37"/>
      <c r="OF231" s="37"/>
      <c r="OG231" s="37"/>
      <c r="OH231" s="37"/>
      <c r="OI231" s="37"/>
      <c r="OJ231" s="37"/>
      <c r="OK231" s="37"/>
      <c r="OL231" s="37"/>
      <c r="OM231" s="37"/>
      <c r="ON231" s="37"/>
      <c r="OO231" s="37"/>
      <c r="OP231" s="37"/>
      <c r="OQ231" s="37"/>
      <c r="OR231" s="37"/>
      <c r="OS231" s="37"/>
      <c r="OT231" s="37"/>
      <c r="OU231" s="37"/>
      <c r="OV231" s="37"/>
      <c r="OW231" s="37"/>
      <c r="OX231" s="37"/>
      <c r="OY231" s="37"/>
      <c r="OZ231" s="37"/>
      <c r="PA231" s="37"/>
      <c r="PB231" s="37"/>
      <c r="PC231" s="37"/>
      <c r="PD231" s="37"/>
      <c r="PE231" s="37"/>
      <c r="PF231" s="37"/>
      <c r="PG231" s="37"/>
      <c r="PH231" s="37"/>
      <c r="PI231" s="37"/>
      <c r="PJ231" s="37"/>
      <c r="PK231" s="37"/>
      <c r="PL231" s="37"/>
      <c r="PM231" s="37"/>
      <c r="PN231" s="37"/>
      <c r="PO231" s="37"/>
      <c r="PP231" s="37"/>
      <c r="PQ231" s="37"/>
      <c r="PR231" s="37"/>
      <c r="PS231" s="37"/>
      <c r="PT231" s="37"/>
      <c r="PU231" s="37"/>
      <c r="PV231" s="37"/>
      <c r="PW231" s="37"/>
      <c r="PX231" s="37"/>
      <c r="PY231" s="37"/>
      <c r="PZ231" s="37"/>
      <c r="QA231" s="37"/>
      <c r="QB231" s="37"/>
      <c r="QC231" s="37"/>
      <c r="QD231" s="37"/>
      <c r="QE231" s="37"/>
      <c r="QF231" s="37"/>
      <c r="QG231" s="37"/>
      <c r="QH231" s="37"/>
      <c r="QI231" s="37"/>
      <c r="QJ231" s="37"/>
      <c r="QK231" s="37"/>
      <c r="QL231" s="37"/>
      <c r="QM231" s="37"/>
      <c r="QN231" s="37"/>
      <c r="QO231" s="37"/>
      <c r="QP231" s="37"/>
      <c r="QQ231" s="37"/>
      <c r="QR231" s="37"/>
      <c r="QS231" s="37"/>
      <c r="QT231" s="37"/>
      <c r="QU231" s="37"/>
      <c r="QV231" s="37"/>
      <c r="QW231" s="37"/>
      <c r="QX231" s="37"/>
      <c r="QY231" s="37"/>
      <c r="QZ231" s="37"/>
      <c r="RA231" s="37"/>
      <c r="RB231" s="37"/>
      <c r="RC231" s="37"/>
      <c r="RD231" s="37"/>
      <c r="RE231" s="37"/>
      <c r="RF231" s="37"/>
      <c r="RG231" s="37"/>
      <c r="RH231" s="37"/>
      <c r="RI231" s="37"/>
      <c r="RJ231" s="37"/>
      <c r="RK231" s="37"/>
      <c r="RL231" s="37"/>
      <c r="RM231" s="37"/>
      <c r="RN231" s="37"/>
      <c r="RO231" s="37"/>
      <c r="RP231" s="37"/>
      <c r="RQ231" s="37"/>
      <c r="RR231" s="37"/>
      <c r="RS231" s="37"/>
      <c r="RT231" s="37"/>
      <c r="RU231" s="37"/>
      <c r="RV231" s="37"/>
      <c r="RW231" s="37"/>
      <c r="RX231" s="37"/>
      <c r="RY231" s="37"/>
      <c r="RZ231" s="37"/>
      <c r="SA231" s="37"/>
      <c r="SB231" s="37"/>
      <c r="SC231" s="37"/>
      <c r="SD231" s="37"/>
      <c r="SE231" s="37"/>
      <c r="SF231" s="37"/>
      <c r="SG231" s="37"/>
      <c r="SH231" s="37"/>
      <c r="SI231" s="37"/>
      <c r="SJ231" s="37"/>
      <c r="SK231" s="37"/>
      <c r="SL231" s="37"/>
      <c r="SM231" s="37"/>
      <c r="SN231" s="37"/>
      <c r="SO231" s="37"/>
      <c r="SP231" s="37"/>
      <c r="SQ231" s="37"/>
      <c r="SR231" s="37"/>
      <c r="SS231" s="37"/>
      <c r="ST231" s="37"/>
      <c r="SU231" s="37"/>
      <c r="SV231" s="37"/>
      <c r="SW231" s="37"/>
      <c r="SX231" s="37"/>
      <c r="SY231" s="37"/>
      <c r="SZ231" s="37"/>
      <c r="TA231" s="37"/>
      <c r="TB231" s="37"/>
      <c r="TC231" s="37"/>
      <c r="TD231" s="37"/>
      <c r="TE231" s="37"/>
      <c r="TF231" s="37"/>
      <c r="TG231" s="37"/>
      <c r="TH231" s="37"/>
      <c r="TI231" s="37"/>
    </row>
    <row r="232" spans="1:529" s="23" customFormat="1" ht="27" customHeight="1" x14ac:dyDescent="0.25">
      <c r="A232" s="52" t="s">
        <v>234</v>
      </c>
      <c r="B232" s="45" t="str">
        <f>'дод 4'!A152</f>
        <v>7610</v>
      </c>
      <c r="C232" s="45" t="str">
        <f>'дод 4'!B152</f>
        <v>0411</v>
      </c>
      <c r="D232" s="22" t="str">
        <f>'дод 4'!C152</f>
        <v>Сприяння розвитку малого та середнього підприємництва</v>
      </c>
      <c r="E232" s="69">
        <f t="shared" si="139"/>
        <v>1020000</v>
      </c>
      <c r="F232" s="69">
        <f>220000+182000</f>
        <v>402000</v>
      </c>
      <c r="G232" s="69"/>
      <c r="H232" s="69"/>
      <c r="I232" s="69">
        <f>1000000-200000-182000</f>
        <v>618000</v>
      </c>
      <c r="J232" s="69">
        <f t="shared" si="141"/>
        <v>0</v>
      </c>
      <c r="K232" s="69"/>
      <c r="L232" s="69"/>
      <c r="M232" s="69"/>
      <c r="N232" s="69"/>
      <c r="O232" s="69"/>
      <c r="P232" s="69">
        <f t="shared" si="140"/>
        <v>1020000</v>
      </c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  <c r="IW232" s="26"/>
      <c r="IX232" s="26"/>
      <c r="IY232" s="26"/>
      <c r="IZ232" s="26"/>
      <c r="JA232" s="26"/>
      <c r="JB232" s="26"/>
      <c r="JC232" s="26"/>
      <c r="JD232" s="26"/>
      <c r="JE232" s="26"/>
      <c r="JF232" s="26"/>
      <c r="JG232" s="26"/>
      <c r="JH232" s="26"/>
      <c r="JI232" s="26"/>
      <c r="JJ232" s="26"/>
      <c r="JK232" s="26"/>
      <c r="JL232" s="26"/>
      <c r="JM232" s="26"/>
      <c r="JN232" s="26"/>
      <c r="JO232" s="26"/>
      <c r="JP232" s="26"/>
      <c r="JQ232" s="26"/>
      <c r="JR232" s="26"/>
      <c r="JS232" s="26"/>
      <c r="JT232" s="26"/>
      <c r="JU232" s="26"/>
      <c r="JV232" s="26"/>
      <c r="JW232" s="26"/>
      <c r="JX232" s="26"/>
      <c r="JY232" s="26"/>
      <c r="JZ232" s="26"/>
      <c r="KA232" s="26"/>
      <c r="KB232" s="26"/>
      <c r="KC232" s="26"/>
      <c r="KD232" s="26"/>
      <c r="KE232" s="26"/>
      <c r="KF232" s="26"/>
      <c r="KG232" s="26"/>
      <c r="KH232" s="26"/>
      <c r="KI232" s="26"/>
      <c r="KJ232" s="26"/>
      <c r="KK232" s="26"/>
      <c r="KL232" s="26"/>
      <c r="KM232" s="26"/>
      <c r="KN232" s="26"/>
      <c r="KO232" s="26"/>
      <c r="KP232" s="26"/>
      <c r="KQ232" s="26"/>
      <c r="KR232" s="26"/>
      <c r="KS232" s="26"/>
      <c r="KT232" s="26"/>
      <c r="KU232" s="26"/>
      <c r="KV232" s="26"/>
      <c r="KW232" s="26"/>
      <c r="KX232" s="26"/>
      <c r="KY232" s="26"/>
      <c r="KZ232" s="26"/>
      <c r="LA232" s="26"/>
      <c r="LB232" s="26"/>
      <c r="LC232" s="26"/>
      <c r="LD232" s="26"/>
      <c r="LE232" s="26"/>
      <c r="LF232" s="26"/>
      <c r="LG232" s="26"/>
      <c r="LH232" s="26"/>
      <c r="LI232" s="26"/>
      <c r="LJ232" s="26"/>
      <c r="LK232" s="26"/>
      <c r="LL232" s="26"/>
      <c r="LM232" s="26"/>
      <c r="LN232" s="26"/>
      <c r="LO232" s="26"/>
      <c r="LP232" s="26"/>
      <c r="LQ232" s="26"/>
      <c r="LR232" s="26"/>
      <c r="LS232" s="26"/>
      <c r="LT232" s="26"/>
      <c r="LU232" s="26"/>
      <c r="LV232" s="26"/>
      <c r="LW232" s="26"/>
      <c r="LX232" s="26"/>
      <c r="LY232" s="26"/>
      <c r="LZ232" s="26"/>
      <c r="MA232" s="26"/>
      <c r="MB232" s="26"/>
      <c r="MC232" s="26"/>
      <c r="MD232" s="26"/>
      <c r="ME232" s="26"/>
      <c r="MF232" s="26"/>
      <c r="MG232" s="26"/>
      <c r="MH232" s="26"/>
      <c r="MI232" s="26"/>
      <c r="MJ232" s="26"/>
      <c r="MK232" s="26"/>
      <c r="ML232" s="26"/>
      <c r="MM232" s="26"/>
      <c r="MN232" s="26"/>
      <c r="MO232" s="26"/>
      <c r="MP232" s="26"/>
      <c r="MQ232" s="26"/>
      <c r="MR232" s="26"/>
      <c r="MS232" s="26"/>
      <c r="MT232" s="26"/>
      <c r="MU232" s="26"/>
      <c r="MV232" s="26"/>
      <c r="MW232" s="26"/>
      <c r="MX232" s="26"/>
      <c r="MY232" s="26"/>
      <c r="MZ232" s="26"/>
      <c r="NA232" s="26"/>
      <c r="NB232" s="26"/>
      <c r="NC232" s="26"/>
      <c r="ND232" s="26"/>
      <c r="NE232" s="26"/>
      <c r="NF232" s="26"/>
      <c r="NG232" s="26"/>
      <c r="NH232" s="26"/>
      <c r="NI232" s="26"/>
      <c r="NJ232" s="26"/>
      <c r="NK232" s="26"/>
      <c r="NL232" s="26"/>
      <c r="NM232" s="26"/>
      <c r="NN232" s="26"/>
      <c r="NO232" s="26"/>
      <c r="NP232" s="26"/>
      <c r="NQ232" s="26"/>
      <c r="NR232" s="26"/>
      <c r="NS232" s="26"/>
      <c r="NT232" s="26"/>
      <c r="NU232" s="26"/>
      <c r="NV232" s="26"/>
      <c r="NW232" s="26"/>
      <c r="NX232" s="26"/>
      <c r="NY232" s="26"/>
      <c r="NZ232" s="26"/>
      <c r="OA232" s="26"/>
      <c r="OB232" s="26"/>
      <c r="OC232" s="26"/>
      <c r="OD232" s="26"/>
      <c r="OE232" s="26"/>
      <c r="OF232" s="26"/>
      <c r="OG232" s="26"/>
      <c r="OH232" s="26"/>
      <c r="OI232" s="26"/>
      <c r="OJ232" s="26"/>
      <c r="OK232" s="26"/>
      <c r="OL232" s="26"/>
      <c r="OM232" s="26"/>
      <c r="ON232" s="26"/>
      <c r="OO232" s="26"/>
      <c r="OP232" s="26"/>
      <c r="OQ232" s="26"/>
      <c r="OR232" s="26"/>
      <c r="OS232" s="26"/>
      <c r="OT232" s="26"/>
      <c r="OU232" s="26"/>
      <c r="OV232" s="26"/>
      <c r="OW232" s="26"/>
      <c r="OX232" s="26"/>
      <c r="OY232" s="26"/>
      <c r="OZ232" s="26"/>
      <c r="PA232" s="26"/>
      <c r="PB232" s="26"/>
      <c r="PC232" s="26"/>
      <c r="PD232" s="26"/>
      <c r="PE232" s="26"/>
      <c r="PF232" s="26"/>
      <c r="PG232" s="26"/>
      <c r="PH232" s="26"/>
      <c r="PI232" s="26"/>
      <c r="PJ232" s="26"/>
      <c r="PK232" s="26"/>
      <c r="PL232" s="26"/>
      <c r="PM232" s="26"/>
      <c r="PN232" s="26"/>
      <c r="PO232" s="26"/>
      <c r="PP232" s="26"/>
      <c r="PQ232" s="26"/>
      <c r="PR232" s="26"/>
      <c r="PS232" s="26"/>
      <c r="PT232" s="26"/>
      <c r="PU232" s="26"/>
      <c r="PV232" s="26"/>
      <c r="PW232" s="26"/>
      <c r="PX232" s="26"/>
      <c r="PY232" s="26"/>
      <c r="PZ232" s="26"/>
      <c r="QA232" s="26"/>
      <c r="QB232" s="26"/>
      <c r="QC232" s="26"/>
      <c r="QD232" s="26"/>
      <c r="QE232" s="26"/>
      <c r="QF232" s="26"/>
      <c r="QG232" s="26"/>
      <c r="QH232" s="26"/>
      <c r="QI232" s="26"/>
      <c r="QJ232" s="26"/>
      <c r="QK232" s="26"/>
      <c r="QL232" s="26"/>
      <c r="QM232" s="26"/>
      <c r="QN232" s="26"/>
      <c r="QO232" s="26"/>
      <c r="QP232" s="26"/>
      <c r="QQ232" s="26"/>
      <c r="QR232" s="26"/>
      <c r="QS232" s="26"/>
      <c r="QT232" s="26"/>
      <c r="QU232" s="26"/>
      <c r="QV232" s="26"/>
      <c r="QW232" s="26"/>
      <c r="QX232" s="26"/>
      <c r="QY232" s="26"/>
      <c r="QZ232" s="26"/>
      <c r="RA232" s="26"/>
      <c r="RB232" s="26"/>
      <c r="RC232" s="26"/>
      <c r="RD232" s="26"/>
      <c r="RE232" s="26"/>
      <c r="RF232" s="26"/>
      <c r="RG232" s="26"/>
      <c r="RH232" s="26"/>
      <c r="RI232" s="26"/>
      <c r="RJ232" s="26"/>
      <c r="RK232" s="26"/>
      <c r="RL232" s="26"/>
      <c r="RM232" s="26"/>
      <c r="RN232" s="26"/>
      <c r="RO232" s="26"/>
      <c r="RP232" s="26"/>
      <c r="RQ232" s="26"/>
      <c r="RR232" s="26"/>
      <c r="RS232" s="26"/>
      <c r="RT232" s="26"/>
      <c r="RU232" s="26"/>
      <c r="RV232" s="26"/>
      <c r="RW232" s="26"/>
      <c r="RX232" s="26"/>
      <c r="RY232" s="26"/>
      <c r="RZ232" s="26"/>
      <c r="SA232" s="26"/>
      <c r="SB232" s="26"/>
      <c r="SC232" s="26"/>
      <c r="SD232" s="26"/>
      <c r="SE232" s="26"/>
      <c r="SF232" s="26"/>
      <c r="SG232" s="26"/>
      <c r="SH232" s="26"/>
      <c r="SI232" s="26"/>
      <c r="SJ232" s="26"/>
      <c r="SK232" s="26"/>
      <c r="SL232" s="26"/>
      <c r="SM232" s="26"/>
      <c r="SN232" s="26"/>
      <c r="SO232" s="26"/>
      <c r="SP232" s="26"/>
      <c r="SQ232" s="26"/>
      <c r="SR232" s="26"/>
      <c r="SS232" s="26"/>
      <c r="ST232" s="26"/>
      <c r="SU232" s="26"/>
      <c r="SV232" s="26"/>
      <c r="SW232" s="26"/>
      <c r="SX232" s="26"/>
      <c r="SY232" s="26"/>
      <c r="SZ232" s="26"/>
      <c r="TA232" s="26"/>
      <c r="TB232" s="26"/>
      <c r="TC232" s="26"/>
      <c r="TD232" s="26"/>
      <c r="TE232" s="26"/>
      <c r="TF232" s="26"/>
      <c r="TG232" s="26"/>
      <c r="TH232" s="26"/>
      <c r="TI232" s="26"/>
    </row>
    <row r="233" spans="1:529" s="23" customFormat="1" ht="37.5" customHeight="1" x14ac:dyDescent="0.25">
      <c r="A233" s="52" t="s">
        <v>288</v>
      </c>
      <c r="B233" s="45" t="str">
        <f>'дод 4'!A155</f>
        <v>7650</v>
      </c>
      <c r="C233" s="45" t="str">
        <f>'дод 4'!B155</f>
        <v>0490</v>
      </c>
      <c r="D233" s="22" t="str">
        <f>'дод 4'!C155</f>
        <v>Проведення експертної грошової оцінки земельної ділянки чи права на неї</v>
      </c>
      <c r="E233" s="69">
        <f t="shared" si="139"/>
        <v>0</v>
      </c>
      <c r="F233" s="69"/>
      <c r="G233" s="69"/>
      <c r="H233" s="69"/>
      <c r="I233" s="69"/>
      <c r="J233" s="69">
        <f t="shared" si="141"/>
        <v>30000</v>
      </c>
      <c r="K233" s="69">
        <v>30000</v>
      </c>
      <c r="L233" s="69"/>
      <c r="M233" s="69"/>
      <c r="N233" s="69"/>
      <c r="O233" s="69">
        <v>30000</v>
      </c>
      <c r="P233" s="69">
        <f t="shared" si="140"/>
        <v>30000</v>
      </c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  <c r="JK233" s="26"/>
      <c r="JL233" s="26"/>
      <c r="JM233" s="26"/>
      <c r="JN233" s="26"/>
      <c r="JO233" s="26"/>
      <c r="JP233" s="26"/>
      <c r="JQ233" s="26"/>
      <c r="JR233" s="26"/>
      <c r="JS233" s="26"/>
      <c r="JT233" s="26"/>
      <c r="JU233" s="26"/>
      <c r="JV233" s="26"/>
      <c r="JW233" s="26"/>
      <c r="JX233" s="26"/>
      <c r="JY233" s="26"/>
      <c r="JZ233" s="26"/>
      <c r="KA233" s="26"/>
      <c r="KB233" s="26"/>
      <c r="KC233" s="26"/>
      <c r="KD233" s="26"/>
      <c r="KE233" s="26"/>
      <c r="KF233" s="26"/>
      <c r="KG233" s="26"/>
      <c r="KH233" s="26"/>
      <c r="KI233" s="26"/>
      <c r="KJ233" s="26"/>
      <c r="KK233" s="26"/>
      <c r="KL233" s="26"/>
      <c r="KM233" s="26"/>
      <c r="KN233" s="26"/>
      <c r="KO233" s="26"/>
      <c r="KP233" s="26"/>
      <c r="KQ233" s="26"/>
      <c r="KR233" s="26"/>
      <c r="KS233" s="26"/>
      <c r="KT233" s="26"/>
      <c r="KU233" s="26"/>
      <c r="KV233" s="26"/>
      <c r="KW233" s="26"/>
      <c r="KX233" s="26"/>
      <c r="KY233" s="26"/>
      <c r="KZ233" s="26"/>
      <c r="LA233" s="26"/>
      <c r="LB233" s="26"/>
      <c r="LC233" s="26"/>
      <c r="LD233" s="26"/>
      <c r="LE233" s="26"/>
      <c r="LF233" s="26"/>
      <c r="LG233" s="26"/>
      <c r="LH233" s="26"/>
      <c r="LI233" s="26"/>
      <c r="LJ233" s="26"/>
      <c r="LK233" s="26"/>
      <c r="LL233" s="26"/>
      <c r="LM233" s="26"/>
      <c r="LN233" s="26"/>
      <c r="LO233" s="26"/>
      <c r="LP233" s="26"/>
      <c r="LQ233" s="26"/>
      <c r="LR233" s="26"/>
      <c r="LS233" s="26"/>
      <c r="LT233" s="26"/>
      <c r="LU233" s="26"/>
      <c r="LV233" s="26"/>
      <c r="LW233" s="26"/>
      <c r="LX233" s="26"/>
      <c r="LY233" s="26"/>
      <c r="LZ233" s="26"/>
      <c r="MA233" s="26"/>
      <c r="MB233" s="26"/>
      <c r="MC233" s="26"/>
      <c r="MD233" s="26"/>
      <c r="ME233" s="26"/>
      <c r="MF233" s="26"/>
      <c r="MG233" s="26"/>
      <c r="MH233" s="26"/>
      <c r="MI233" s="26"/>
      <c r="MJ233" s="26"/>
      <c r="MK233" s="26"/>
      <c r="ML233" s="26"/>
      <c r="MM233" s="26"/>
      <c r="MN233" s="26"/>
      <c r="MO233" s="26"/>
      <c r="MP233" s="26"/>
      <c r="MQ233" s="26"/>
      <c r="MR233" s="26"/>
      <c r="MS233" s="26"/>
      <c r="MT233" s="26"/>
      <c r="MU233" s="26"/>
      <c r="MV233" s="26"/>
      <c r="MW233" s="26"/>
      <c r="MX233" s="26"/>
      <c r="MY233" s="26"/>
      <c r="MZ233" s="26"/>
      <c r="NA233" s="26"/>
      <c r="NB233" s="26"/>
      <c r="NC233" s="26"/>
      <c r="ND233" s="26"/>
      <c r="NE233" s="26"/>
      <c r="NF233" s="26"/>
      <c r="NG233" s="26"/>
      <c r="NH233" s="26"/>
      <c r="NI233" s="26"/>
      <c r="NJ233" s="26"/>
      <c r="NK233" s="26"/>
      <c r="NL233" s="26"/>
      <c r="NM233" s="26"/>
      <c r="NN233" s="26"/>
      <c r="NO233" s="26"/>
      <c r="NP233" s="26"/>
      <c r="NQ233" s="26"/>
      <c r="NR233" s="26"/>
      <c r="NS233" s="26"/>
      <c r="NT233" s="26"/>
      <c r="NU233" s="26"/>
      <c r="NV233" s="26"/>
      <c r="NW233" s="26"/>
      <c r="NX233" s="26"/>
      <c r="NY233" s="26"/>
      <c r="NZ233" s="26"/>
      <c r="OA233" s="26"/>
      <c r="OB233" s="26"/>
      <c r="OC233" s="26"/>
      <c r="OD233" s="26"/>
      <c r="OE233" s="26"/>
      <c r="OF233" s="26"/>
      <c r="OG233" s="26"/>
      <c r="OH233" s="26"/>
      <c r="OI233" s="26"/>
      <c r="OJ233" s="26"/>
      <c r="OK233" s="26"/>
      <c r="OL233" s="26"/>
      <c r="OM233" s="26"/>
      <c r="ON233" s="26"/>
      <c r="OO233" s="26"/>
      <c r="OP233" s="26"/>
      <c r="OQ233" s="26"/>
      <c r="OR233" s="26"/>
      <c r="OS233" s="26"/>
      <c r="OT233" s="26"/>
      <c r="OU233" s="26"/>
      <c r="OV233" s="26"/>
      <c r="OW233" s="26"/>
      <c r="OX233" s="26"/>
      <c r="OY233" s="26"/>
      <c r="OZ233" s="26"/>
      <c r="PA233" s="26"/>
      <c r="PB233" s="26"/>
      <c r="PC233" s="26"/>
      <c r="PD233" s="26"/>
      <c r="PE233" s="26"/>
      <c r="PF233" s="26"/>
      <c r="PG233" s="26"/>
      <c r="PH233" s="26"/>
      <c r="PI233" s="26"/>
      <c r="PJ233" s="26"/>
      <c r="PK233" s="26"/>
      <c r="PL233" s="26"/>
      <c r="PM233" s="26"/>
      <c r="PN233" s="26"/>
      <c r="PO233" s="26"/>
      <c r="PP233" s="26"/>
      <c r="PQ233" s="26"/>
      <c r="PR233" s="26"/>
      <c r="PS233" s="26"/>
      <c r="PT233" s="26"/>
      <c r="PU233" s="26"/>
      <c r="PV233" s="26"/>
      <c r="PW233" s="26"/>
      <c r="PX233" s="26"/>
      <c r="PY233" s="26"/>
      <c r="PZ233" s="26"/>
      <c r="QA233" s="26"/>
      <c r="QB233" s="26"/>
      <c r="QC233" s="26"/>
      <c r="QD233" s="26"/>
      <c r="QE233" s="26"/>
      <c r="QF233" s="26"/>
      <c r="QG233" s="26"/>
      <c r="QH233" s="26"/>
      <c r="QI233" s="26"/>
      <c r="QJ233" s="26"/>
      <c r="QK233" s="26"/>
      <c r="QL233" s="26"/>
      <c r="QM233" s="26"/>
      <c r="QN233" s="26"/>
      <c r="QO233" s="26"/>
      <c r="QP233" s="26"/>
      <c r="QQ233" s="26"/>
      <c r="QR233" s="26"/>
      <c r="QS233" s="26"/>
      <c r="QT233" s="26"/>
      <c r="QU233" s="26"/>
      <c r="QV233" s="26"/>
      <c r="QW233" s="26"/>
      <c r="QX233" s="26"/>
      <c r="QY233" s="26"/>
      <c r="QZ233" s="26"/>
      <c r="RA233" s="26"/>
      <c r="RB233" s="26"/>
      <c r="RC233" s="26"/>
      <c r="RD233" s="26"/>
      <c r="RE233" s="26"/>
      <c r="RF233" s="26"/>
      <c r="RG233" s="26"/>
      <c r="RH233" s="26"/>
      <c r="RI233" s="26"/>
      <c r="RJ233" s="26"/>
      <c r="RK233" s="26"/>
      <c r="RL233" s="26"/>
      <c r="RM233" s="26"/>
      <c r="RN233" s="26"/>
      <c r="RO233" s="26"/>
      <c r="RP233" s="26"/>
      <c r="RQ233" s="26"/>
      <c r="RR233" s="26"/>
      <c r="RS233" s="26"/>
      <c r="RT233" s="26"/>
      <c r="RU233" s="26"/>
      <c r="RV233" s="26"/>
      <c r="RW233" s="26"/>
      <c r="RX233" s="26"/>
      <c r="RY233" s="26"/>
      <c r="RZ233" s="26"/>
      <c r="SA233" s="26"/>
      <c r="SB233" s="26"/>
      <c r="SC233" s="26"/>
      <c r="SD233" s="26"/>
      <c r="SE233" s="26"/>
      <c r="SF233" s="26"/>
      <c r="SG233" s="26"/>
      <c r="SH233" s="26"/>
      <c r="SI233" s="26"/>
      <c r="SJ233" s="26"/>
      <c r="SK233" s="26"/>
      <c r="SL233" s="26"/>
      <c r="SM233" s="26"/>
      <c r="SN233" s="26"/>
      <c r="SO233" s="26"/>
      <c r="SP233" s="26"/>
      <c r="SQ233" s="26"/>
      <c r="SR233" s="26"/>
      <c r="SS233" s="26"/>
      <c r="ST233" s="26"/>
      <c r="SU233" s="26"/>
      <c r="SV233" s="26"/>
      <c r="SW233" s="26"/>
      <c r="SX233" s="26"/>
      <c r="SY233" s="26"/>
      <c r="SZ233" s="26"/>
      <c r="TA233" s="26"/>
      <c r="TB233" s="26"/>
      <c r="TC233" s="26"/>
      <c r="TD233" s="26"/>
      <c r="TE233" s="26"/>
      <c r="TF233" s="26"/>
      <c r="TG233" s="26"/>
      <c r="TH233" s="26"/>
      <c r="TI233" s="26"/>
    </row>
    <row r="234" spans="1:529" s="23" customFormat="1" ht="51.75" customHeight="1" x14ac:dyDescent="0.25">
      <c r="A234" s="52" t="s">
        <v>290</v>
      </c>
      <c r="B234" s="45" t="str">
        <f>'дод 4'!A156</f>
        <v>7660</v>
      </c>
      <c r="C234" s="45" t="str">
        <f>'дод 4'!B156</f>
        <v>0490</v>
      </c>
      <c r="D234" s="22" t="str">
        <f>'дод 4'!C156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34" s="69">
        <f t="shared" si="139"/>
        <v>0</v>
      </c>
      <c r="F234" s="69"/>
      <c r="G234" s="69"/>
      <c r="H234" s="69"/>
      <c r="I234" s="69"/>
      <c r="J234" s="69">
        <f t="shared" si="141"/>
        <v>90000</v>
      </c>
      <c r="K234" s="69">
        <f>45000+45000</f>
        <v>90000</v>
      </c>
      <c r="L234" s="69"/>
      <c r="M234" s="69"/>
      <c r="N234" s="69"/>
      <c r="O234" s="69">
        <f>45000+45000</f>
        <v>90000</v>
      </c>
      <c r="P234" s="69">
        <f t="shared" si="140"/>
        <v>90000</v>
      </c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  <c r="MA234" s="26"/>
      <c r="MB234" s="26"/>
      <c r="MC234" s="26"/>
      <c r="MD234" s="26"/>
      <c r="ME234" s="26"/>
      <c r="MF234" s="26"/>
      <c r="MG234" s="26"/>
      <c r="MH234" s="26"/>
      <c r="MI234" s="26"/>
      <c r="MJ234" s="26"/>
      <c r="MK234" s="26"/>
      <c r="ML234" s="26"/>
      <c r="MM234" s="26"/>
      <c r="MN234" s="26"/>
      <c r="MO234" s="26"/>
      <c r="MP234" s="26"/>
      <c r="MQ234" s="26"/>
      <c r="MR234" s="26"/>
      <c r="MS234" s="26"/>
      <c r="MT234" s="26"/>
      <c r="MU234" s="26"/>
      <c r="MV234" s="26"/>
      <c r="MW234" s="26"/>
      <c r="MX234" s="26"/>
      <c r="MY234" s="26"/>
      <c r="MZ234" s="26"/>
      <c r="NA234" s="26"/>
      <c r="NB234" s="26"/>
      <c r="NC234" s="26"/>
      <c r="ND234" s="26"/>
      <c r="NE234" s="26"/>
      <c r="NF234" s="26"/>
      <c r="NG234" s="26"/>
      <c r="NH234" s="26"/>
      <c r="NI234" s="26"/>
      <c r="NJ234" s="26"/>
      <c r="NK234" s="26"/>
      <c r="NL234" s="26"/>
      <c r="NM234" s="26"/>
      <c r="NN234" s="26"/>
      <c r="NO234" s="26"/>
      <c r="NP234" s="26"/>
      <c r="NQ234" s="26"/>
      <c r="NR234" s="26"/>
      <c r="NS234" s="26"/>
      <c r="NT234" s="26"/>
      <c r="NU234" s="26"/>
      <c r="NV234" s="26"/>
      <c r="NW234" s="26"/>
      <c r="NX234" s="26"/>
      <c r="NY234" s="26"/>
      <c r="NZ234" s="26"/>
      <c r="OA234" s="26"/>
      <c r="OB234" s="26"/>
      <c r="OC234" s="26"/>
      <c r="OD234" s="26"/>
      <c r="OE234" s="26"/>
      <c r="OF234" s="26"/>
      <c r="OG234" s="26"/>
      <c r="OH234" s="26"/>
      <c r="OI234" s="26"/>
      <c r="OJ234" s="26"/>
      <c r="OK234" s="26"/>
      <c r="OL234" s="26"/>
      <c r="OM234" s="26"/>
      <c r="ON234" s="26"/>
      <c r="OO234" s="26"/>
      <c r="OP234" s="26"/>
      <c r="OQ234" s="26"/>
      <c r="OR234" s="26"/>
      <c r="OS234" s="26"/>
      <c r="OT234" s="26"/>
      <c r="OU234" s="26"/>
      <c r="OV234" s="26"/>
      <c r="OW234" s="26"/>
      <c r="OX234" s="26"/>
      <c r="OY234" s="26"/>
      <c r="OZ234" s="26"/>
      <c r="PA234" s="26"/>
      <c r="PB234" s="26"/>
      <c r="PC234" s="26"/>
      <c r="PD234" s="26"/>
      <c r="PE234" s="26"/>
      <c r="PF234" s="26"/>
      <c r="PG234" s="26"/>
      <c r="PH234" s="26"/>
      <c r="PI234" s="26"/>
      <c r="PJ234" s="26"/>
      <c r="PK234" s="26"/>
      <c r="PL234" s="26"/>
      <c r="PM234" s="26"/>
      <c r="PN234" s="26"/>
      <c r="PO234" s="26"/>
      <c r="PP234" s="26"/>
      <c r="PQ234" s="26"/>
      <c r="PR234" s="26"/>
      <c r="PS234" s="26"/>
      <c r="PT234" s="26"/>
      <c r="PU234" s="26"/>
      <c r="PV234" s="26"/>
      <c r="PW234" s="26"/>
      <c r="PX234" s="26"/>
      <c r="PY234" s="26"/>
      <c r="PZ234" s="26"/>
      <c r="QA234" s="26"/>
      <c r="QB234" s="26"/>
      <c r="QC234" s="26"/>
      <c r="QD234" s="26"/>
      <c r="QE234" s="26"/>
      <c r="QF234" s="26"/>
      <c r="QG234" s="26"/>
      <c r="QH234" s="26"/>
      <c r="QI234" s="26"/>
      <c r="QJ234" s="26"/>
      <c r="QK234" s="26"/>
      <c r="QL234" s="26"/>
      <c r="QM234" s="26"/>
      <c r="QN234" s="26"/>
      <c r="QO234" s="26"/>
      <c r="QP234" s="26"/>
      <c r="QQ234" s="26"/>
      <c r="QR234" s="26"/>
      <c r="QS234" s="26"/>
      <c r="QT234" s="26"/>
      <c r="QU234" s="26"/>
      <c r="QV234" s="26"/>
      <c r="QW234" s="26"/>
      <c r="QX234" s="26"/>
      <c r="QY234" s="26"/>
      <c r="QZ234" s="26"/>
      <c r="RA234" s="26"/>
      <c r="RB234" s="26"/>
      <c r="RC234" s="26"/>
      <c r="RD234" s="26"/>
      <c r="RE234" s="26"/>
      <c r="RF234" s="26"/>
      <c r="RG234" s="26"/>
      <c r="RH234" s="26"/>
      <c r="RI234" s="26"/>
      <c r="RJ234" s="26"/>
      <c r="RK234" s="26"/>
      <c r="RL234" s="26"/>
      <c r="RM234" s="26"/>
      <c r="RN234" s="26"/>
      <c r="RO234" s="26"/>
      <c r="RP234" s="26"/>
      <c r="RQ234" s="26"/>
      <c r="RR234" s="26"/>
      <c r="RS234" s="26"/>
      <c r="RT234" s="26"/>
      <c r="RU234" s="26"/>
      <c r="RV234" s="26"/>
      <c r="RW234" s="26"/>
      <c r="RX234" s="26"/>
      <c r="RY234" s="26"/>
      <c r="RZ234" s="26"/>
      <c r="SA234" s="26"/>
      <c r="SB234" s="26"/>
      <c r="SC234" s="26"/>
      <c r="SD234" s="26"/>
      <c r="SE234" s="26"/>
      <c r="SF234" s="26"/>
      <c r="SG234" s="26"/>
      <c r="SH234" s="26"/>
      <c r="SI234" s="26"/>
      <c r="SJ234" s="26"/>
      <c r="SK234" s="26"/>
      <c r="SL234" s="26"/>
      <c r="SM234" s="26"/>
      <c r="SN234" s="26"/>
      <c r="SO234" s="26"/>
      <c r="SP234" s="26"/>
      <c r="SQ234" s="26"/>
      <c r="SR234" s="26"/>
      <c r="SS234" s="26"/>
      <c r="ST234" s="26"/>
      <c r="SU234" s="26"/>
      <c r="SV234" s="26"/>
      <c r="SW234" s="26"/>
      <c r="SX234" s="26"/>
      <c r="SY234" s="26"/>
      <c r="SZ234" s="26"/>
      <c r="TA234" s="26"/>
      <c r="TB234" s="26"/>
      <c r="TC234" s="26"/>
      <c r="TD234" s="26"/>
      <c r="TE234" s="26"/>
      <c r="TF234" s="26"/>
      <c r="TG234" s="26"/>
      <c r="TH234" s="26"/>
      <c r="TI234" s="26"/>
    </row>
    <row r="235" spans="1:529" s="23" customFormat="1" ht="23.25" customHeight="1" x14ac:dyDescent="0.25">
      <c r="A235" s="52" t="s">
        <v>286</v>
      </c>
      <c r="B235" s="45" t="str">
        <f>'дод 4'!A160</f>
        <v>7693</v>
      </c>
      <c r="C235" s="45" t="str">
        <f>'дод 4'!B160</f>
        <v>0490</v>
      </c>
      <c r="D235" s="22" t="str">
        <f>'дод 4'!C160</f>
        <v>Інші заходи, пов'язані з економічною діяльністю</v>
      </c>
      <c r="E235" s="69">
        <f t="shared" si="139"/>
        <v>690000</v>
      </c>
      <c r="F235" s="69">
        <f>490000+200000</f>
        <v>690000</v>
      </c>
      <c r="G235" s="69"/>
      <c r="H235" s="69"/>
      <c r="I235" s="69"/>
      <c r="J235" s="69">
        <f t="shared" si="141"/>
        <v>0</v>
      </c>
      <c r="K235" s="69"/>
      <c r="L235" s="69"/>
      <c r="M235" s="69"/>
      <c r="N235" s="69"/>
      <c r="O235" s="69"/>
      <c r="P235" s="69">
        <f t="shared" si="140"/>
        <v>690000</v>
      </c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  <c r="LB235" s="26"/>
      <c r="LC235" s="26"/>
      <c r="LD235" s="26"/>
      <c r="LE235" s="26"/>
      <c r="LF235" s="26"/>
      <c r="LG235" s="26"/>
      <c r="LH235" s="26"/>
      <c r="LI235" s="26"/>
      <c r="LJ235" s="26"/>
      <c r="LK235" s="26"/>
      <c r="LL235" s="26"/>
      <c r="LM235" s="26"/>
      <c r="LN235" s="26"/>
      <c r="LO235" s="26"/>
      <c r="LP235" s="26"/>
      <c r="LQ235" s="26"/>
      <c r="LR235" s="26"/>
      <c r="LS235" s="26"/>
      <c r="LT235" s="26"/>
      <c r="LU235" s="26"/>
      <c r="LV235" s="26"/>
      <c r="LW235" s="26"/>
      <c r="LX235" s="26"/>
      <c r="LY235" s="26"/>
      <c r="LZ235" s="26"/>
      <c r="MA235" s="26"/>
      <c r="MB235" s="26"/>
      <c r="MC235" s="26"/>
      <c r="MD235" s="26"/>
      <c r="ME235" s="26"/>
      <c r="MF235" s="26"/>
      <c r="MG235" s="26"/>
      <c r="MH235" s="26"/>
      <c r="MI235" s="26"/>
      <c r="MJ235" s="26"/>
      <c r="MK235" s="26"/>
      <c r="ML235" s="26"/>
      <c r="MM235" s="26"/>
      <c r="MN235" s="26"/>
      <c r="MO235" s="26"/>
      <c r="MP235" s="26"/>
      <c r="MQ235" s="26"/>
      <c r="MR235" s="26"/>
      <c r="MS235" s="26"/>
      <c r="MT235" s="26"/>
      <c r="MU235" s="26"/>
      <c r="MV235" s="26"/>
      <c r="MW235" s="26"/>
      <c r="MX235" s="26"/>
      <c r="MY235" s="26"/>
      <c r="MZ235" s="26"/>
      <c r="NA235" s="26"/>
      <c r="NB235" s="26"/>
      <c r="NC235" s="26"/>
      <c r="ND235" s="26"/>
      <c r="NE235" s="26"/>
      <c r="NF235" s="26"/>
      <c r="NG235" s="26"/>
      <c r="NH235" s="26"/>
      <c r="NI235" s="26"/>
      <c r="NJ235" s="26"/>
      <c r="NK235" s="26"/>
      <c r="NL235" s="26"/>
      <c r="NM235" s="26"/>
      <c r="NN235" s="26"/>
      <c r="NO235" s="26"/>
      <c r="NP235" s="26"/>
      <c r="NQ235" s="26"/>
      <c r="NR235" s="26"/>
      <c r="NS235" s="26"/>
      <c r="NT235" s="26"/>
      <c r="NU235" s="26"/>
      <c r="NV235" s="26"/>
      <c r="NW235" s="26"/>
      <c r="NX235" s="26"/>
      <c r="NY235" s="26"/>
      <c r="NZ235" s="26"/>
      <c r="OA235" s="26"/>
      <c r="OB235" s="26"/>
      <c r="OC235" s="26"/>
      <c r="OD235" s="26"/>
      <c r="OE235" s="26"/>
      <c r="OF235" s="26"/>
      <c r="OG235" s="26"/>
      <c r="OH235" s="26"/>
      <c r="OI235" s="26"/>
      <c r="OJ235" s="26"/>
      <c r="OK235" s="26"/>
      <c r="OL235" s="26"/>
      <c r="OM235" s="26"/>
      <c r="ON235" s="26"/>
      <c r="OO235" s="26"/>
      <c r="OP235" s="26"/>
      <c r="OQ235" s="26"/>
      <c r="OR235" s="26"/>
      <c r="OS235" s="26"/>
      <c r="OT235" s="26"/>
      <c r="OU235" s="26"/>
      <c r="OV235" s="26"/>
      <c r="OW235" s="26"/>
      <c r="OX235" s="26"/>
      <c r="OY235" s="26"/>
      <c r="OZ235" s="26"/>
      <c r="PA235" s="26"/>
      <c r="PB235" s="26"/>
      <c r="PC235" s="26"/>
      <c r="PD235" s="26"/>
      <c r="PE235" s="26"/>
      <c r="PF235" s="26"/>
      <c r="PG235" s="26"/>
      <c r="PH235" s="26"/>
      <c r="PI235" s="26"/>
      <c r="PJ235" s="26"/>
      <c r="PK235" s="26"/>
      <c r="PL235" s="26"/>
      <c r="PM235" s="26"/>
      <c r="PN235" s="26"/>
      <c r="PO235" s="26"/>
      <c r="PP235" s="26"/>
      <c r="PQ235" s="26"/>
      <c r="PR235" s="26"/>
      <c r="PS235" s="26"/>
      <c r="PT235" s="26"/>
      <c r="PU235" s="26"/>
      <c r="PV235" s="26"/>
      <c r="PW235" s="26"/>
      <c r="PX235" s="26"/>
      <c r="PY235" s="26"/>
      <c r="PZ235" s="26"/>
      <c r="QA235" s="26"/>
      <c r="QB235" s="26"/>
      <c r="QC235" s="26"/>
      <c r="QD235" s="26"/>
      <c r="QE235" s="26"/>
      <c r="QF235" s="26"/>
      <c r="QG235" s="26"/>
      <c r="QH235" s="26"/>
      <c r="QI235" s="26"/>
      <c r="QJ235" s="26"/>
      <c r="QK235" s="26"/>
      <c r="QL235" s="26"/>
      <c r="QM235" s="26"/>
      <c r="QN235" s="26"/>
      <c r="QO235" s="26"/>
      <c r="QP235" s="26"/>
      <c r="QQ235" s="26"/>
      <c r="QR235" s="26"/>
      <c r="QS235" s="26"/>
      <c r="QT235" s="26"/>
      <c r="QU235" s="26"/>
      <c r="QV235" s="26"/>
      <c r="QW235" s="26"/>
      <c r="QX235" s="26"/>
      <c r="QY235" s="26"/>
      <c r="QZ235" s="26"/>
      <c r="RA235" s="26"/>
      <c r="RB235" s="26"/>
      <c r="RC235" s="26"/>
      <c r="RD235" s="26"/>
      <c r="RE235" s="26"/>
      <c r="RF235" s="26"/>
      <c r="RG235" s="26"/>
      <c r="RH235" s="26"/>
      <c r="RI235" s="26"/>
      <c r="RJ235" s="26"/>
      <c r="RK235" s="26"/>
      <c r="RL235" s="26"/>
      <c r="RM235" s="26"/>
      <c r="RN235" s="26"/>
      <c r="RO235" s="26"/>
      <c r="RP235" s="26"/>
      <c r="RQ235" s="26"/>
      <c r="RR235" s="26"/>
      <c r="RS235" s="26"/>
      <c r="RT235" s="26"/>
      <c r="RU235" s="26"/>
      <c r="RV235" s="26"/>
      <c r="RW235" s="26"/>
      <c r="RX235" s="26"/>
      <c r="RY235" s="26"/>
      <c r="RZ235" s="26"/>
      <c r="SA235" s="26"/>
      <c r="SB235" s="26"/>
      <c r="SC235" s="26"/>
      <c r="SD235" s="26"/>
      <c r="SE235" s="26"/>
      <c r="SF235" s="26"/>
      <c r="SG235" s="26"/>
      <c r="SH235" s="26"/>
      <c r="SI235" s="26"/>
      <c r="SJ235" s="26"/>
      <c r="SK235" s="26"/>
      <c r="SL235" s="26"/>
      <c r="SM235" s="26"/>
      <c r="SN235" s="26"/>
      <c r="SO235" s="26"/>
      <c r="SP235" s="26"/>
      <c r="SQ235" s="26"/>
      <c r="SR235" s="26"/>
      <c r="SS235" s="26"/>
      <c r="ST235" s="26"/>
      <c r="SU235" s="26"/>
      <c r="SV235" s="26"/>
      <c r="SW235" s="26"/>
      <c r="SX235" s="26"/>
      <c r="SY235" s="26"/>
      <c r="SZ235" s="26"/>
      <c r="TA235" s="26"/>
      <c r="TB235" s="26"/>
      <c r="TC235" s="26"/>
      <c r="TD235" s="26"/>
      <c r="TE235" s="26"/>
      <c r="TF235" s="26"/>
      <c r="TG235" s="26"/>
      <c r="TH235" s="26"/>
      <c r="TI235" s="26"/>
    </row>
    <row r="236" spans="1:529" s="31" customFormat="1" ht="31.5" customHeight="1" x14ac:dyDescent="0.2">
      <c r="A236" s="156" t="s">
        <v>235</v>
      </c>
      <c r="B236" s="74"/>
      <c r="C236" s="74"/>
      <c r="D236" s="30" t="s">
        <v>45</v>
      </c>
      <c r="E236" s="66">
        <f>E237</f>
        <v>137294665</v>
      </c>
      <c r="F236" s="66">
        <f t="shared" ref="F236:J236" si="142">F237</f>
        <v>127294665</v>
      </c>
      <c r="G236" s="66">
        <f t="shared" si="142"/>
        <v>13886000</v>
      </c>
      <c r="H236" s="66">
        <f t="shared" si="142"/>
        <v>244400</v>
      </c>
      <c r="I236" s="66">
        <f t="shared" si="142"/>
        <v>0</v>
      </c>
      <c r="J236" s="66">
        <f t="shared" si="142"/>
        <v>93500</v>
      </c>
      <c r="K236" s="66">
        <f t="shared" ref="K236" si="143">K237</f>
        <v>0</v>
      </c>
      <c r="L236" s="66">
        <f t="shared" ref="L236" si="144">L237</f>
        <v>93500</v>
      </c>
      <c r="M236" s="66">
        <f t="shared" ref="M236" si="145">M237</f>
        <v>0</v>
      </c>
      <c r="N236" s="66">
        <f t="shared" ref="N236" si="146">N237</f>
        <v>0</v>
      </c>
      <c r="O236" s="66">
        <f t="shared" ref="O236:P236" si="147">O237</f>
        <v>0</v>
      </c>
      <c r="P236" s="66">
        <f t="shared" si="147"/>
        <v>137388165</v>
      </c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  <c r="DU236" s="38"/>
      <c r="DV236" s="38"/>
      <c r="DW236" s="38"/>
      <c r="DX236" s="38"/>
      <c r="DY236" s="38"/>
      <c r="DZ236" s="38"/>
      <c r="EA236" s="38"/>
      <c r="EB236" s="38"/>
      <c r="EC236" s="38"/>
      <c r="ED236" s="38"/>
      <c r="EE236" s="38"/>
      <c r="EF236" s="38"/>
      <c r="EG236" s="38"/>
      <c r="EH236" s="38"/>
      <c r="EI236" s="38"/>
      <c r="EJ236" s="38"/>
      <c r="EK236" s="38"/>
      <c r="EL236" s="38"/>
      <c r="EM236" s="38"/>
      <c r="EN236" s="38"/>
      <c r="EO236" s="38"/>
      <c r="EP236" s="38"/>
      <c r="EQ236" s="38"/>
      <c r="ER236" s="38"/>
      <c r="ES236" s="38"/>
      <c r="ET236" s="38"/>
      <c r="EU236" s="38"/>
      <c r="EV236" s="38"/>
      <c r="EW236" s="38"/>
      <c r="EX236" s="38"/>
      <c r="EY236" s="38"/>
      <c r="EZ236" s="38"/>
      <c r="FA236" s="38"/>
      <c r="FB236" s="38"/>
      <c r="FC236" s="38"/>
      <c r="FD236" s="38"/>
      <c r="FE236" s="38"/>
      <c r="FF236" s="38"/>
      <c r="FG236" s="38"/>
      <c r="FH236" s="38"/>
      <c r="FI236" s="38"/>
      <c r="FJ236" s="38"/>
      <c r="FK236" s="38"/>
      <c r="FL236" s="38"/>
      <c r="FM236" s="38"/>
      <c r="FN236" s="38"/>
      <c r="FO236" s="38"/>
      <c r="FP236" s="38"/>
      <c r="FQ236" s="38"/>
      <c r="FR236" s="38"/>
      <c r="FS236" s="38"/>
      <c r="FT236" s="38"/>
      <c r="FU236" s="38"/>
      <c r="FV236" s="38"/>
      <c r="FW236" s="38"/>
      <c r="FX236" s="38"/>
      <c r="FY236" s="38"/>
      <c r="FZ236" s="38"/>
      <c r="GA236" s="38"/>
      <c r="GB236" s="38"/>
      <c r="GC236" s="38"/>
      <c r="GD236" s="38"/>
      <c r="GE236" s="38"/>
      <c r="GF236" s="38"/>
      <c r="GG236" s="38"/>
      <c r="GH236" s="38"/>
      <c r="GI236" s="38"/>
      <c r="GJ236" s="38"/>
      <c r="GK236" s="38"/>
      <c r="GL236" s="38"/>
      <c r="GM236" s="38"/>
      <c r="GN236" s="38"/>
      <c r="GO236" s="38"/>
      <c r="GP236" s="38"/>
      <c r="GQ236" s="38"/>
      <c r="GR236" s="38"/>
      <c r="GS236" s="38"/>
      <c r="GT236" s="38"/>
      <c r="GU236" s="38"/>
      <c r="GV236" s="38"/>
      <c r="GW236" s="38"/>
      <c r="GX236" s="38"/>
      <c r="GY236" s="38"/>
      <c r="GZ236" s="38"/>
      <c r="HA236" s="38"/>
      <c r="HB236" s="38"/>
      <c r="HC236" s="38"/>
      <c r="HD236" s="38"/>
      <c r="HE236" s="38"/>
      <c r="HF236" s="38"/>
      <c r="HG236" s="38"/>
      <c r="HH236" s="38"/>
      <c r="HI236" s="38"/>
      <c r="HJ236" s="38"/>
      <c r="HK236" s="38"/>
      <c r="HL236" s="38"/>
      <c r="HM236" s="38"/>
      <c r="HN236" s="38"/>
      <c r="HO236" s="38"/>
      <c r="HP236" s="38"/>
      <c r="HQ236" s="38"/>
      <c r="HR236" s="38"/>
      <c r="HS236" s="38"/>
      <c r="HT236" s="38"/>
      <c r="HU236" s="38"/>
      <c r="HV236" s="38"/>
      <c r="HW236" s="38"/>
      <c r="HX236" s="38"/>
      <c r="HY236" s="38"/>
      <c r="HZ236" s="38"/>
      <c r="IA236" s="38"/>
      <c r="IB236" s="38"/>
      <c r="IC236" s="38"/>
      <c r="ID236" s="38"/>
      <c r="IE236" s="38"/>
      <c r="IF236" s="38"/>
      <c r="IG236" s="38"/>
      <c r="IH236" s="38"/>
      <c r="II236" s="38"/>
      <c r="IJ236" s="38"/>
      <c r="IK236" s="38"/>
      <c r="IL236" s="38"/>
      <c r="IM236" s="38"/>
      <c r="IN236" s="38"/>
      <c r="IO236" s="38"/>
      <c r="IP236" s="38"/>
      <c r="IQ236" s="38"/>
      <c r="IR236" s="38"/>
      <c r="IS236" s="38"/>
      <c r="IT236" s="38"/>
      <c r="IU236" s="38"/>
      <c r="IV236" s="38"/>
      <c r="IW236" s="38"/>
      <c r="IX236" s="38"/>
      <c r="IY236" s="38"/>
      <c r="IZ236" s="38"/>
      <c r="JA236" s="38"/>
      <c r="JB236" s="38"/>
      <c r="JC236" s="38"/>
      <c r="JD236" s="38"/>
      <c r="JE236" s="38"/>
      <c r="JF236" s="38"/>
      <c r="JG236" s="38"/>
      <c r="JH236" s="38"/>
      <c r="JI236" s="38"/>
      <c r="JJ236" s="38"/>
      <c r="JK236" s="38"/>
      <c r="JL236" s="38"/>
      <c r="JM236" s="38"/>
      <c r="JN236" s="38"/>
      <c r="JO236" s="38"/>
      <c r="JP236" s="38"/>
      <c r="JQ236" s="38"/>
      <c r="JR236" s="38"/>
      <c r="JS236" s="38"/>
      <c r="JT236" s="38"/>
      <c r="JU236" s="38"/>
      <c r="JV236" s="38"/>
      <c r="JW236" s="38"/>
      <c r="JX236" s="38"/>
      <c r="JY236" s="38"/>
      <c r="JZ236" s="38"/>
      <c r="KA236" s="38"/>
      <c r="KB236" s="38"/>
      <c r="KC236" s="38"/>
      <c r="KD236" s="38"/>
      <c r="KE236" s="38"/>
      <c r="KF236" s="38"/>
      <c r="KG236" s="38"/>
      <c r="KH236" s="38"/>
      <c r="KI236" s="38"/>
      <c r="KJ236" s="38"/>
      <c r="KK236" s="38"/>
      <c r="KL236" s="38"/>
      <c r="KM236" s="38"/>
      <c r="KN236" s="38"/>
      <c r="KO236" s="38"/>
      <c r="KP236" s="38"/>
      <c r="KQ236" s="38"/>
      <c r="KR236" s="38"/>
      <c r="KS236" s="38"/>
      <c r="KT236" s="38"/>
      <c r="KU236" s="38"/>
      <c r="KV236" s="38"/>
      <c r="KW236" s="38"/>
      <c r="KX236" s="38"/>
      <c r="KY236" s="38"/>
      <c r="KZ236" s="38"/>
      <c r="LA236" s="38"/>
      <c r="LB236" s="38"/>
      <c r="LC236" s="38"/>
      <c r="LD236" s="38"/>
      <c r="LE236" s="38"/>
      <c r="LF236" s="38"/>
      <c r="LG236" s="38"/>
      <c r="LH236" s="38"/>
      <c r="LI236" s="38"/>
      <c r="LJ236" s="38"/>
      <c r="LK236" s="38"/>
      <c r="LL236" s="38"/>
      <c r="LM236" s="38"/>
      <c r="LN236" s="38"/>
      <c r="LO236" s="38"/>
      <c r="LP236" s="38"/>
      <c r="LQ236" s="38"/>
      <c r="LR236" s="38"/>
      <c r="LS236" s="38"/>
      <c r="LT236" s="38"/>
      <c r="LU236" s="38"/>
      <c r="LV236" s="38"/>
      <c r="LW236" s="38"/>
      <c r="LX236" s="38"/>
      <c r="LY236" s="38"/>
      <c r="LZ236" s="38"/>
      <c r="MA236" s="38"/>
      <c r="MB236" s="38"/>
      <c r="MC236" s="38"/>
      <c r="MD236" s="38"/>
      <c r="ME236" s="38"/>
      <c r="MF236" s="38"/>
      <c r="MG236" s="38"/>
      <c r="MH236" s="38"/>
      <c r="MI236" s="38"/>
      <c r="MJ236" s="38"/>
      <c r="MK236" s="38"/>
      <c r="ML236" s="38"/>
      <c r="MM236" s="38"/>
      <c r="MN236" s="38"/>
      <c r="MO236" s="38"/>
      <c r="MP236" s="38"/>
      <c r="MQ236" s="38"/>
      <c r="MR236" s="38"/>
      <c r="MS236" s="38"/>
      <c r="MT236" s="38"/>
      <c r="MU236" s="38"/>
      <c r="MV236" s="38"/>
      <c r="MW236" s="38"/>
      <c r="MX236" s="38"/>
      <c r="MY236" s="38"/>
      <c r="MZ236" s="38"/>
      <c r="NA236" s="38"/>
      <c r="NB236" s="38"/>
      <c r="NC236" s="38"/>
      <c r="ND236" s="38"/>
      <c r="NE236" s="38"/>
      <c r="NF236" s="38"/>
      <c r="NG236" s="38"/>
      <c r="NH236" s="38"/>
      <c r="NI236" s="38"/>
      <c r="NJ236" s="38"/>
      <c r="NK236" s="38"/>
      <c r="NL236" s="38"/>
      <c r="NM236" s="38"/>
      <c r="NN236" s="38"/>
      <c r="NO236" s="38"/>
      <c r="NP236" s="38"/>
      <c r="NQ236" s="38"/>
      <c r="NR236" s="38"/>
      <c r="NS236" s="38"/>
      <c r="NT236" s="38"/>
      <c r="NU236" s="38"/>
      <c r="NV236" s="38"/>
      <c r="NW236" s="38"/>
      <c r="NX236" s="38"/>
      <c r="NY236" s="38"/>
      <c r="NZ236" s="38"/>
      <c r="OA236" s="38"/>
      <c r="OB236" s="38"/>
      <c r="OC236" s="38"/>
      <c r="OD236" s="38"/>
      <c r="OE236" s="38"/>
      <c r="OF236" s="38"/>
      <c r="OG236" s="38"/>
      <c r="OH236" s="38"/>
      <c r="OI236" s="38"/>
      <c r="OJ236" s="38"/>
      <c r="OK236" s="38"/>
      <c r="OL236" s="38"/>
      <c r="OM236" s="38"/>
      <c r="ON236" s="38"/>
      <c r="OO236" s="38"/>
      <c r="OP236" s="38"/>
      <c r="OQ236" s="38"/>
      <c r="OR236" s="38"/>
      <c r="OS236" s="38"/>
      <c r="OT236" s="38"/>
      <c r="OU236" s="38"/>
      <c r="OV236" s="38"/>
      <c r="OW236" s="38"/>
      <c r="OX236" s="38"/>
      <c r="OY236" s="38"/>
      <c r="OZ236" s="38"/>
      <c r="PA236" s="38"/>
      <c r="PB236" s="38"/>
      <c r="PC236" s="38"/>
      <c r="PD236" s="38"/>
      <c r="PE236" s="38"/>
      <c r="PF236" s="38"/>
      <c r="PG236" s="38"/>
      <c r="PH236" s="38"/>
      <c r="PI236" s="38"/>
      <c r="PJ236" s="38"/>
      <c r="PK236" s="38"/>
      <c r="PL236" s="38"/>
      <c r="PM236" s="38"/>
      <c r="PN236" s="38"/>
      <c r="PO236" s="38"/>
      <c r="PP236" s="38"/>
      <c r="PQ236" s="38"/>
      <c r="PR236" s="38"/>
      <c r="PS236" s="38"/>
      <c r="PT236" s="38"/>
      <c r="PU236" s="38"/>
      <c r="PV236" s="38"/>
      <c r="PW236" s="38"/>
      <c r="PX236" s="38"/>
      <c r="PY236" s="38"/>
      <c r="PZ236" s="38"/>
      <c r="QA236" s="38"/>
      <c r="QB236" s="38"/>
      <c r="QC236" s="38"/>
      <c r="QD236" s="38"/>
      <c r="QE236" s="38"/>
      <c r="QF236" s="38"/>
      <c r="QG236" s="38"/>
      <c r="QH236" s="38"/>
      <c r="QI236" s="38"/>
      <c r="QJ236" s="38"/>
      <c r="QK236" s="38"/>
      <c r="QL236" s="38"/>
      <c r="QM236" s="38"/>
      <c r="QN236" s="38"/>
      <c r="QO236" s="38"/>
      <c r="QP236" s="38"/>
      <c r="QQ236" s="38"/>
      <c r="QR236" s="38"/>
      <c r="QS236" s="38"/>
      <c r="QT236" s="38"/>
      <c r="QU236" s="38"/>
      <c r="QV236" s="38"/>
      <c r="QW236" s="38"/>
      <c r="QX236" s="38"/>
      <c r="QY236" s="38"/>
      <c r="QZ236" s="38"/>
      <c r="RA236" s="38"/>
      <c r="RB236" s="38"/>
      <c r="RC236" s="38"/>
      <c r="RD236" s="38"/>
      <c r="RE236" s="38"/>
      <c r="RF236" s="38"/>
      <c r="RG236" s="38"/>
      <c r="RH236" s="38"/>
      <c r="RI236" s="38"/>
      <c r="RJ236" s="38"/>
      <c r="RK236" s="38"/>
      <c r="RL236" s="38"/>
      <c r="RM236" s="38"/>
      <c r="RN236" s="38"/>
      <c r="RO236" s="38"/>
      <c r="RP236" s="38"/>
      <c r="RQ236" s="38"/>
      <c r="RR236" s="38"/>
      <c r="RS236" s="38"/>
      <c r="RT236" s="38"/>
      <c r="RU236" s="38"/>
      <c r="RV236" s="38"/>
      <c r="RW236" s="38"/>
      <c r="RX236" s="38"/>
      <c r="RY236" s="38"/>
      <c r="RZ236" s="38"/>
      <c r="SA236" s="38"/>
      <c r="SB236" s="38"/>
      <c r="SC236" s="38"/>
      <c r="SD236" s="38"/>
      <c r="SE236" s="38"/>
      <c r="SF236" s="38"/>
      <c r="SG236" s="38"/>
      <c r="SH236" s="38"/>
      <c r="SI236" s="38"/>
      <c r="SJ236" s="38"/>
      <c r="SK236" s="38"/>
      <c r="SL236" s="38"/>
      <c r="SM236" s="38"/>
      <c r="SN236" s="38"/>
      <c r="SO236" s="38"/>
      <c r="SP236" s="38"/>
      <c r="SQ236" s="38"/>
      <c r="SR236" s="38"/>
      <c r="SS236" s="38"/>
      <c r="ST236" s="38"/>
      <c r="SU236" s="38"/>
      <c r="SV236" s="38"/>
      <c r="SW236" s="38"/>
      <c r="SX236" s="38"/>
      <c r="SY236" s="38"/>
      <c r="SZ236" s="38"/>
      <c r="TA236" s="38"/>
      <c r="TB236" s="38"/>
      <c r="TC236" s="38"/>
      <c r="TD236" s="38"/>
      <c r="TE236" s="38"/>
      <c r="TF236" s="38"/>
      <c r="TG236" s="38"/>
      <c r="TH236" s="38"/>
      <c r="TI236" s="38"/>
    </row>
    <row r="237" spans="1:529" s="40" customFormat="1" ht="34.5" customHeight="1" x14ac:dyDescent="0.25">
      <c r="A237" s="76" t="s">
        <v>236</v>
      </c>
      <c r="B237" s="75"/>
      <c r="C237" s="75"/>
      <c r="D237" s="33" t="s">
        <v>45</v>
      </c>
      <c r="E237" s="68">
        <f>SUM(E238+E239+E240+E242+E243+E244+E245+E241)</f>
        <v>137294665</v>
      </c>
      <c r="F237" s="68">
        <f t="shared" ref="F237:P237" si="148">SUM(F238+F239+F240+F242+F243+F244+F245+F241)</f>
        <v>127294665</v>
      </c>
      <c r="G237" s="68">
        <f t="shared" si="148"/>
        <v>13886000</v>
      </c>
      <c r="H237" s="68">
        <f t="shared" si="148"/>
        <v>244400</v>
      </c>
      <c r="I237" s="68">
        <f t="shared" si="148"/>
        <v>0</v>
      </c>
      <c r="J237" s="68">
        <f t="shared" si="148"/>
        <v>93500</v>
      </c>
      <c r="K237" s="68">
        <f t="shared" si="148"/>
        <v>0</v>
      </c>
      <c r="L237" s="68">
        <f t="shared" si="148"/>
        <v>93500</v>
      </c>
      <c r="M237" s="68">
        <f t="shared" si="148"/>
        <v>0</v>
      </c>
      <c r="N237" s="68">
        <f t="shared" si="148"/>
        <v>0</v>
      </c>
      <c r="O237" s="68">
        <f t="shared" si="148"/>
        <v>0</v>
      </c>
      <c r="P237" s="68">
        <f t="shared" si="148"/>
        <v>137388165</v>
      </c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/>
      <c r="HY237" s="39"/>
      <c r="HZ237" s="39"/>
      <c r="IA237" s="39"/>
      <c r="IB237" s="39"/>
      <c r="IC237" s="39"/>
      <c r="ID237" s="39"/>
      <c r="IE237" s="39"/>
      <c r="IF237" s="39"/>
      <c r="IG237" s="39"/>
      <c r="IH237" s="39"/>
      <c r="II237" s="39"/>
      <c r="IJ237" s="39"/>
      <c r="IK237" s="39"/>
      <c r="IL237" s="39"/>
      <c r="IM237" s="39"/>
      <c r="IN237" s="39"/>
      <c r="IO237" s="39"/>
      <c r="IP237" s="39"/>
      <c r="IQ237" s="39"/>
      <c r="IR237" s="39"/>
      <c r="IS237" s="39"/>
      <c r="IT237" s="39"/>
      <c r="IU237" s="39"/>
      <c r="IV237" s="39"/>
      <c r="IW237" s="39"/>
      <c r="IX237" s="39"/>
      <c r="IY237" s="39"/>
      <c r="IZ237" s="39"/>
      <c r="JA237" s="39"/>
      <c r="JB237" s="39"/>
      <c r="JC237" s="39"/>
      <c r="JD237" s="39"/>
      <c r="JE237" s="39"/>
      <c r="JF237" s="39"/>
      <c r="JG237" s="39"/>
      <c r="JH237" s="39"/>
      <c r="JI237" s="39"/>
      <c r="JJ237" s="39"/>
      <c r="JK237" s="39"/>
      <c r="JL237" s="39"/>
      <c r="JM237" s="39"/>
      <c r="JN237" s="39"/>
      <c r="JO237" s="39"/>
      <c r="JP237" s="39"/>
      <c r="JQ237" s="39"/>
      <c r="JR237" s="39"/>
      <c r="JS237" s="39"/>
      <c r="JT237" s="39"/>
      <c r="JU237" s="39"/>
      <c r="JV237" s="39"/>
      <c r="JW237" s="39"/>
      <c r="JX237" s="39"/>
      <c r="JY237" s="39"/>
      <c r="JZ237" s="39"/>
      <c r="KA237" s="39"/>
      <c r="KB237" s="39"/>
      <c r="KC237" s="39"/>
      <c r="KD237" s="39"/>
      <c r="KE237" s="39"/>
      <c r="KF237" s="39"/>
      <c r="KG237" s="39"/>
      <c r="KH237" s="39"/>
      <c r="KI237" s="39"/>
      <c r="KJ237" s="39"/>
      <c r="KK237" s="39"/>
      <c r="KL237" s="39"/>
      <c r="KM237" s="39"/>
      <c r="KN237" s="39"/>
      <c r="KO237" s="39"/>
      <c r="KP237" s="39"/>
      <c r="KQ237" s="39"/>
      <c r="KR237" s="39"/>
      <c r="KS237" s="39"/>
      <c r="KT237" s="39"/>
      <c r="KU237" s="39"/>
      <c r="KV237" s="39"/>
      <c r="KW237" s="39"/>
      <c r="KX237" s="39"/>
      <c r="KY237" s="39"/>
      <c r="KZ237" s="39"/>
      <c r="LA237" s="39"/>
      <c r="LB237" s="39"/>
      <c r="LC237" s="39"/>
      <c r="LD237" s="39"/>
      <c r="LE237" s="39"/>
      <c r="LF237" s="39"/>
      <c r="LG237" s="39"/>
      <c r="LH237" s="39"/>
      <c r="LI237" s="39"/>
      <c r="LJ237" s="39"/>
      <c r="LK237" s="39"/>
      <c r="LL237" s="39"/>
      <c r="LM237" s="39"/>
      <c r="LN237" s="39"/>
      <c r="LO237" s="39"/>
      <c r="LP237" s="39"/>
      <c r="LQ237" s="39"/>
      <c r="LR237" s="39"/>
      <c r="LS237" s="39"/>
      <c r="LT237" s="39"/>
      <c r="LU237" s="39"/>
      <c r="LV237" s="39"/>
      <c r="LW237" s="39"/>
      <c r="LX237" s="39"/>
      <c r="LY237" s="39"/>
      <c r="LZ237" s="39"/>
      <c r="MA237" s="39"/>
      <c r="MB237" s="39"/>
      <c r="MC237" s="39"/>
      <c r="MD237" s="39"/>
      <c r="ME237" s="39"/>
      <c r="MF237" s="39"/>
      <c r="MG237" s="39"/>
      <c r="MH237" s="39"/>
      <c r="MI237" s="39"/>
      <c r="MJ237" s="39"/>
      <c r="MK237" s="39"/>
      <c r="ML237" s="39"/>
      <c r="MM237" s="39"/>
      <c r="MN237" s="39"/>
      <c r="MO237" s="39"/>
      <c r="MP237" s="39"/>
      <c r="MQ237" s="39"/>
      <c r="MR237" s="39"/>
      <c r="MS237" s="39"/>
      <c r="MT237" s="39"/>
      <c r="MU237" s="39"/>
      <c r="MV237" s="39"/>
      <c r="MW237" s="39"/>
      <c r="MX237" s="39"/>
      <c r="MY237" s="39"/>
      <c r="MZ237" s="39"/>
      <c r="NA237" s="39"/>
      <c r="NB237" s="39"/>
      <c r="NC237" s="39"/>
      <c r="ND237" s="39"/>
      <c r="NE237" s="39"/>
      <c r="NF237" s="39"/>
      <c r="NG237" s="39"/>
      <c r="NH237" s="39"/>
      <c r="NI237" s="39"/>
      <c r="NJ237" s="39"/>
      <c r="NK237" s="39"/>
      <c r="NL237" s="39"/>
      <c r="NM237" s="39"/>
      <c r="NN237" s="39"/>
      <c r="NO237" s="39"/>
      <c r="NP237" s="39"/>
      <c r="NQ237" s="39"/>
      <c r="NR237" s="39"/>
      <c r="NS237" s="39"/>
      <c r="NT237" s="39"/>
      <c r="NU237" s="39"/>
      <c r="NV237" s="39"/>
      <c r="NW237" s="39"/>
      <c r="NX237" s="39"/>
      <c r="NY237" s="39"/>
      <c r="NZ237" s="39"/>
      <c r="OA237" s="39"/>
      <c r="OB237" s="39"/>
      <c r="OC237" s="39"/>
      <c r="OD237" s="39"/>
      <c r="OE237" s="39"/>
      <c r="OF237" s="39"/>
      <c r="OG237" s="39"/>
      <c r="OH237" s="39"/>
      <c r="OI237" s="39"/>
      <c r="OJ237" s="39"/>
      <c r="OK237" s="39"/>
      <c r="OL237" s="39"/>
      <c r="OM237" s="39"/>
      <c r="ON237" s="39"/>
      <c r="OO237" s="39"/>
      <c r="OP237" s="39"/>
      <c r="OQ237" s="39"/>
      <c r="OR237" s="39"/>
      <c r="OS237" s="39"/>
      <c r="OT237" s="39"/>
      <c r="OU237" s="39"/>
      <c r="OV237" s="39"/>
      <c r="OW237" s="39"/>
      <c r="OX237" s="39"/>
      <c r="OY237" s="39"/>
      <c r="OZ237" s="39"/>
      <c r="PA237" s="39"/>
      <c r="PB237" s="39"/>
      <c r="PC237" s="39"/>
      <c r="PD237" s="39"/>
      <c r="PE237" s="39"/>
      <c r="PF237" s="39"/>
      <c r="PG237" s="39"/>
      <c r="PH237" s="39"/>
      <c r="PI237" s="39"/>
      <c r="PJ237" s="39"/>
      <c r="PK237" s="39"/>
      <c r="PL237" s="39"/>
      <c r="PM237" s="39"/>
      <c r="PN237" s="39"/>
      <c r="PO237" s="39"/>
      <c r="PP237" s="39"/>
      <c r="PQ237" s="39"/>
      <c r="PR237" s="39"/>
      <c r="PS237" s="39"/>
      <c r="PT237" s="39"/>
      <c r="PU237" s="39"/>
      <c r="PV237" s="39"/>
      <c r="PW237" s="39"/>
      <c r="PX237" s="39"/>
      <c r="PY237" s="39"/>
      <c r="PZ237" s="39"/>
      <c r="QA237" s="39"/>
      <c r="QB237" s="39"/>
      <c r="QC237" s="39"/>
      <c r="QD237" s="39"/>
      <c r="QE237" s="39"/>
      <c r="QF237" s="39"/>
      <c r="QG237" s="39"/>
      <c r="QH237" s="39"/>
      <c r="QI237" s="39"/>
      <c r="QJ237" s="39"/>
      <c r="QK237" s="39"/>
      <c r="QL237" s="39"/>
      <c r="QM237" s="39"/>
      <c r="QN237" s="39"/>
      <c r="QO237" s="39"/>
      <c r="QP237" s="39"/>
      <c r="QQ237" s="39"/>
      <c r="QR237" s="39"/>
      <c r="QS237" s="39"/>
      <c r="QT237" s="39"/>
      <c r="QU237" s="39"/>
      <c r="QV237" s="39"/>
      <c r="QW237" s="39"/>
      <c r="QX237" s="39"/>
      <c r="QY237" s="39"/>
      <c r="QZ237" s="39"/>
      <c r="RA237" s="39"/>
      <c r="RB237" s="39"/>
      <c r="RC237" s="39"/>
      <c r="RD237" s="39"/>
      <c r="RE237" s="39"/>
      <c r="RF237" s="39"/>
      <c r="RG237" s="39"/>
      <c r="RH237" s="39"/>
      <c r="RI237" s="39"/>
      <c r="RJ237" s="39"/>
      <c r="RK237" s="39"/>
      <c r="RL237" s="39"/>
      <c r="RM237" s="39"/>
      <c r="RN237" s="39"/>
      <c r="RO237" s="39"/>
      <c r="RP237" s="39"/>
      <c r="RQ237" s="39"/>
      <c r="RR237" s="39"/>
      <c r="RS237" s="39"/>
      <c r="RT237" s="39"/>
      <c r="RU237" s="39"/>
      <c r="RV237" s="39"/>
      <c r="RW237" s="39"/>
      <c r="RX237" s="39"/>
      <c r="RY237" s="39"/>
      <c r="RZ237" s="39"/>
      <c r="SA237" s="39"/>
      <c r="SB237" s="39"/>
      <c r="SC237" s="39"/>
      <c r="SD237" s="39"/>
      <c r="SE237" s="39"/>
      <c r="SF237" s="39"/>
      <c r="SG237" s="39"/>
      <c r="SH237" s="39"/>
      <c r="SI237" s="39"/>
      <c r="SJ237" s="39"/>
      <c r="SK237" s="39"/>
      <c r="SL237" s="39"/>
      <c r="SM237" s="39"/>
      <c r="SN237" s="39"/>
      <c r="SO237" s="39"/>
      <c r="SP237" s="39"/>
      <c r="SQ237" s="39"/>
      <c r="SR237" s="39"/>
      <c r="SS237" s="39"/>
      <c r="ST237" s="39"/>
      <c r="SU237" s="39"/>
      <c r="SV237" s="39"/>
      <c r="SW237" s="39"/>
      <c r="SX237" s="39"/>
      <c r="SY237" s="39"/>
      <c r="SZ237" s="39"/>
      <c r="TA237" s="39"/>
      <c r="TB237" s="39"/>
      <c r="TC237" s="39"/>
      <c r="TD237" s="39"/>
      <c r="TE237" s="39"/>
      <c r="TF237" s="39"/>
      <c r="TG237" s="39"/>
      <c r="TH237" s="39"/>
      <c r="TI237" s="39"/>
    </row>
    <row r="238" spans="1:529" s="23" customFormat="1" ht="42" customHeight="1" x14ac:dyDescent="0.25">
      <c r="A238" s="43" t="s">
        <v>237</v>
      </c>
      <c r="B238" s="44" t="str">
        <f>'дод 4'!A20</f>
        <v>0160</v>
      </c>
      <c r="C238" s="44" t="str">
        <f>'дод 4'!B20</f>
        <v>0111</v>
      </c>
      <c r="D238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38" s="69">
        <f t="shared" ref="E238:E243" si="149">F238+I238</f>
        <v>17812800</v>
      </c>
      <c r="F238" s="69">
        <f>18669000+46200-857400-45000</f>
        <v>17812800</v>
      </c>
      <c r="G238" s="69">
        <f>14625700-702800-36900</f>
        <v>13886000</v>
      </c>
      <c r="H238" s="69">
        <v>244400</v>
      </c>
      <c r="I238" s="69"/>
      <c r="J238" s="69">
        <f>L238+O238</f>
        <v>0</v>
      </c>
      <c r="K238" s="69"/>
      <c r="L238" s="69"/>
      <c r="M238" s="69"/>
      <c r="N238" s="69"/>
      <c r="O238" s="69"/>
      <c r="P238" s="69">
        <f t="shared" ref="P238:P245" si="150">E238+J238</f>
        <v>17812800</v>
      </c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  <c r="JK238" s="26"/>
      <c r="JL238" s="26"/>
      <c r="JM238" s="26"/>
      <c r="JN238" s="26"/>
      <c r="JO238" s="26"/>
      <c r="JP238" s="26"/>
      <c r="JQ238" s="26"/>
      <c r="JR238" s="26"/>
      <c r="JS238" s="26"/>
      <c r="JT238" s="26"/>
      <c r="JU238" s="26"/>
      <c r="JV238" s="26"/>
      <c r="JW238" s="26"/>
      <c r="JX238" s="26"/>
      <c r="JY238" s="26"/>
      <c r="JZ238" s="26"/>
      <c r="KA238" s="26"/>
      <c r="KB238" s="26"/>
      <c r="KC238" s="26"/>
      <c r="KD238" s="26"/>
      <c r="KE238" s="26"/>
      <c r="KF238" s="26"/>
      <c r="KG238" s="26"/>
      <c r="KH238" s="26"/>
      <c r="KI238" s="26"/>
      <c r="KJ238" s="26"/>
      <c r="KK238" s="26"/>
      <c r="KL238" s="26"/>
      <c r="KM238" s="26"/>
      <c r="KN238" s="26"/>
      <c r="KO238" s="26"/>
      <c r="KP238" s="26"/>
      <c r="KQ238" s="26"/>
      <c r="KR238" s="26"/>
      <c r="KS238" s="26"/>
      <c r="KT238" s="26"/>
      <c r="KU238" s="26"/>
      <c r="KV238" s="26"/>
      <c r="KW238" s="26"/>
      <c r="KX238" s="26"/>
      <c r="KY238" s="26"/>
      <c r="KZ238" s="26"/>
      <c r="LA238" s="26"/>
      <c r="LB238" s="26"/>
      <c r="LC238" s="26"/>
      <c r="LD238" s="26"/>
      <c r="LE238" s="26"/>
      <c r="LF238" s="26"/>
      <c r="LG238" s="26"/>
      <c r="LH238" s="26"/>
      <c r="LI238" s="26"/>
      <c r="LJ238" s="26"/>
      <c r="LK238" s="26"/>
      <c r="LL238" s="26"/>
      <c r="LM238" s="26"/>
      <c r="LN238" s="26"/>
      <c r="LO238" s="26"/>
      <c r="LP238" s="26"/>
      <c r="LQ238" s="26"/>
      <c r="LR238" s="26"/>
      <c r="LS238" s="26"/>
      <c r="LT238" s="26"/>
      <c r="LU238" s="26"/>
      <c r="LV238" s="26"/>
      <c r="LW238" s="26"/>
      <c r="LX238" s="26"/>
      <c r="LY238" s="26"/>
      <c r="LZ238" s="26"/>
      <c r="MA238" s="26"/>
      <c r="MB238" s="26"/>
      <c r="MC238" s="26"/>
      <c r="MD238" s="26"/>
      <c r="ME238" s="26"/>
      <c r="MF238" s="26"/>
      <c r="MG238" s="26"/>
      <c r="MH238" s="26"/>
      <c r="MI238" s="26"/>
      <c r="MJ238" s="26"/>
      <c r="MK238" s="26"/>
      <c r="ML238" s="26"/>
      <c r="MM238" s="26"/>
      <c r="MN238" s="26"/>
      <c r="MO238" s="26"/>
      <c r="MP238" s="26"/>
      <c r="MQ238" s="26"/>
      <c r="MR238" s="26"/>
      <c r="MS238" s="26"/>
      <c r="MT238" s="26"/>
      <c r="MU238" s="26"/>
      <c r="MV238" s="26"/>
      <c r="MW238" s="26"/>
      <c r="MX238" s="26"/>
      <c r="MY238" s="26"/>
      <c r="MZ238" s="26"/>
      <c r="NA238" s="26"/>
      <c r="NB238" s="26"/>
      <c r="NC238" s="26"/>
      <c r="ND238" s="26"/>
      <c r="NE238" s="26"/>
      <c r="NF238" s="26"/>
      <c r="NG238" s="26"/>
      <c r="NH238" s="26"/>
      <c r="NI238" s="26"/>
      <c r="NJ238" s="26"/>
      <c r="NK238" s="26"/>
      <c r="NL238" s="26"/>
      <c r="NM238" s="26"/>
      <c r="NN238" s="26"/>
      <c r="NO238" s="26"/>
      <c r="NP238" s="26"/>
      <c r="NQ238" s="26"/>
      <c r="NR238" s="26"/>
      <c r="NS238" s="26"/>
      <c r="NT238" s="26"/>
      <c r="NU238" s="26"/>
      <c r="NV238" s="26"/>
      <c r="NW238" s="26"/>
      <c r="NX238" s="26"/>
      <c r="NY238" s="26"/>
      <c r="NZ238" s="26"/>
      <c r="OA238" s="26"/>
      <c r="OB238" s="26"/>
      <c r="OC238" s="26"/>
      <c r="OD238" s="26"/>
      <c r="OE238" s="26"/>
      <c r="OF238" s="26"/>
      <c r="OG238" s="26"/>
      <c r="OH238" s="26"/>
      <c r="OI238" s="26"/>
      <c r="OJ238" s="26"/>
      <c r="OK238" s="26"/>
      <c r="OL238" s="26"/>
      <c r="OM238" s="26"/>
      <c r="ON238" s="26"/>
      <c r="OO238" s="26"/>
      <c r="OP238" s="26"/>
      <c r="OQ238" s="26"/>
      <c r="OR238" s="26"/>
      <c r="OS238" s="26"/>
      <c r="OT238" s="26"/>
      <c r="OU238" s="26"/>
      <c r="OV238" s="26"/>
      <c r="OW238" s="26"/>
      <c r="OX238" s="26"/>
      <c r="OY238" s="26"/>
      <c r="OZ238" s="26"/>
      <c r="PA238" s="26"/>
      <c r="PB238" s="26"/>
      <c r="PC238" s="26"/>
      <c r="PD238" s="26"/>
      <c r="PE238" s="26"/>
      <c r="PF238" s="26"/>
      <c r="PG238" s="26"/>
      <c r="PH238" s="26"/>
      <c r="PI238" s="26"/>
      <c r="PJ238" s="26"/>
      <c r="PK238" s="26"/>
      <c r="PL238" s="26"/>
      <c r="PM238" s="26"/>
      <c r="PN238" s="26"/>
      <c r="PO238" s="26"/>
      <c r="PP238" s="26"/>
      <c r="PQ238" s="26"/>
      <c r="PR238" s="26"/>
      <c r="PS238" s="26"/>
      <c r="PT238" s="26"/>
      <c r="PU238" s="26"/>
      <c r="PV238" s="26"/>
      <c r="PW238" s="26"/>
      <c r="PX238" s="26"/>
      <c r="PY238" s="26"/>
      <c r="PZ238" s="26"/>
      <c r="QA238" s="26"/>
      <c r="QB238" s="26"/>
      <c r="QC238" s="26"/>
      <c r="QD238" s="26"/>
      <c r="QE238" s="26"/>
      <c r="QF238" s="26"/>
      <c r="QG238" s="26"/>
      <c r="QH238" s="26"/>
      <c r="QI238" s="26"/>
      <c r="QJ238" s="26"/>
      <c r="QK238" s="26"/>
      <c r="QL238" s="26"/>
      <c r="QM238" s="26"/>
      <c r="QN238" s="26"/>
      <c r="QO238" s="26"/>
      <c r="QP238" s="26"/>
      <c r="QQ238" s="26"/>
      <c r="QR238" s="26"/>
      <c r="QS238" s="26"/>
      <c r="QT238" s="26"/>
      <c r="QU238" s="26"/>
      <c r="QV238" s="26"/>
      <c r="QW238" s="26"/>
      <c r="QX238" s="26"/>
      <c r="QY238" s="26"/>
      <c r="QZ238" s="26"/>
      <c r="RA238" s="26"/>
      <c r="RB238" s="26"/>
      <c r="RC238" s="26"/>
      <c r="RD238" s="26"/>
      <c r="RE238" s="26"/>
      <c r="RF238" s="26"/>
      <c r="RG238" s="26"/>
      <c r="RH238" s="26"/>
      <c r="RI238" s="26"/>
      <c r="RJ238" s="26"/>
      <c r="RK238" s="26"/>
      <c r="RL238" s="26"/>
      <c r="RM238" s="26"/>
      <c r="RN238" s="26"/>
      <c r="RO238" s="26"/>
      <c r="RP238" s="26"/>
      <c r="RQ238" s="26"/>
      <c r="RR238" s="26"/>
      <c r="RS238" s="26"/>
      <c r="RT238" s="26"/>
      <c r="RU238" s="26"/>
      <c r="RV238" s="26"/>
      <c r="RW238" s="26"/>
      <c r="RX238" s="26"/>
      <c r="RY238" s="26"/>
      <c r="RZ238" s="26"/>
      <c r="SA238" s="26"/>
      <c r="SB238" s="26"/>
      <c r="SC238" s="26"/>
      <c r="SD238" s="26"/>
      <c r="SE238" s="26"/>
      <c r="SF238" s="26"/>
      <c r="SG238" s="26"/>
      <c r="SH238" s="26"/>
      <c r="SI238" s="26"/>
      <c r="SJ238" s="26"/>
      <c r="SK238" s="26"/>
      <c r="SL238" s="26"/>
      <c r="SM238" s="26"/>
      <c r="SN238" s="26"/>
      <c r="SO238" s="26"/>
      <c r="SP238" s="26"/>
      <c r="SQ238" s="26"/>
      <c r="SR238" s="26"/>
      <c r="SS238" s="26"/>
      <c r="ST238" s="26"/>
      <c r="SU238" s="26"/>
      <c r="SV238" s="26"/>
      <c r="SW238" s="26"/>
      <c r="SX238" s="26"/>
      <c r="SY238" s="26"/>
      <c r="SZ238" s="26"/>
      <c r="TA238" s="26"/>
      <c r="TB238" s="26"/>
      <c r="TC238" s="26"/>
      <c r="TD238" s="26"/>
      <c r="TE238" s="26"/>
      <c r="TF238" s="26"/>
      <c r="TG238" s="26"/>
      <c r="TH238" s="26"/>
      <c r="TI238" s="26"/>
    </row>
    <row r="239" spans="1:529" s="23" customFormat="1" ht="18.75" customHeight="1" x14ac:dyDescent="0.25">
      <c r="A239" s="43" t="s">
        <v>280</v>
      </c>
      <c r="B239" s="44" t="str">
        <f>'дод 4'!A153</f>
        <v>7640</v>
      </c>
      <c r="C239" s="44" t="str">
        <f>'дод 4'!B153</f>
        <v>0470</v>
      </c>
      <c r="D239" s="24" t="s">
        <v>515</v>
      </c>
      <c r="E239" s="69">
        <f t="shared" si="149"/>
        <v>365000</v>
      </c>
      <c r="F239" s="69">
        <f>345000+20000</f>
        <v>365000</v>
      </c>
      <c r="G239" s="69"/>
      <c r="H239" s="69"/>
      <c r="I239" s="69"/>
      <c r="J239" s="69">
        <f t="shared" ref="J239:J245" si="151">L239+O239</f>
        <v>0</v>
      </c>
      <c r="K239" s="69"/>
      <c r="L239" s="69"/>
      <c r="M239" s="69"/>
      <c r="N239" s="69"/>
      <c r="O239" s="69"/>
      <c r="P239" s="69">
        <f t="shared" si="150"/>
        <v>365000</v>
      </c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  <c r="LB239" s="26"/>
      <c r="LC239" s="26"/>
      <c r="LD239" s="26"/>
      <c r="LE239" s="26"/>
      <c r="LF239" s="26"/>
      <c r="LG239" s="26"/>
      <c r="LH239" s="26"/>
      <c r="LI239" s="26"/>
      <c r="LJ239" s="26"/>
      <c r="LK239" s="26"/>
      <c r="LL239" s="26"/>
      <c r="LM239" s="26"/>
      <c r="LN239" s="26"/>
      <c r="LO239" s="26"/>
      <c r="LP239" s="26"/>
      <c r="LQ239" s="26"/>
      <c r="LR239" s="26"/>
      <c r="LS239" s="26"/>
      <c r="LT239" s="26"/>
      <c r="LU239" s="26"/>
      <c r="LV239" s="26"/>
      <c r="LW239" s="26"/>
      <c r="LX239" s="26"/>
      <c r="LY239" s="26"/>
      <c r="LZ239" s="26"/>
      <c r="MA239" s="26"/>
      <c r="MB239" s="26"/>
      <c r="MC239" s="26"/>
      <c r="MD239" s="26"/>
      <c r="ME239" s="26"/>
      <c r="MF239" s="26"/>
      <c r="MG239" s="26"/>
      <c r="MH239" s="26"/>
      <c r="MI239" s="26"/>
      <c r="MJ239" s="26"/>
      <c r="MK239" s="26"/>
      <c r="ML239" s="26"/>
      <c r="MM239" s="26"/>
      <c r="MN239" s="26"/>
      <c r="MO239" s="26"/>
      <c r="MP239" s="26"/>
      <c r="MQ239" s="26"/>
      <c r="MR239" s="26"/>
      <c r="MS239" s="26"/>
      <c r="MT239" s="26"/>
      <c r="MU239" s="26"/>
      <c r="MV239" s="26"/>
      <c r="MW239" s="26"/>
      <c r="MX239" s="26"/>
      <c r="MY239" s="26"/>
      <c r="MZ239" s="26"/>
      <c r="NA239" s="26"/>
      <c r="NB239" s="26"/>
      <c r="NC239" s="26"/>
      <c r="ND239" s="26"/>
      <c r="NE239" s="26"/>
      <c r="NF239" s="26"/>
      <c r="NG239" s="26"/>
      <c r="NH239" s="26"/>
      <c r="NI239" s="26"/>
      <c r="NJ239" s="26"/>
      <c r="NK239" s="26"/>
      <c r="NL239" s="26"/>
      <c r="NM239" s="26"/>
      <c r="NN239" s="26"/>
      <c r="NO239" s="26"/>
      <c r="NP239" s="26"/>
      <c r="NQ239" s="26"/>
      <c r="NR239" s="26"/>
      <c r="NS239" s="26"/>
      <c r="NT239" s="26"/>
      <c r="NU239" s="26"/>
      <c r="NV239" s="26"/>
      <c r="NW239" s="26"/>
      <c r="NX239" s="26"/>
      <c r="NY239" s="26"/>
      <c r="NZ239" s="26"/>
      <c r="OA239" s="26"/>
      <c r="OB239" s="26"/>
      <c r="OC239" s="26"/>
      <c r="OD239" s="26"/>
      <c r="OE239" s="26"/>
      <c r="OF239" s="26"/>
      <c r="OG239" s="26"/>
      <c r="OH239" s="26"/>
      <c r="OI239" s="26"/>
      <c r="OJ239" s="26"/>
      <c r="OK239" s="26"/>
      <c r="OL239" s="26"/>
      <c r="OM239" s="26"/>
      <c r="ON239" s="26"/>
      <c r="OO239" s="26"/>
      <c r="OP239" s="26"/>
      <c r="OQ239" s="26"/>
      <c r="OR239" s="26"/>
      <c r="OS239" s="26"/>
      <c r="OT239" s="26"/>
      <c r="OU239" s="26"/>
      <c r="OV239" s="26"/>
      <c r="OW239" s="26"/>
      <c r="OX239" s="26"/>
      <c r="OY239" s="26"/>
      <c r="OZ239" s="26"/>
      <c r="PA239" s="26"/>
      <c r="PB239" s="26"/>
      <c r="PC239" s="26"/>
      <c r="PD239" s="26"/>
      <c r="PE239" s="26"/>
      <c r="PF239" s="26"/>
      <c r="PG239" s="26"/>
      <c r="PH239" s="26"/>
      <c r="PI239" s="26"/>
      <c r="PJ239" s="26"/>
      <c r="PK239" s="26"/>
      <c r="PL239" s="26"/>
      <c r="PM239" s="26"/>
      <c r="PN239" s="26"/>
      <c r="PO239" s="26"/>
      <c r="PP239" s="26"/>
      <c r="PQ239" s="26"/>
      <c r="PR239" s="26"/>
      <c r="PS239" s="26"/>
      <c r="PT239" s="26"/>
      <c r="PU239" s="26"/>
      <c r="PV239" s="26"/>
      <c r="PW239" s="26"/>
      <c r="PX239" s="26"/>
      <c r="PY239" s="26"/>
      <c r="PZ239" s="26"/>
      <c r="QA239" s="26"/>
      <c r="QB239" s="26"/>
      <c r="QC239" s="26"/>
      <c r="QD239" s="26"/>
      <c r="QE239" s="26"/>
      <c r="QF239" s="26"/>
      <c r="QG239" s="26"/>
      <c r="QH239" s="26"/>
      <c r="QI239" s="26"/>
      <c r="QJ239" s="26"/>
      <c r="QK239" s="26"/>
      <c r="QL239" s="26"/>
      <c r="QM239" s="26"/>
      <c r="QN239" s="26"/>
      <c r="QO239" s="26"/>
      <c r="QP239" s="26"/>
      <c r="QQ239" s="26"/>
      <c r="QR239" s="26"/>
      <c r="QS239" s="26"/>
      <c r="QT239" s="26"/>
      <c r="QU239" s="26"/>
      <c r="QV239" s="26"/>
      <c r="QW239" s="26"/>
      <c r="QX239" s="26"/>
      <c r="QY239" s="26"/>
      <c r="QZ239" s="26"/>
      <c r="RA239" s="26"/>
      <c r="RB239" s="26"/>
      <c r="RC239" s="26"/>
      <c r="RD239" s="26"/>
      <c r="RE239" s="26"/>
      <c r="RF239" s="26"/>
      <c r="RG239" s="26"/>
      <c r="RH239" s="26"/>
      <c r="RI239" s="26"/>
      <c r="RJ239" s="26"/>
      <c r="RK239" s="26"/>
      <c r="RL239" s="26"/>
      <c r="RM239" s="26"/>
      <c r="RN239" s="26"/>
      <c r="RO239" s="26"/>
      <c r="RP239" s="26"/>
      <c r="RQ239" s="26"/>
      <c r="RR239" s="26"/>
      <c r="RS239" s="26"/>
      <c r="RT239" s="26"/>
      <c r="RU239" s="26"/>
      <c r="RV239" s="26"/>
      <c r="RW239" s="26"/>
      <c r="RX239" s="26"/>
      <c r="RY239" s="26"/>
      <c r="RZ239" s="26"/>
      <c r="SA239" s="26"/>
      <c r="SB239" s="26"/>
      <c r="SC239" s="26"/>
      <c r="SD239" s="26"/>
      <c r="SE239" s="26"/>
      <c r="SF239" s="26"/>
      <c r="SG239" s="26"/>
      <c r="SH239" s="26"/>
      <c r="SI239" s="26"/>
      <c r="SJ239" s="26"/>
      <c r="SK239" s="26"/>
      <c r="SL239" s="26"/>
      <c r="SM239" s="26"/>
      <c r="SN239" s="26"/>
      <c r="SO239" s="26"/>
      <c r="SP239" s="26"/>
      <c r="SQ239" s="26"/>
      <c r="SR239" s="26"/>
      <c r="SS239" s="26"/>
      <c r="ST239" s="26"/>
      <c r="SU239" s="26"/>
      <c r="SV239" s="26"/>
      <c r="SW239" s="26"/>
      <c r="SX239" s="26"/>
      <c r="SY239" s="26"/>
      <c r="SZ239" s="26"/>
      <c r="TA239" s="26"/>
      <c r="TB239" s="26"/>
      <c r="TC239" s="26"/>
      <c r="TD239" s="26"/>
      <c r="TE239" s="26"/>
      <c r="TF239" s="26"/>
      <c r="TG239" s="26"/>
      <c r="TH239" s="26"/>
      <c r="TI239" s="26"/>
    </row>
    <row r="240" spans="1:529" s="23" customFormat="1" ht="24" customHeight="1" x14ac:dyDescent="0.25">
      <c r="A240" s="43" t="s">
        <v>362</v>
      </c>
      <c r="B240" s="44" t="str">
        <f>'дод 4'!A160</f>
        <v>7693</v>
      </c>
      <c r="C240" s="44" t="str">
        <f>'дод 4'!B160</f>
        <v>0490</v>
      </c>
      <c r="D240" s="24" t="str">
        <f>'дод 4'!C160</f>
        <v>Інші заходи, пов'язані з економічною діяльністю</v>
      </c>
      <c r="E240" s="69">
        <f t="shared" si="149"/>
        <v>213200</v>
      </c>
      <c r="F240" s="69">
        <v>213200</v>
      </c>
      <c r="G240" s="69"/>
      <c r="H240" s="69"/>
      <c r="I240" s="69"/>
      <c r="J240" s="69">
        <f t="shared" si="151"/>
        <v>0</v>
      </c>
      <c r="K240" s="69"/>
      <c r="L240" s="69"/>
      <c r="M240" s="69"/>
      <c r="N240" s="69"/>
      <c r="O240" s="69"/>
      <c r="P240" s="69">
        <f t="shared" si="150"/>
        <v>213200</v>
      </c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  <c r="IW240" s="26"/>
      <c r="IX240" s="26"/>
      <c r="IY240" s="26"/>
      <c r="IZ240" s="26"/>
      <c r="JA240" s="26"/>
      <c r="JB240" s="26"/>
      <c r="JC240" s="26"/>
      <c r="JD240" s="26"/>
      <c r="JE240" s="26"/>
      <c r="JF240" s="26"/>
      <c r="JG240" s="26"/>
      <c r="JH240" s="26"/>
      <c r="JI240" s="26"/>
      <c r="JJ240" s="26"/>
      <c r="JK240" s="26"/>
      <c r="JL240" s="26"/>
      <c r="JM240" s="26"/>
      <c r="JN240" s="26"/>
      <c r="JO240" s="26"/>
      <c r="JP240" s="26"/>
      <c r="JQ240" s="26"/>
      <c r="JR240" s="26"/>
      <c r="JS240" s="26"/>
      <c r="JT240" s="26"/>
      <c r="JU240" s="26"/>
      <c r="JV240" s="26"/>
      <c r="JW240" s="26"/>
      <c r="JX240" s="26"/>
      <c r="JY240" s="26"/>
      <c r="JZ240" s="26"/>
      <c r="KA240" s="26"/>
      <c r="KB240" s="26"/>
      <c r="KC240" s="26"/>
      <c r="KD240" s="26"/>
      <c r="KE240" s="26"/>
      <c r="KF240" s="26"/>
      <c r="KG240" s="26"/>
      <c r="KH240" s="26"/>
      <c r="KI240" s="26"/>
      <c r="KJ240" s="26"/>
      <c r="KK240" s="26"/>
      <c r="KL240" s="26"/>
      <c r="KM240" s="26"/>
      <c r="KN240" s="26"/>
      <c r="KO240" s="26"/>
      <c r="KP240" s="26"/>
      <c r="KQ240" s="26"/>
      <c r="KR240" s="26"/>
      <c r="KS240" s="26"/>
      <c r="KT240" s="26"/>
      <c r="KU240" s="26"/>
      <c r="KV240" s="26"/>
      <c r="KW240" s="26"/>
      <c r="KX240" s="26"/>
      <c r="KY240" s="26"/>
      <c r="KZ240" s="26"/>
      <c r="LA240" s="26"/>
      <c r="LB240" s="26"/>
      <c r="LC240" s="26"/>
      <c r="LD240" s="26"/>
      <c r="LE240" s="26"/>
      <c r="LF240" s="26"/>
      <c r="LG240" s="26"/>
      <c r="LH240" s="26"/>
      <c r="LI240" s="26"/>
      <c r="LJ240" s="26"/>
      <c r="LK240" s="26"/>
      <c r="LL240" s="26"/>
      <c r="LM240" s="26"/>
      <c r="LN240" s="26"/>
      <c r="LO240" s="26"/>
      <c r="LP240" s="26"/>
      <c r="LQ240" s="26"/>
      <c r="LR240" s="26"/>
      <c r="LS240" s="26"/>
      <c r="LT240" s="26"/>
      <c r="LU240" s="26"/>
      <c r="LV240" s="26"/>
      <c r="LW240" s="26"/>
      <c r="LX240" s="26"/>
      <c r="LY240" s="26"/>
      <c r="LZ240" s="26"/>
      <c r="MA240" s="26"/>
      <c r="MB240" s="26"/>
      <c r="MC240" s="26"/>
      <c r="MD240" s="26"/>
      <c r="ME240" s="26"/>
      <c r="MF240" s="26"/>
      <c r="MG240" s="26"/>
      <c r="MH240" s="26"/>
      <c r="MI240" s="26"/>
      <c r="MJ240" s="26"/>
      <c r="MK240" s="26"/>
      <c r="ML240" s="26"/>
      <c r="MM240" s="26"/>
      <c r="MN240" s="26"/>
      <c r="MO240" s="26"/>
      <c r="MP240" s="26"/>
      <c r="MQ240" s="26"/>
      <c r="MR240" s="26"/>
      <c r="MS240" s="26"/>
      <c r="MT240" s="26"/>
      <c r="MU240" s="26"/>
      <c r="MV240" s="26"/>
      <c r="MW240" s="26"/>
      <c r="MX240" s="26"/>
      <c r="MY240" s="26"/>
      <c r="MZ240" s="26"/>
      <c r="NA240" s="26"/>
      <c r="NB240" s="26"/>
      <c r="NC240" s="26"/>
      <c r="ND240" s="26"/>
      <c r="NE240" s="26"/>
      <c r="NF240" s="26"/>
      <c r="NG240" s="26"/>
      <c r="NH240" s="26"/>
      <c r="NI240" s="26"/>
      <c r="NJ240" s="26"/>
      <c r="NK240" s="26"/>
      <c r="NL240" s="26"/>
      <c r="NM240" s="26"/>
      <c r="NN240" s="26"/>
      <c r="NO240" s="26"/>
      <c r="NP240" s="26"/>
      <c r="NQ240" s="26"/>
      <c r="NR240" s="26"/>
      <c r="NS240" s="26"/>
      <c r="NT240" s="26"/>
      <c r="NU240" s="26"/>
      <c r="NV240" s="26"/>
      <c r="NW240" s="26"/>
      <c r="NX240" s="26"/>
      <c r="NY240" s="26"/>
      <c r="NZ240" s="26"/>
      <c r="OA240" s="26"/>
      <c r="OB240" s="26"/>
      <c r="OC240" s="26"/>
      <c r="OD240" s="26"/>
      <c r="OE240" s="26"/>
      <c r="OF240" s="26"/>
      <c r="OG240" s="26"/>
      <c r="OH240" s="26"/>
      <c r="OI240" s="26"/>
      <c r="OJ240" s="26"/>
      <c r="OK240" s="26"/>
      <c r="OL240" s="26"/>
      <c r="OM240" s="26"/>
      <c r="ON240" s="26"/>
      <c r="OO240" s="26"/>
      <c r="OP240" s="26"/>
      <c r="OQ240" s="26"/>
      <c r="OR240" s="26"/>
      <c r="OS240" s="26"/>
      <c r="OT240" s="26"/>
      <c r="OU240" s="26"/>
      <c r="OV240" s="26"/>
      <c r="OW240" s="26"/>
      <c r="OX240" s="26"/>
      <c r="OY240" s="26"/>
      <c r="OZ240" s="26"/>
      <c r="PA240" s="26"/>
      <c r="PB240" s="26"/>
      <c r="PC240" s="26"/>
      <c r="PD240" s="26"/>
      <c r="PE240" s="26"/>
      <c r="PF240" s="26"/>
      <c r="PG240" s="26"/>
      <c r="PH240" s="26"/>
      <c r="PI240" s="26"/>
      <c r="PJ240" s="26"/>
      <c r="PK240" s="26"/>
      <c r="PL240" s="26"/>
      <c r="PM240" s="26"/>
      <c r="PN240" s="26"/>
      <c r="PO240" s="26"/>
      <c r="PP240" s="26"/>
      <c r="PQ240" s="26"/>
      <c r="PR240" s="26"/>
      <c r="PS240" s="26"/>
      <c r="PT240" s="26"/>
      <c r="PU240" s="26"/>
      <c r="PV240" s="26"/>
      <c r="PW240" s="26"/>
      <c r="PX240" s="26"/>
      <c r="PY240" s="26"/>
      <c r="PZ240" s="26"/>
      <c r="QA240" s="26"/>
      <c r="QB240" s="26"/>
      <c r="QC240" s="26"/>
      <c r="QD240" s="26"/>
      <c r="QE240" s="26"/>
      <c r="QF240" s="26"/>
      <c r="QG240" s="26"/>
      <c r="QH240" s="26"/>
      <c r="QI240" s="26"/>
      <c r="QJ240" s="26"/>
      <c r="QK240" s="26"/>
      <c r="QL240" s="26"/>
      <c r="QM240" s="26"/>
      <c r="QN240" s="26"/>
      <c r="QO240" s="26"/>
      <c r="QP240" s="26"/>
      <c r="QQ240" s="26"/>
      <c r="QR240" s="26"/>
      <c r="QS240" s="26"/>
      <c r="QT240" s="26"/>
      <c r="QU240" s="26"/>
      <c r="QV240" s="26"/>
      <c r="QW240" s="26"/>
      <c r="QX240" s="26"/>
      <c r="QY240" s="26"/>
      <c r="QZ240" s="26"/>
      <c r="RA240" s="26"/>
      <c r="RB240" s="26"/>
      <c r="RC240" s="26"/>
      <c r="RD240" s="26"/>
      <c r="RE240" s="26"/>
      <c r="RF240" s="26"/>
      <c r="RG240" s="26"/>
      <c r="RH240" s="26"/>
      <c r="RI240" s="26"/>
      <c r="RJ240" s="26"/>
      <c r="RK240" s="26"/>
      <c r="RL240" s="26"/>
      <c r="RM240" s="26"/>
      <c r="RN240" s="26"/>
      <c r="RO240" s="26"/>
      <c r="RP240" s="26"/>
      <c r="RQ240" s="26"/>
      <c r="RR240" s="26"/>
      <c r="RS240" s="26"/>
      <c r="RT240" s="26"/>
      <c r="RU240" s="26"/>
      <c r="RV240" s="26"/>
      <c r="RW240" s="26"/>
      <c r="RX240" s="26"/>
      <c r="RY240" s="26"/>
      <c r="RZ240" s="26"/>
      <c r="SA240" s="26"/>
      <c r="SB240" s="26"/>
      <c r="SC240" s="26"/>
      <c r="SD240" s="26"/>
      <c r="SE240" s="26"/>
      <c r="SF240" s="26"/>
      <c r="SG240" s="26"/>
      <c r="SH240" s="26"/>
      <c r="SI240" s="26"/>
      <c r="SJ240" s="26"/>
      <c r="SK240" s="26"/>
      <c r="SL240" s="26"/>
      <c r="SM240" s="26"/>
      <c r="SN240" s="26"/>
      <c r="SO240" s="26"/>
      <c r="SP240" s="26"/>
      <c r="SQ240" s="26"/>
      <c r="SR240" s="26"/>
      <c r="SS240" s="26"/>
      <c r="ST240" s="26"/>
      <c r="SU240" s="26"/>
      <c r="SV240" s="26"/>
      <c r="SW240" s="26"/>
      <c r="SX240" s="26"/>
      <c r="SY240" s="26"/>
      <c r="SZ240" s="26"/>
      <c r="TA240" s="26"/>
      <c r="TB240" s="26"/>
      <c r="TC240" s="26"/>
      <c r="TD240" s="26"/>
      <c r="TE240" s="26"/>
      <c r="TF240" s="26"/>
      <c r="TG240" s="26"/>
      <c r="TH240" s="26"/>
      <c r="TI240" s="26"/>
    </row>
    <row r="241" spans="1:529" s="23" customFormat="1" ht="33.75" customHeight="1" x14ac:dyDescent="0.25">
      <c r="A241" s="43">
        <v>3718330</v>
      </c>
      <c r="B241" s="44">
        <f>'дод 4'!A173</f>
        <v>8330</v>
      </c>
      <c r="C241" s="43" t="s">
        <v>99</v>
      </c>
      <c r="D241" s="24" t="str">
        <f>'дод 4'!C173</f>
        <v xml:space="preserve">Інша діяльність у сфері екології та охорони природних ресурсів </v>
      </c>
      <c r="E241" s="69">
        <f t="shared" si="149"/>
        <v>75000</v>
      </c>
      <c r="F241" s="69">
        <v>75000</v>
      </c>
      <c r="G241" s="69"/>
      <c r="H241" s="69"/>
      <c r="I241" s="69"/>
      <c r="J241" s="69">
        <f t="shared" si="151"/>
        <v>0</v>
      </c>
      <c r="K241" s="69"/>
      <c r="L241" s="69"/>
      <c r="M241" s="69"/>
      <c r="N241" s="69"/>
      <c r="O241" s="69"/>
      <c r="P241" s="69">
        <f t="shared" si="150"/>
        <v>75000</v>
      </c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  <c r="IW241" s="26"/>
      <c r="IX241" s="26"/>
      <c r="IY241" s="26"/>
      <c r="IZ241" s="26"/>
      <c r="JA241" s="26"/>
      <c r="JB241" s="26"/>
      <c r="JC241" s="26"/>
      <c r="JD241" s="26"/>
      <c r="JE241" s="26"/>
      <c r="JF241" s="26"/>
      <c r="JG241" s="26"/>
      <c r="JH241" s="26"/>
      <c r="JI241" s="26"/>
      <c r="JJ241" s="26"/>
      <c r="JK241" s="26"/>
      <c r="JL241" s="26"/>
      <c r="JM241" s="26"/>
      <c r="JN241" s="26"/>
      <c r="JO241" s="26"/>
      <c r="JP241" s="26"/>
      <c r="JQ241" s="26"/>
      <c r="JR241" s="26"/>
      <c r="JS241" s="26"/>
      <c r="JT241" s="26"/>
      <c r="JU241" s="26"/>
      <c r="JV241" s="26"/>
      <c r="JW241" s="26"/>
      <c r="JX241" s="26"/>
      <c r="JY241" s="26"/>
      <c r="JZ241" s="26"/>
      <c r="KA241" s="26"/>
      <c r="KB241" s="26"/>
      <c r="KC241" s="26"/>
      <c r="KD241" s="26"/>
      <c r="KE241" s="26"/>
      <c r="KF241" s="26"/>
      <c r="KG241" s="26"/>
      <c r="KH241" s="26"/>
      <c r="KI241" s="26"/>
      <c r="KJ241" s="26"/>
      <c r="KK241" s="26"/>
      <c r="KL241" s="26"/>
      <c r="KM241" s="26"/>
      <c r="KN241" s="26"/>
      <c r="KO241" s="26"/>
      <c r="KP241" s="26"/>
      <c r="KQ241" s="26"/>
      <c r="KR241" s="26"/>
      <c r="KS241" s="26"/>
      <c r="KT241" s="26"/>
      <c r="KU241" s="26"/>
      <c r="KV241" s="26"/>
      <c r="KW241" s="26"/>
      <c r="KX241" s="26"/>
      <c r="KY241" s="26"/>
      <c r="KZ241" s="26"/>
      <c r="LA241" s="26"/>
      <c r="LB241" s="26"/>
      <c r="LC241" s="26"/>
      <c r="LD241" s="26"/>
      <c r="LE241" s="26"/>
      <c r="LF241" s="26"/>
      <c r="LG241" s="26"/>
      <c r="LH241" s="26"/>
      <c r="LI241" s="26"/>
      <c r="LJ241" s="26"/>
      <c r="LK241" s="26"/>
      <c r="LL241" s="26"/>
      <c r="LM241" s="26"/>
      <c r="LN241" s="26"/>
      <c r="LO241" s="26"/>
      <c r="LP241" s="26"/>
      <c r="LQ241" s="26"/>
      <c r="LR241" s="26"/>
      <c r="LS241" s="26"/>
      <c r="LT241" s="26"/>
      <c r="LU241" s="26"/>
      <c r="LV241" s="26"/>
      <c r="LW241" s="26"/>
      <c r="LX241" s="26"/>
      <c r="LY241" s="26"/>
      <c r="LZ241" s="26"/>
      <c r="MA241" s="26"/>
      <c r="MB241" s="26"/>
      <c r="MC241" s="26"/>
      <c r="MD241" s="26"/>
      <c r="ME241" s="26"/>
      <c r="MF241" s="26"/>
      <c r="MG241" s="26"/>
      <c r="MH241" s="26"/>
      <c r="MI241" s="26"/>
      <c r="MJ241" s="26"/>
      <c r="MK241" s="26"/>
      <c r="ML241" s="26"/>
      <c r="MM241" s="26"/>
      <c r="MN241" s="26"/>
      <c r="MO241" s="26"/>
      <c r="MP241" s="26"/>
      <c r="MQ241" s="26"/>
      <c r="MR241" s="26"/>
      <c r="MS241" s="26"/>
      <c r="MT241" s="26"/>
      <c r="MU241" s="26"/>
      <c r="MV241" s="26"/>
      <c r="MW241" s="26"/>
      <c r="MX241" s="26"/>
      <c r="MY241" s="26"/>
      <c r="MZ241" s="26"/>
      <c r="NA241" s="26"/>
      <c r="NB241" s="26"/>
      <c r="NC241" s="26"/>
      <c r="ND241" s="26"/>
      <c r="NE241" s="26"/>
      <c r="NF241" s="26"/>
      <c r="NG241" s="26"/>
      <c r="NH241" s="26"/>
      <c r="NI241" s="26"/>
      <c r="NJ241" s="26"/>
      <c r="NK241" s="26"/>
      <c r="NL241" s="26"/>
      <c r="NM241" s="26"/>
      <c r="NN241" s="26"/>
      <c r="NO241" s="26"/>
      <c r="NP241" s="26"/>
      <c r="NQ241" s="26"/>
      <c r="NR241" s="26"/>
      <c r="NS241" s="26"/>
      <c r="NT241" s="26"/>
      <c r="NU241" s="26"/>
      <c r="NV241" s="26"/>
      <c r="NW241" s="26"/>
      <c r="NX241" s="26"/>
      <c r="NY241" s="26"/>
      <c r="NZ241" s="26"/>
      <c r="OA241" s="26"/>
      <c r="OB241" s="26"/>
      <c r="OC241" s="26"/>
      <c r="OD241" s="26"/>
      <c r="OE241" s="26"/>
      <c r="OF241" s="26"/>
      <c r="OG241" s="26"/>
      <c r="OH241" s="26"/>
      <c r="OI241" s="26"/>
      <c r="OJ241" s="26"/>
      <c r="OK241" s="26"/>
      <c r="OL241" s="26"/>
      <c r="OM241" s="26"/>
      <c r="ON241" s="26"/>
      <c r="OO241" s="26"/>
      <c r="OP241" s="26"/>
      <c r="OQ241" s="26"/>
      <c r="OR241" s="26"/>
      <c r="OS241" s="26"/>
      <c r="OT241" s="26"/>
      <c r="OU241" s="26"/>
      <c r="OV241" s="26"/>
      <c r="OW241" s="26"/>
      <c r="OX241" s="26"/>
      <c r="OY241" s="26"/>
      <c r="OZ241" s="26"/>
      <c r="PA241" s="26"/>
      <c r="PB241" s="26"/>
      <c r="PC241" s="26"/>
      <c r="PD241" s="26"/>
      <c r="PE241" s="26"/>
      <c r="PF241" s="26"/>
      <c r="PG241" s="26"/>
      <c r="PH241" s="26"/>
      <c r="PI241" s="26"/>
      <c r="PJ241" s="26"/>
      <c r="PK241" s="26"/>
      <c r="PL241" s="26"/>
      <c r="PM241" s="26"/>
      <c r="PN241" s="26"/>
      <c r="PO241" s="26"/>
      <c r="PP241" s="26"/>
      <c r="PQ241" s="26"/>
      <c r="PR241" s="26"/>
      <c r="PS241" s="26"/>
      <c r="PT241" s="26"/>
      <c r="PU241" s="26"/>
      <c r="PV241" s="26"/>
      <c r="PW241" s="26"/>
      <c r="PX241" s="26"/>
      <c r="PY241" s="26"/>
      <c r="PZ241" s="26"/>
      <c r="QA241" s="26"/>
      <c r="QB241" s="26"/>
      <c r="QC241" s="26"/>
      <c r="QD241" s="26"/>
      <c r="QE241" s="26"/>
      <c r="QF241" s="26"/>
      <c r="QG241" s="26"/>
      <c r="QH241" s="26"/>
      <c r="QI241" s="26"/>
      <c r="QJ241" s="26"/>
      <c r="QK241" s="26"/>
      <c r="QL241" s="26"/>
      <c r="QM241" s="26"/>
      <c r="QN241" s="26"/>
      <c r="QO241" s="26"/>
      <c r="QP241" s="26"/>
      <c r="QQ241" s="26"/>
      <c r="QR241" s="26"/>
      <c r="QS241" s="26"/>
      <c r="QT241" s="26"/>
      <c r="QU241" s="26"/>
      <c r="QV241" s="26"/>
      <c r="QW241" s="26"/>
      <c r="QX241" s="26"/>
      <c r="QY241" s="26"/>
      <c r="QZ241" s="26"/>
      <c r="RA241" s="26"/>
      <c r="RB241" s="26"/>
      <c r="RC241" s="26"/>
      <c r="RD241" s="26"/>
      <c r="RE241" s="26"/>
      <c r="RF241" s="26"/>
      <c r="RG241" s="26"/>
      <c r="RH241" s="26"/>
      <c r="RI241" s="26"/>
      <c r="RJ241" s="26"/>
      <c r="RK241" s="26"/>
      <c r="RL241" s="26"/>
      <c r="RM241" s="26"/>
      <c r="RN241" s="26"/>
      <c r="RO241" s="26"/>
      <c r="RP241" s="26"/>
      <c r="RQ241" s="26"/>
      <c r="RR241" s="26"/>
      <c r="RS241" s="26"/>
      <c r="RT241" s="26"/>
      <c r="RU241" s="26"/>
      <c r="RV241" s="26"/>
      <c r="RW241" s="26"/>
      <c r="RX241" s="26"/>
      <c r="RY241" s="26"/>
      <c r="RZ241" s="26"/>
      <c r="SA241" s="26"/>
      <c r="SB241" s="26"/>
      <c r="SC241" s="26"/>
      <c r="SD241" s="26"/>
      <c r="SE241" s="26"/>
      <c r="SF241" s="26"/>
      <c r="SG241" s="26"/>
      <c r="SH241" s="26"/>
      <c r="SI241" s="26"/>
      <c r="SJ241" s="26"/>
      <c r="SK241" s="26"/>
      <c r="SL241" s="26"/>
      <c r="SM241" s="26"/>
      <c r="SN241" s="26"/>
      <c r="SO241" s="26"/>
      <c r="SP241" s="26"/>
      <c r="SQ241" s="26"/>
      <c r="SR241" s="26"/>
      <c r="SS241" s="26"/>
      <c r="ST241" s="26"/>
      <c r="SU241" s="26"/>
      <c r="SV241" s="26"/>
      <c r="SW241" s="26"/>
      <c r="SX241" s="26"/>
      <c r="SY241" s="26"/>
      <c r="SZ241" s="26"/>
      <c r="TA241" s="26"/>
      <c r="TB241" s="26"/>
      <c r="TC241" s="26"/>
      <c r="TD241" s="26"/>
      <c r="TE241" s="26"/>
      <c r="TF241" s="26"/>
      <c r="TG241" s="26"/>
      <c r="TH241" s="26"/>
      <c r="TI241" s="26"/>
    </row>
    <row r="242" spans="1:529" s="23" customFormat="1" ht="26.25" customHeight="1" x14ac:dyDescent="0.25">
      <c r="A242" s="43" t="s">
        <v>238</v>
      </c>
      <c r="B242" s="44" t="str">
        <f>'дод 4'!A174</f>
        <v>8340</v>
      </c>
      <c r="C242" s="43" t="str">
        <f>'дод 4'!B174</f>
        <v>0540</v>
      </c>
      <c r="D242" s="24" t="str">
        <f>'дод 4'!C174</f>
        <v>Природоохоронні заходи за рахунок цільових фондів</v>
      </c>
      <c r="E242" s="69">
        <f t="shared" si="149"/>
        <v>0</v>
      </c>
      <c r="F242" s="69"/>
      <c r="G242" s="69"/>
      <c r="H242" s="69"/>
      <c r="I242" s="69"/>
      <c r="J242" s="69">
        <f t="shared" si="151"/>
        <v>93500</v>
      </c>
      <c r="K242" s="69"/>
      <c r="L242" s="69">
        <f>45000+48500</f>
        <v>93500</v>
      </c>
      <c r="M242" s="69"/>
      <c r="N242" s="69"/>
      <c r="O242" s="69"/>
      <c r="P242" s="69">
        <f t="shared" si="150"/>
        <v>93500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  <c r="JK242" s="26"/>
      <c r="JL242" s="26"/>
      <c r="JM242" s="26"/>
      <c r="JN242" s="26"/>
      <c r="JO242" s="26"/>
      <c r="JP242" s="26"/>
      <c r="JQ242" s="26"/>
      <c r="JR242" s="26"/>
      <c r="JS242" s="26"/>
      <c r="JT242" s="26"/>
      <c r="JU242" s="26"/>
      <c r="JV242" s="26"/>
      <c r="JW242" s="26"/>
      <c r="JX242" s="26"/>
      <c r="JY242" s="26"/>
      <c r="JZ242" s="26"/>
      <c r="KA242" s="26"/>
      <c r="KB242" s="26"/>
      <c r="KC242" s="26"/>
      <c r="KD242" s="26"/>
      <c r="KE242" s="26"/>
      <c r="KF242" s="26"/>
      <c r="KG242" s="26"/>
      <c r="KH242" s="26"/>
      <c r="KI242" s="26"/>
      <c r="KJ242" s="26"/>
      <c r="KK242" s="26"/>
      <c r="KL242" s="26"/>
      <c r="KM242" s="26"/>
      <c r="KN242" s="26"/>
      <c r="KO242" s="26"/>
      <c r="KP242" s="26"/>
      <c r="KQ242" s="26"/>
      <c r="KR242" s="26"/>
      <c r="KS242" s="26"/>
      <c r="KT242" s="26"/>
      <c r="KU242" s="26"/>
      <c r="KV242" s="26"/>
      <c r="KW242" s="26"/>
      <c r="KX242" s="26"/>
      <c r="KY242" s="26"/>
      <c r="KZ242" s="26"/>
      <c r="LA242" s="26"/>
      <c r="LB242" s="26"/>
      <c r="LC242" s="26"/>
      <c r="LD242" s="26"/>
      <c r="LE242" s="26"/>
      <c r="LF242" s="26"/>
      <c r="LG242" s="26"/>
      <c r="LH242" s="26"/>
      <c r="LI242" s="26"/>
      <c r="LJ242" s="26"/>
      <c r="LK242" s="26"/>
      <c r="LL242" s="26"/>
      <c r="LM242" s="26"/>
      <c r="LN242" s="26"/>
      <c r="LO242" s="26"/>
      <c r="LP242" s="26"/>
      <c r="LQ242" s="26"/>
      <c r="LR242" s="26"/>
      <c r="LS242" s="26"/>
      <c r="LT242" s="26"/>
      <c r="LU242" s="26"/>
      <c r="LV242" s="26"/>
      <c r="LW242" s="26"/>
      <c r="LX242" s="26"/>
      <c r="LY242" s="26"/>
      <c r="LZ242" s="26"/>
      <c r="MA242" s="26"/>
      <c r="MB242" s="26"/>
      <c r="MC242" s="26"/>
      <c r="MD242" s="26"/>
      <c r="ME242" s="26"/>
      <c r="MF242" s="26"/>
      <c r="MG242" s="26"/>
      <c r="MH242" s="26"/>
      <c r="MI242" s="26"/>
      <c r="MJ242" s="26"/>
      <c r="MK242" s="26"/>
      <c r="ML242" s="26"/>
      <c r="MM242" s="26"/>
      <c r="MN242" s="26"/>
      <c r="MO242" s="26"/>
      <c r="MP242" s="26"/>
      <c r="MQ242" s="26"/>
      <c r="MR242" s="26"/>
      <c r="MS242" s="26"/>
      <c r="MT242" s="26"/>
      <c r="MU242" s="26"/>
      <c r="MV242" s="26"/>
      <c r="MW242" s="26"/>
      <c r="MX242" s="26"/>
      <c r="MY242" s="26"/>
      <c r="MZ242" s="26"/>
      <c r="NA242" s="26"/>
      <c r="NB242" s="26"/>
      <c r="NC242" s="26"/>
      <c r="ND242" s="26"/>
      <c r="NE242" s="26"/>
      <c r="NF242" s="26"/>
      <c r="NG242" s="26"/>
      <c r="NH242" s="26"/>
      <c r="NI242" s="26"/>
      <c r="NJ242" s="26"/>
      <c r="NK242" s="26"/>
      <c r="NL242" s="26"/>
      <c r="NM242" s="26"/>
      <c r="NN242" s="26"/>
      <c r="NO242" s="26"/>
      <c r="NP242" s="26"/>
      <c r="NQ242" s="26"/>
      <c r="NR242" s="26"/>
      <c r="NS242" s="26"/>
      <c r="NT242" s="26"/>
      <c r="NU242" s="26"/>
      <c r="NV242" s="26"/>
      <c r="NW242" s="26"/>
      <c r="NX242" s="26"/>
      <c r="NY242" s="26"/>
      <c r="NZ242" s="26"/>
      <c r="OA242" s="26"/>
      <c r="OB242" s="26"/>
      <c r="OC242" s="26"/>
      <c r="OD242" s="26"/>
      <c r="OE242" s="26"/>
      <c r="OF242" s="26"/>
      <c r="OG242" s="26"/>
      <c r="OH242" s="26"/>
      <c r="OI242" s="26"/>
      <c r="OJ242" s="26"/>
      <c r="OK242" s="26"/>
      <c r="OL242" s="26"/>
      <c r="OM242" s="26"/>
      <c r="ON242" s="26"/>
      <c r="OO242" s="26"/>
      <c r="OP242" s="26"/>
      <c r="OQ242" s="26"/>
      <c r="OR242" s="26"/>
      <c r="OS242" s="26"/>
      <c r="OT242" s="26"/>
      <c r="OU242" s="26"/>
      <c r="OV242" s="26"/>
      <c r="OW242" s="26"/>
      <c r="OX242" s="26"/>
      <c r="OY242" s="26"/>
      <c r="OZ242" s="26"/>
      <c r="PA242" s="26"/>
      <c r="PB242" s="26"/>
      <c r="PC242" s="26"/>
      <c r="PD242" s="26"/>
      <c r="PE242" s="26"/>
      <c r="PF242" s="26"/>
      <c r="PG242" s="26"/>
      <c r="PH242" s="26"/>
      <c r="PI242" s="26"/>
      <c r="PJ242" s="26"/>
      <c r="PK242" s="26"/>
      <c r="PL242" s="26"/>
      <c r="PM242" s="26"/>
      <c r="PN242" s="26"/>
      <c r="PO242" s="26"/>
      <c r="PP242" s="26"/>
      <c r="PQ242" s="26"/>
      <c r="PR242" s="26"/>
      <c r="PS242" s="26"/>
      <c r="PT242" s="26"/>
      <c r="PU242" s="26"/>
      <c r="PV242" s="26"/>
      <c r="PW242" s="26"/>
      <c r="PX242" s="26"/>
      <c r="PY242" s="26"/>
      <c r="PZ242" s="26"/>
      <c r="QA242" s="26"/>
      <c r="QB242" s="26"/>
      <c r="QC242" s="26"/>
      <c r="QD242" s="26"/>
      <c r="QE242" s="26"/>
      <c r="QF242" s="26"/>
      <c r="QG242" s="26"/>
      <c r="QH242" s="26"/>
      <c r="QI242" s="26"/>
      <c r="QJ242" s="26"/>
      <c r="QK242" s="26"/>
      <c r="QL242" s="26"/>
      <c r="QM242" s="26"/>
      <c r="QN242" s="26"/>
      <c r="QO242" s="26"/>
      <c r="QP242" s="26"/>
      <c r="QQ242" s="26"/>
      <c r="QR242" s="26"/>
      <c r="QS242" s="26"/>
      <c r="QT242" s="26"/>
      <c r="QU242" s="26"/>
      <c r="QV242" s="26"/>
      <c r="QW242" s="26"/>
      <c r="QX242" s="26"/>
      <c r="QY242" s="26"/>
      <c r="QZ242" s="26"/>
      <c r="RA242" s="26"/>
      <c r="RB242" s="26"/>
      <c r="RC242" s="26"/>
      <c r="RD242" s="26"/>
      <c r="RE242" s="26"/>
      <c r="RF242" s="26"/>
      <c r="RG242" s="26"/>
      <c r="RH242" s="26"/>
      <c r="RI242" s="26"/>
      <c r="RJ242" s="26"/>
      <c r="RK242" s="26"/>
      <c r="RL242" s="26"/>
      <c r="RM242" s="26"/>
      <c r="RN242" s="26"/>
      <c r="RO242" s="26"/>
      <c r="RP242" s="26"/>
      <c r="RQ242" s="26"/>
      <c r="RR242" s="26"/>
      <c r="RS242" s="26"/>
      <c r="RT242" s="26"/>
      <c r="RU242" s="26"/>
      <c r="RV242" s="26"/>
      <c r="RW242" s="26"/>
      <c r="RX242" s="26"/>
      <c r="RY242" s="26"/>
      <c r="RZ242" s="26"/>
      <c r="SA242" s="26"/>
      <c r="SB242" s="26"/>
      <c r="SC242" s="26"/>
      <c r="SD242" s="26"/>
      <c r="SE242" s="26"/>
      <c r="SF242" s="26"/>
      <c r="SG242" s="26"/>
      <c r="SH242" s="26"/>
      <c r="SI242" s="26"/>
      <c r="SJ242" s="26"/>
      <c r="SK242" s="26"/>
      <c r="SL242" s="26"/>
      <c r="SM242" s="26"/>
      <c r="SN242" s="26"/>
      <c r="SO242" s="26"/>
      <c r="SP242" s="26"/>
      <c r="SQ242" s="26"/>
      <c r="SR242" s="26"/>
      <c r="SS242" s="26"/>
      <c r="ST242" s="26"/>
      <c r="SU242" s="26"/>
      <c r="SV242" s="26"/>
      <c r="SW242" s="26"/>
      <c r="SX242" s="26"/>
      <c r="SY242" s="26"/>
      <c r="SZ242" s="26"/>
      <c r="TA242" s="26"/>
      <c r="TB242" s="26"/>
      <c r="TC242" s="26"/>
      <c r="TD242" s="26"/>
      <c r="TE242" s="26"/>
      <c r="TF242" s="26"/>
      <c r="TG242" s="26"/>
      <c r="TH242" s="26"/>
      <c r="TI242" s="26"/>
    </row>
    <row r="243" spans="1:529" s="23" customFormat="1" ht="27" customHeight="1" x14ac:dyDescent="0.25">
      <c r="A243" s="43" t="s">
        <v>239</v>
      </c>
      <c r="B243" s="44" t="str">
        <f>'дод 4'!A177</f>
        <v>8600</v>
      </c>
      <c r="C243" s="44" t="str">
        <f>'дод 4'!B177</f>
        <v>0170</v>
      </c>
      <c r="D243" s="24" t="str">
        <f>'дод 4'!C177</f>
        <v>Обслуговування місцевого боргу</v>
      </c>
      <c r="E243" s="69">
        <f t="shared" si="149"/>
        <v>712065</v>
      </c>
      <c r="F243" s="69">
        <f>28187+238378+445500</f>
        <v>712065</v>
      </c>
      <c r="G243" s="69"/>
      <c r="H243" s="69"/>
      <c r="I243" s="69"/>
      <c r="J243" s="69">
        <f t="shared" si="151"/>
        <v>0</v>
      </c>
      <c r="K243" s="69"/>
      <c r="L243" s="69"/>
      <c r="M243" s="69"/>
      <c r="N243" s="69"/>
      <c r="O243" s="69"/>
      <c r="P243" s="69">
        <f t="shared" si="150"/>
        <v>712065</v>
      </c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  <c r="IW243" s="26"/>
      <c r="IX243" s="26"/>
      <c r="IY243" s="26"/>
      <c r="IZ243" s="26"/>
      <c r="JA243" s="26"/>
      <c r="JB243" s="26"/>
      <c r="JC243" s="26"/>
      <c r="JD243" s="26"/>
      <c r="JE243" s="26"/>
      <c r="JF243" s="26"/>
      <c r="JG243" s="26"/>
      <c r="JH243" s="26"/>
      <c r="JI243" s="26"/>
      <c r="JJ243" s="26"/>
      <c r="JK243" s="26"/>
      <c r="JL243" s="26"/>
      <c r="JM243" s="26"/>
      <c r="JN243" s="26"/>
      <c r="JO243" s="26"/>
      <c r="JP243" s="26"/>
      <c r="JQ243" s="26"/>
      <c r="JR243" s="26"/>
      <c r="JS243" s="26"/>
      <c r="JT243" s="26"/>
      <c r="JU243" s="26"/>
      <c r="JV243" s="26"/>
      <c r="JW243" s="26"/>
      <c r="JX243" s="26"/>
      <c r="JY243" s="26"/>
      <c r="JZ243" s="26"/>
      <c r="KA243" s="26"/>
      <c r="KB243" s="26"/>
      <c r="KC243" s="26"/>
      <c r="KD243" s="26"/>
      <c r="KE243" s="26"/>
      <c r="KF243" s="26"/>
      <c r="KG243" s="26"/>
      <c r="KH243" s="26"/>
      <c r="KI243" s="26"/>
      <c r="KJ243" s="26"/>
      <c r="KK243" s="26"/>
      <c r="KL243" s="26"/>
      <c r="KM243" s="26"/>
      <c r="KN243" s="26"/>
      <c r="KO243" s="26"/>
      <c r="KP243" s="26"/>
      <c r="KQ243" s="26"/>
      <c r="KR243" s="26"/>
      <c r="KS243" s="26"/>
      <c r="KT243" s="26"/>
      <c r="KU243" s="26"/>
      <c r="KV243" s="26"/>
      <c r="KW243" s="26"/>
      <c r="KX243" s="26"/>
      <c r="KY243" s="26"/>
      <c r="KZ243" s="26"/>
      <c r="LA243" s="26"/>
      <c r="LB243" s="26"/>
      <c r="LC243" s="26"/>
      <c r="LD243" s="26"/>
      <c r="LE243" s="26"/>
      <c r="LF243" s="26"/>
      <c r="LG243" s="26"/>
      <c r="LH243" s="26"/>
      <c r="LI243" s="26"/>
      <c r="LJ243" s="26"/>
      <c r="LK243" s="26"/>
      <c r="LL243" s="26"/>
      <c r="LM243" s="26"/>
      <c r="LN243" s="26"/>
      <c r="LO243" s="26"/>
      <c r="LP243" s="26"/>
      <c r="LQ243" s="26"/>
      <c r="LR243" s="26"/>
      <c r="LS243" s="26"/>
      <c r="LT243" s="26"/>
      <c r="LU243" s="26"/>
      <c r="LV243" s="26"/>
      <c r="LW243" s="26"/>
      <c r="LX243" s="26"/>
      <c r="LY243" s="26"/>
      <c r="LZ243" s="26"/>
      <c r="MA243" s="26"/>
      <c r="MB243" s="26"/>
      <c r="MC243" s="26"/>
      <c r="MD243" s="26"/>
      <c r="ME243" s="26"/>
      <c r="MF243" s="26"/>
      <c r="MG243" s="26"/>
      <c r="MH243" s="26"/>
      <c r="MI243" s="26"/>
      <c r="MJ243" s="26"/>
      <c r="MK243" s="26"/>
      <c r="ML243" s="26"/>
      <c r="MM243" s="26"/>
      <c r="MN243" s="26"/>
      <c r="MO243" s="26"/>
      <c r="MP243" s="26"/>
      <c r="MQ243" s="26"/>
      <c r="MR243" s="26"/>
      <c r="MS243" s="26"/>
      <c r="MT243" s="26"/>
      <c r="MU243" s="26"/>
      <c r="MV243" s="26"/>
      <c r="MW243" s="26"/>
      <c r="MX243" s="26"/>
      <c r="MY243" s="26"/>
      <c r="MZ243" s="26"/>
      <c r="NA243" s="26"/>
      <c r="NB243" s="26"/>
      <c r="NC243" s="26"/>
      <c r="ND243" s="26"/>
      <c r="NE243" s="26"/>
      <c r="NF243" s="26"/>
      <c r="NG243" s="26"/>
      <c r="NH243" s="26"/>
      <c r="NI243" s="26"/>
      <c r="NJ243" s="26"/>
      <c r="NK243" s="26"/>
      <c r="NL243" s="26"/>
      <c r="NM243" s="26"/>
      <c r="NN243" s="26"/>
      <c r="NO243" s="26"/>
      <c r="NP243" s="26"/>
      <c r="NQ243" s="26"/>
      <c r="NR243" s="26"/>
      <c r="NS243" s="26"/>
      <c r="NT243" s="26"/>
      <c r="NU243" s="26"/>
      <c r="NV243" s="26"/>
      <c r="NW243" s="26"/>
      <c r="NX243" s="26"/>
      <c r="NY243" s="26"/>
      <c r="NZ243" s="26"/>
      <c r="OA243" s="26"/>
      <c r="OB243" s="26"/>
      <c r="OC243" s="26"/>
      <c r="OD243" s="26"/>
      <c r="OE243" s="26"/>
      <c r="OF243" s="26"/>
      <c r="OG243" s="26"/>
      <c r="OH243" s="26"/>
      <c r="OI243" s="26"/>
      <c r="OJ243" s="26"/>
      <c r="OK243" s="26"/>
      <c r="OL243" s="26"/>
      <c r="OM243" s="26"/>
      <c r="ON243" s="26"/>
      <c r="OO243" s="26"/>
      <c r="OP243" s="26"/>
      <c r="OQ243" s="26"/>
      <c r="OR243" s="26"/>
      <c r="OS243" s="26"/>
      <c r="OT243" s="26"/>
      <c r="OU243" s="26"/>
      <c r="OV243" s="26"/>
      <c r="OW243" s="26"/>
      <c r="OX243" s="26"/>
      <c r="OY243" s="26"/>
      <c r="OZ243" s="26"/>
      <c r="PA243" s="26"/>
      <c r="PB243" s="26"/>
      <c r="PC243" s="26"/>
      <c r="PD243" s="26"/>
      <c r="PE243" s="26"/>
      <c r="PF243" s="26"/>
      <c r="PG243" s="26"/>
      <c r="PH243" s="26"/>
      <c r="PI243" s="26"/>
      <c r="PJ243" s="26"/>
      <c r="PK243" s="26"/>
      <c r="PL243" s="26"/>
      <c r="PM243" s="26"/>
      <c r="PN243" s="26"/>
      <c r="PO243" s="26"/>
      <c r="PP243" s="26"/>
      <c r="PQ243" s="26"/>
      <c r="PR243" s="26"/>
      <c r="PS243" s="26"/>
      <c r="PT243" s="26"/>
      <c r="PU243" s="26"/>
      <c r="PV243" s="26"/>
      <c r="PW243" s="26"/>
      <c r="PX243" s="26"/>
      <c r="PY243" s="26"/>
      <c r="PZ243" s="26"/>
      <c r="QA243" s="26"/>
      <c r="QB243" s="26"/>
      <c r="QC243" s="26"/>
      <c r="QD243" s="26"/>
      <c r="QE243" s="26"/>
      <c r="QF243" s="26"/>
      <c r="QG243" s="26"/>
      <c r="QH243" s="26"/>
      <c r="QI243" s="26"/>
      <c r="QJ243" s="26"/>
      <c r="QK243" s="26"/>
      <c r="QL243" s="26"/>
      <c r="QM243" s="26"/>
      <c r="QN243" s="26"/>
      <c r="QO243" s="26"/>
      <c r="QP243" s="26"/>
      <c r="QQ243" s="26"/>
      <c r="QR243" s="26"/>
      <c r="QS243" s="26"/>
      <c r="QT243" s="26"/>
      <c r="QU243" s="26"/>
      <c r="QV243" s="26"/>
      <c r="QW243" s="26"/>
      <c r="QX243" s="26"/>
      <c r="QY243" s="26"/>
      <c r="QZ243" s="26"/>
      <c r="RA243" s="26"/>
      <c r="RB243" s="26"/>
      <c r="RC243" s="26"/>
      <c r="RD243" s="26"/>
      <c r="RE243" s="26"/>
      <c r="RF243" s="26"/>
      <c r="RG243" s="26"/>
      <c r="RH243" s="26"/>
      <c r="RI243" s="26"/>
      <c r="RJ243" s="26"/>
      <c r="RK243" s="26"/>
      <c r="RL243" s="26"/>
      <c r="RM243" s="26"/>
      <c r="RN243" s="26"/>
      <c r="RO243" s="26"/>
      <c r="RP243" s="26"/>
      <c r="RQ243" s="26"/>
      <c r="RR243" s="26"/>
      <c r="RS243" s="26"/>
      <c r="RT243" s="26"/>
      <c r="RU243" s="26"/>
      <c r="RV243" s="26"/>
      <c r="RW243" s="26"/>
      <c r="RX243" s="26"/>
      <c r="RY243" s="26"/>
      <c r="RZ243" s="26"/>
      <c r="SA243" s="26"/>
      <c r="SB243" s="26"/>
      <c r="SC243" s="26"/>
      <c r="SD243" s="26"/>
      <c r="SE243" s="26"/>
      <c r="SF243" s="26"/>
      <c r="SG243" s="26"/>
      <c r="SH243" s="26"/>
      <c r="SI243" s="26"/>
      <c r="SJ243" s="26"/>
      <c r="SK243" s="26"/>
      <c r="SL243" s="26"/>
      <c r="SM243" s="26"/>
      <c r="SN243" s="26"/>
      <c r="SO243" s="26"/>
      <c r="SP243" s="26"/>
      <c r="SQ243" s="26"/>
      <c r="SR243" s="26"/>
      <c r="SS243" s="26"/>
      <c r="ST243" s="26"/>
      <c r="SU243" s="26"/>
      <c r="SV243" s="26"/>
      <c r="SW243" s="26"/>
      <c r="SX243" s="26"/>
      <c r="SY243" s="26"/>
      <c r="SZ243" s="26"/>
      <c r="TA243" s="26"/>
      <c r="TB243" s="26"/>
      <c r="TC243" s="26"/>
      <c r="TD243" s="26"/>
      <c r="TE243" s="26"/>
      <c r="TF243" s="26"/>
      <c r="TG243" s="26"/>
      <c r="TH243" s="26"/>
      <c r="TI243" s="26"/>
    </row>
    <row r="244" spans="1:529" s="23" customFormat="1" ht="21" customHeight="1" x14ac:dyDescent="0.25">
      <c r="A244" s="43" t="s">
        <v>253</v>
      </c>
      <c r="B244" s="44" t="str">
        <f>'дод 4'!A178</f>
        <v>8700</v>
      </c>
      <c r="C244" s="44" t="str">
        <f>'дод 4'!B178</f>
        <v>0133</v>
      </c>
      <c r="D244" s="24" t="str">
        <f>'дод 4'!C178</f>
        <v>Резервний фонд</v>
      </c>
      <c r="E244" s="69">
        <f>20000000+40000+102390-13000000-1535318+4392928</f>
        <v>10000000</v>
      </c>
      <c r="F244" s="69"/>
      <c r="G244" s="69"/>
      <c r="H244" s="69"/>
      <c r="I244" s="69"/>
      <c r="J244" s="69">
        <f t="shared" si="151"/>
        <v>0</v>
      </c>
      <c r="K244" s="69"/>
      <c r="L244" s="69"/>
      <c r="M244" s="69"/>
      <c r="N244" s="69"/>
      <c r="O244" s="69"/>
      <c r="P244" s="69">
        <f t="shared" si="150"/>
        <v>10000000</v>
      </c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  <c r="IW244" s="26"/>
      <c r="IX244" s="26"/>
      <c r="IY244" s="26"/>
      <c r="IZ244" s="26"/>
      <c r="JA244" s="26"/>
      <c r="JB244" s="26"/>
      <c r="JC244" s="26"/>
      <c r="JD244" s="26"/>
      <c r="JE244" s="26"/>
      <c r="JF244" s="26"/>
      <c r="JG244" s="26"/>
      <c r="JH244" s="26"/>
      <c r="JI244" s="26"/>
      <c r="JJ244" s="26"/>
      <c r="JK244" s="26"/>
      <c r="JL244" s="26"/>
      <c r="JM244" s="26"/>
      <c r="JN244" s="26"/>
      <c r="JO244" s="26"/>
      <c r="JP244" s="26"/>
      <c r="JQ244" s="26"/>
      <c r="JR244" s="26"/>
      <c r="JS244" s="26"/>
      <c r="JT244" s="26"/>
      <c r="JU244" s="26"/>
      <c r="JV244" s="26"/>
      <c r="JW244" s="26"/>
      <c r="JX244" s="26"/>
      <c r="JY244" s="26"/>
      <c r="JZ244" s="26"/>
      <c r="KA244" s="26"/>
      <c r="KB244" s="26"/>
      <c r="KC244" s="26"/>
      <c r="KD244" s="26"/>
      <c r="KE244" s="26"/>
      <c r="KF244" s="26"/>
      <c r="KG244" s="26"/>
      <c r="KH244" s="26"/>
      <c r="KI244" s="26"/>
      <c r="KJ244" s="26"/>
      <c r="KK244" s="26"/>
      <c r="KL244" s="26"/>
      <c r="KM244" s="26"/>
      <c r="KN244" s="26"/>
      <c r="KO244" s="26"/>
      <c r="KP244" s="26"/>
      <c r="KQ244" s="26"/>
      <c r="KR244" s="26"/>
      <c r="KS244" s="26"/>
      <c r="KT244" s="26"/>
      <c r="KU244" s="26"/>
      <c r="KV244" s="26"/>
      <c r="KW244" s="26"/>
      <c r="KX244" s="26"/>
      <c r="KY244" s="26"/>
      <c r="KZ244" s="26"/>
      <c r="LA244" s="26"/>
      <c r="LB244" s="26"/>
      <c r="LC244" s="26"/>
      <c r="LD244" s="26"/>
      <c r="LE244" s="26"/>
      <c r="LF244" s="26"/>
      <c r="LG244" s="26"/>
      <c r="LH244" s="26"/>
      <c r="LI244" s="26"/>
      <c r="LJ244" s="26"/>
      <c r="LK244" s="26"/>
      <c r="LL244" s="26"/>
      <c r="LM244" s="26"/>
      <c r="LN244" s="26"/>
      <c r="LO244" s="26"/>
      <c r="LP244" s="26"/>
      <c r="LQ244" s="26"/>
      <c r="LR244" s="26"/>
      <c r="LS244" s="26"/>
      <c r="LT244" s="26"/>
      <c r="LU244" s="26"/>
      <c r="LV244" s="26"/>
      <c r="LW244" s="26"/>
      <c r="LX244" s="26"/>
      <c r="LY244" s="26"/>
      <c r="LZ244" s="26"/>
      <c r="MA244" s="26"/>
      <c r="MB244" s="26"/>
      <c r="MC244" s="26"/>
      <c r="MD244" s="26"/>
      <c r="ME244" s="26"/>
      <c r="MF244" s="26"/>
      <c r="MG244" s="26"/>
      <c r="MH244" s="26"/>
      <c r="MI244" s="26"/>
      <c r="MJ244" s="26"/>
      <c r="MK244" s="26"/>
      <c r="ML244" s="26"/>
      <c r="MM244" s="26"/>
      <c r="MN244" s="26"/>
      <c r="MO244" s="26"/>
      <c r="MP244" s="26"/>
      <c r="MQ244" s="26"/>
      <c r="MR244" s="26"/>
      <c r="MS244" s="26"/>
      <c r="MT244" s="26"/>
      <c r="MU244" s="26"/>
      <c r="MV244" s="26"/>
      <c r="MW244" s="26"/>
      <c r="MX244" s="26"/>
      <c r="MY244" s="26"/>
      <c r="MZ244" s="26"/>
      <c r="NA244" s="26"/>
      <c r="NB244" s="26"/>
      <c r="NC244" s="26"/>
      <c r="ND244" s="26"/>
      <c r="NE244" s="26"/>
      <c r="NF244" s="26"/>
      <c r="NG244" s="26"/>
      <c r="NH244" s="26"/>
      <c r="NI244" s="26"/>
      <c r="NJ244" s="26"/>
      <c r="NK244" s="26"/>
      <c r="NL244" s="26"/>
      <c r="NM244" s="26"/>
      <c r="NN244" s="26"/>
      <c r="NO244" s="26"/>
      <c r="NP244" s="26"/>
      <c r="NQ244" s="26"/>
      <c r="NR244" s="26"/>
      <c r="NS244" s="26"/>
      <c r="NT244" s="26"/>
      <c r="NU244" s="26"/>
      <c r="NV244" s="26"/>
      <c r="NW244" s="26"/>
      <c r="NX244" s="26"/>
      <c r="NY244" s="26"/>
      <c r="NZ244" s="26"/>
      <c r="OA244" s="26"/>
      <c r="OB244" s="26"/>
      <c r="OC244" s="26"/>
      <c r="OD244" s="26"/>
      <c r="OE244" s="26"/>
      <c r="OF244" s="26"/>
      <c r="OG244" s="26"/>
      <c r="OH244" s="26"/>
      <c r="OI244" s="26"/>
      <c r="OJ244" s="26"/>
      <c r="OK244" s="26"/>
      <c r="OL244" s="26"/>
      <c r="OM244" s="26"/>
      <c r="ON244" s="26"/>
      <c r="OO244" s="26"/>
      <c r="OP244" s="26"/>
      <c r="OQ244" s="26"/>
      <c r="OR244" s="26"/>
      <c r="OS244" s="26"/>
      <c r="OT244" s="26"/>
      <c r="OU244" s="26"/>
      <c r="OV244" s="26"/>
      <c r="OW244" s="26"/>
      <c r="OX244" s="26"/>
      <c r="OY244" s="26"/>
      <c r="OZ244" s="26"/>
      <c r="PA244" s="26"/>
      <c r="PB244" s="26"/>
      <c r="PC244" s="26"/>
      <c r="PD244" s="26"/>
      <c r="PE244" s="26"/>
      <c r="PF244" s="26"/>
      <c r="PG244" s="26"/>
      <c r="PH244" s="26"/>
      <c r="PI244" s="26"/>
      <c r="PJ244" s="26"/>
      <c r="PK244" s="26"/>
      <c r="PL244" s="26"/>
      <c r="PM244" s="26"/>
      <c r="PN244" s="26"/>
      <c r="PO244" s="26"/>
      <c r="PP244" s="26"/>
      <c r="PQ244" s="26"/>
      <c r="PR244" s="26"/>
      <c r="PS244" s="26"/>
      <c r="PT244" s="26"/>
      <c r="PU244" s="26"/>
      <c r="PV244" s="26"/>
      <c r="PW244" s="26"/>
      <c r="PX244" s="26"/>
      <c r="PY244" s="26"/>
      <c r="PZ244" s="26"/>
      <c r="QA244" s="26"/>
      <c r="QB244" s="26"/>
      <c r="QC244" s="26"/>
      <c r="QD244" s="26"/>
      <c r="QE244" s="26"/>
      <c r="QF244" s="26"/>
      <c r="QG244" s="26"/>
      <c r="QH244" s="26"/>
      <c r="QI244" s="26"/>
      <c r="QJ244" s="26"/>
      <c r="QK244" s="26"/>
      <c r="QL244" s="26"/>
      <c r="QM244" s="26"/>
      <c r="QN244" s="26"/>
      <c r="QO244" s="26"/>
      <c r="QP244" s="26"/>
      <c r="QQ244" s="26"/>
      <c r="QR244" s="26"/>
      <c r="QS244" s="26"/>
      <c r="QT244" s="26"/>
      <c r="QU244" s="26"/>
      <c r="QV244" s="26"/>
      <c r="QW244" s="26"/>
      <c r="QX244" s="26"/>
      <c r="QY244" s="26"/>
      <c r="QZ244" s="26"/>
      <c r="RA244" s="26"/>
      <c r="RB244" s="26"/>
      <c r="RC244" s="26"/>
      <c r="RD244" s="26"/>
      <c r="RE244" s="26"/>
      <c r="RF244" s="26"/>
      <c r="RG244" s="26"/>
      <c r="RH244" s="26"/>
      <c r="RI244" s="26"/>
      <c r="RJ244" s="26"/>
      <c r="RK244" s="26"/>
      <c r="RL244" s="26"/>
      <c r="RM244" s="26"/>
      <c r="RN244" s="26"/>
      <c r="RO244" s="26"/>
      <c r="RP244" s="26"/>
      <c r="RQ244" s="26"/>
      <c r="RR244" s="26"/>
      <c r="RS244" s="26"/>
      <c r="RT244" s="26"/>
      <c r="RU244" s="26"/>
      <c r="RV244" s="26"/>
      <c r="RW244" s="26"/>
      <c r="RX244" s="26"/>
      <c r="RY244" s="26"/>
      <c r="RZ244" s="26"/>
      <c r="SA244" s="26"/>
      <c r="SB244" s="26"/>
      <c r="SC244" s="26"/>
      <c r="SD244" s="26"/>
      <c r="SE244" s="26"/>
      <c r="SF244" s="26"/>
      <c r="SG244" s="26"/>
      <c r="SH244" s="26"/>
      <c r="SI244" s="26"/>
      <c r="SJ244" s="26"/>
      <c r="SK244" s="26"/>
      <c r="SL244" s="26"/>
      <c r="SM244" s="26"/>
      <c r="SN244" s="26"/>
      <c r="SO244" s="26"/>
      <c r="SP244" s="26"/>
      <c r="SQ244" s="26"/>
      <c r="SR244" s="26"/>
      <c r="SS244" s="26"/>
      <c r="ST244" s="26"/>
      <c r="SU244" s="26"/>
      <c r="SV244" s="26"/>
      <c r="SW244" s="26"/>
      <c r="SX244" s="26"/>
      <c r="SY244" s="26"/>
      <c r="SZ244" s="26"/>
      <c r="TA244" s="26"/>
      <c r="TB244" s="26"/>
      <c r="TC244" s="26"/>
      <c r="TD244" s="26"/>
      <c r="TE244" s="26"/>
      <c r="TF244" s="26"/>
      <c r="TG244" s="26"/>
      <c r="TH244" s="26"/>
      <c r="TI244" s="26"/>
    </row>
    <row r="245" spans="1:529" s="23" customFormat="1" ht="22.5" customHeight="1" x14ac:dyDescent="0.25">
      <c r="A245" s="43" t="s">
        <v>254</v>
      </c>
      <c r="B245" s="44" t="str">
        <f>'дод 4'!A181</f>
        <v>9110</v>
      </c>
      <c r="C245" s="44" t="str">
        <f>'дод 4'!B181</f>
        <v>0180</v>
      </c>
      <c r="D245" s="24" t="str">
        <f>'дод 4'!C181</f>
        <v>Реверсна дотація</v>
      </c>
      <c r="E245" s="69">
        <f>F245+I245</f>
        <v>108116600</v>
      </c>
      <c r="F245" s="69">
        <v>108116600</v>
      </c>
      <c r="G245" s="69"/>
      <c r="H245" s="69"/>
      <c r="I245" s="69"/>
      <c r="J245" s="69">
        <f t="shared" si="151"/>
        <v>0</v>
      </c>
      <c r="K245" s="69"/>
      <c r="L245" s="69"/>
      <c r="M245" s="69"/>
      <c r="N245" s="69"/>
      <c r="O245" s="69"/>
      <c r="P245" s="69">
        <f t="shared" si="150"/>
        <v>108116600</v>
      </c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  <c r="IW245" s="26"/>
      <c r="IX245" s="26"/>
      <c r="IY245" s="26"/>
      <c r="IZ245" s="26"/>
      <c r="JA245" s="26"/>
      <c r="JB245" s="26"/>
      <c r="JC245" s="26"/>
      <c r="JD245" s="26"/>
      <c r="JE245" s="26"/>
      <c r="JF245" s="26"/>
      <c r="JG245" s="26"/>
      <c r="JH245" s="26"/>
      <c r="JI245" s="26"/>
      <c r="JJ245" s="26"/>
      <c r="JK245" s="26"/>
      <c r="JL245" s="26"/>
      <c r="JM245" s="26"/>
      <c r="JN245" s="26"/>
      <c r="JO245" s="26"/>
      <c r="JP245" s="26"/>
      <c r="JQ245" s="26"/>
      <c r="JR245" s="26"/>
      <c r="JS245" s="26"/>
      <c r="JT245" s="26"/>
      <c r="JU245" s="26"/>
      <c r="JV245" s="26"/>
      <c r="JW245" s="26"/>
      <c r="JX245" s="26"/>
      <c r="JY245" s="26"/>
      <c r="JZ245" s="26"/>
      <c r="KA245" s="26"/>
      <c r="KB245" s="26"/>
      <c r="KC245" s="26"/>
      <c r="KD245" s="26"/>
      <c r="KE245" s="26"/>
      <c r="KF245" s="26"/>
      <c r="KG245" s="26"/>
      <c r="KH245" s="26"/>
      <c r="KI245" s="26"/>
      <c r="KJ245" s="26"/>
      <c r="KK245" s="26"/>
      <c r="KL245" s="26"/>
      <c r="KM245" s="26"/>
      <c r="KN245" s="26"/>
      <c r="KO245" s="26"/>
      <c r="KP245" s="26"/>
      <c r="KQ245" s="26"/>
      <c r="KR245" s="26"/>
      <c r="KS245" s="26"/>
      <c r="KT245" s="26"/>
      <c r="KU245" s="26"/>
      <c r="KV245" s="26"/>
      <c r="KW245" s="26"/>
      <c r="KX245" s="26"/>
      <c r="KY245" s="26"/>
      <c r="KZ245" s="26"/>
      <c r="LA245" s="26"/>
      <c r="LB245" s="26"/>
      <c r="LC245" s="26"/>
      <c r="LD245" s="26"/>
      <c r="LE245" s="26"/>
      <c r="LF245" s="26"/>
      <c r="LG245" s="26"/>
      <c r="LH245" s="26"/>
      <c r="LI245" s="26"/>
      <c r="LJ245" s="26"/>
      <c r="LK245" s="26"/>
      <c r="LL245" s="26"/>
      <c r="LM245" s="26"/>
      <c r="LN245" s="26"/>
      <c r="LO245" s="26"/>
      <c r="LP245" s="26"/>
      <c r="LQ245" s="26"/>
      <c r="LR245" s="26"/>
      <c r="LS245" s="26"/>
      <c r="LT245" s="26"/>
      <c r="LU245" s="26"/>
      <c r="LV245" s="26"/>
      <c r="LW245" s="26"/>
      <c r="LX245" s="26"/>
      <c r="LY245" s="26"/>
      <c r="LZ245" s="26"/>
      <c r="MA245" s="26"/>
      <c r="MB245" s="26"/>
      <c r="MC245" s="26"/>
      <c r="MD245" s="26"/>
      <c r="ME245" s="26"/>
      <c r="MF245" s="26"/>
      <c r="MG245" s="26"/>
      <c r="MH245" s="26"/>
      <c r="MI245" s="26"/>
      <c r="MJ245" s="26"/>
      <c r="MK245" s="26"/>
      <c r="ML245" s="26"/>
      <c r="MM245" s="26"/>
      <c r="MN245" s="26"/>
      <c r="MO245" s="26"/>
      <c r="MP245" s="26"/>
      <c r="MQ245" s="26"/>
      <c r="MR245" s="26"/>
      <c r="MS245" s="26"/>
      <c r="MT245" s="26"/>
      <c r="MU245" s="26"/>
      <c r="MV245" s="26"/>
      <c r="MW245" s="26"/>
      <c r="MX245" s="26"/>
      <c r="MY245" s="26"/>
      <c r="MZ245" s="26"/>
      <c r="NA245" s="26"/>
      <c r="NB245" s="26"/>
      <c r="NC245" s="26"/>
      <c r="ND245" s="26"/>
      <c r="NE245" s="26"/>
      <c r="NF245" s="26"/>
      <c r="NG245" s="26"/>
      <c r="NH245" s="26"/>
      <c r="NI245" s="26"/>
      <c r="NJ245" s="26"/>
      <c r="NK245" s="26"/>
      <c r="NL245" s="26"/>
      <c r="NM245" s="26"/>
      <c r="NN245" s="26"/>
      <c r="NO245" s="26"/>
      <c r="NP245" s="26"/>
      <c r="NQ245" s="26"/>
      <c r="NR245" s="26"/>
      <c r="NS245" s="26"/>
      <c r="NT245" s="26"/>
      <c r="NU245" s="26"/>
      <c r="NV245" s="26"/>
      <c r="NW245" s="26"/>
      <c r="NX245" s="26"/>
      <c r="NY245" s="26"/>
      <c r="NZ245" s="26"/>
      <c r="OA245" s="26"/>
      <c r="OB245" s="26"/>
      <c r="OC245" s="26"/>
      <c r="OD245" s="26"/>
      <c r="OE245" s="26"/>
      <c r="OF245" s="26"/>
      <c r="OG245" s="26"/>
      <c r="OH245" s="26"/>
      <c r="OI245" s="26"/>
      <c r="OJ245" s="26"/>
      <c r="OK245" s="26"/>
      <c r="OL245" s="26"/>
      <c r="OM245" s="26"/>
      <c r="ON245" s="26"/>
      <c r="OO245" s="26"/>
      <c r="OP245" s="26"/>
      <c r="OQ245" s="26"/>
      <c r="OR245" s="26"/>
      <c r="OS245" s="26"/>
      <c r="OT245" s="26"/>
      <c r="OU245" s="26"/>
      <c r="OV245" s="26"/>
      <c r="OW245" s="26"/>
      <c r="OX245" s="26"/>
      <c r="OY245" s="26"/>
      <c r="OZ245" s="26"/>
      <c r="PA245" s="26"/>
      <c r="PB245" s="26"/>
      <c r="PC245" s="26"/>
      <c r="PD245" s="26"/>
      <c r="PE245" s="26"/>
      <c r="PF245" s="26"/>
      <c r="PG245" s="26"/>
      <c r="PH245" s="26"/>
      <c r="PI245" s="26"/>
      <c r="PJ245" s="26"/>
      <c r="PK245" s="26"/>
      <c r="PL245" s="26"/>
      <c r="PM245" s="26"/>
      <c r="PN245" s="26"/>
      <c r="PO245" s="26"/>
      <c r="PP245" s="26"/>
      <c r="PQ245" s="26"/>
      <c r="PR245" s="26"/>
      <c r="PS245" s="26"/>
      <c r="PT245" s="26"/>
      <c r="PU245" s="26"/>
      <c r="PV245" s="26"/>
      <c r="PW245" s="26"/>
      <c r="PX245" s="26"/>
      <c r="PY245" s="26"/>
      <c r="PZ245" s="26"/>
      <c r="QA245" s="26"/>
      <c r="QB245" s="26"/>
      <c r="QC245" s="26"/>
      <c r="QD245" s="26"/>
      <c r="QE245" s="26"/>
      <c r="QF245" s="26"/>
      <c r="QG245" s="26"/>
      <c r="QH245" s="26"/>
      <c r="QI245" s="26"/>
      <c r="QJ245" s="26"/>
      <c r="QK245" s="26"/>
      <c r="QL245" s="26"/>
      <c r="QM245" s="26"/>
      <c r="QN245" s="26"/>
      <c r="QO245" s="26"/>
      <c r="QP245" s="26"/>
      <c r="QQ245" s="26"/>
      <c r="QR245" s="26"/>
      <c r="QS245" s="26"/>
      <c r="QT245" s="26"/>
      <c r="QU245" s="26"/>
      <c r="QV245" s="26"/>
      <c r="QW245" s="26"/>
      <c r="QX245" s="26"/>
      <c r="QY245" s="26"/>
      <c r="QZ245" s="26"/>
      <c r="RA245" s="26"/>
      <c r="RB245" s="26"/>
      <c r="RC245" s="26"/>
      <c r="RD245" s="26"/>
      <c r="RE245" s="26"/>
      <c r="RF245" s="26"/>
      <c r="RG245" s="26"/>
      <c r="RH245" s="26"/>
      <c r="RI245" s="26"/>
      <c r="RJ245" s="26"/>
      <c r="RK245" s="26"/>
      <c r="RL245" s="26"/>
      <c r="RM245" s="26"/>
      <c r="RN245" s="26"/>
      <c r="RO245" s="26"/>
      <c r="RP245" s="26"/>
      <c r="RQ245" s="26"/>
      <c r="RR245" s="26"/>
      <c r="RS245" s="26"/>
      <c r="RT245" s="26"/>
      <c r="RU245" s="26"/>
      <c r="RV245" s="26"/>
      <c r="RW245" s="26"/>
      <c r="RX245" s="26"/>
      <c r="RY245" s="26"/>
      <c r="RZ245" s="26"/>
      <c r="SA245" s="26"/>
      <c r="SB245" s="26"/>
      <c r="SC245" s="26"/>
      <c r="SD245" s="26"/>
      <c r="SE245" s="26"/>
      <c r="SF245" s="26"/>
      <c r="SG245" s="26"/>
      <c r="SH245" s="26"/>
      <c r="SI245" s="26"/>
      <c r="SJ245" s="26"/>
      <c r="SK245" s="26"/>
      <c r="SL245" s="26"/>
      <c r="SM245" s="26"/>
      <c r="SN245" s="26"/>
      <c r="SO245" s="26"/>
      <c r="SP245" s="26"/>
      <c r="SQ245" s="26"/>
      <c r="SR245" s="26"/>
      <c r="SS245" s="26"/>
      <c r="ST245" s="26"/>
      <c r="SU245" s="26"/>
      <c r="SV245" s="26"/>
      <c r="SW245" s="26"/>
      <c r="SX245" s="26"/>
      <c r="SY245" s="26"/>
      <c r="SZ245" s="26"/>
      <c r="TA245" s="26"/>
      <c r="TB245" s="26"/>
      <c r="TC245" s="26"/>
      <c r="TD245" s="26"/>
      <c r="TE245" s="26"/>
      <c r="TF245" s="26"/>
      <c r="TG245" s="26"/>
      <c r="TH245" s="26"/>
      <c r="TI245" s="26"/>
    </row>
    <row r="246" spans="1:529" s="31" customFormat="1" ht="21" customHeight="1" x14ac:dyDescent="0.2">
      <c r="A246" s="87"/>
      <c r="B246" s="74"/>
      <c r="C246" s="155"/>
      <c r="D246" s="30" t="s">
        <v>489</v>
      </c>
      <c r="E246" s="66">
        <f t="shared" ref="E246:P246" si="152">E18+E57+E99+E127+E157+E162+E172+E201+E204+E220+E225+E228+E236</f>
        <v>2028509337</v>
      </c>
      <c r="F246" s="66">
        <f t="shared" si="152"/>
        <v>1946997899</v>
      </c>
      <c r="G246" s="66">
        <f t="shared" si="152"/>
        <v>899639742</v>
      </c>
      <c r="H246" s="66">
        <f t="shared" si="152"/>
        <v>107654468</v>
      </c>
      <c r="I246" s="66">
        <f t="shared" si="152"/>
        <v>71511438</v>
      </c>
      <c r="J246" s="66">
        <f t="shared" si="152"/>
        <v>669164655.30999994</v>
      </c>
      <c r="K246" s="66">
        <f t="shared" si="152"/>
        <v>508513408.66999996</v>
      </c>
      <c r="L246" s="66">
        <f t="shared" si="152"/>
        <v>144003011.00999999</v>
      </c>
      <c r="M246" s="66">
        <f t="shared" si="152"/>
        <v>9012497</v>
      </c>
      <c r="N246" s="66">
        <f t="shared" si="152"/>
        <v>3810541</v>
      </c>
      <c r="O246" s="66">
        <f t="shared" si="152"/>
        <v>525161644.30000001</v>
      </c>
      <c r="P246" s="66">
        <f t="shared" si="152"/>
        <v>2697673992.3099999</v>
      </c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8"/>
      <c r="GE246" s="38"/>
      <c r="GF246" s="38"/>
      <c r="GG246" s="38"/>
      <c r="GH246" s="38"/>
      <c r="GI246" s="38"/>
      <c r="GJ246" s="38"/>
      <c r="GK246" s="38"/>
      <c r="GL246" s="38"/>
      <c r="GM246" s="38"/>
      <c r="GN246" s="38"/>
      <c r="GO246" s="38"/>
      <c r="GP246" s="38"/>
      <c r="GQ246" s="38"/>
      <c r="GR246" s="38"/>
      <c r="GS246" s="38"/>
      <c r="GT246" s="38"/>
      <c r="GU246" s="38"/>
      <c r="GV246" s="38"/>
      <c r="GW246" s="38"/>
      <c r="GX246" s="38"/>
      <c r="GY246" s="38"/>
      <c r="GZ246" s="38"/>
      <c r="HA246" s="38"/>
      <c r="HB246" s="38"/>
      <c r="HC246" s="38"/>
      <c r="HD246" s="38"/>
      <c r="HE246" s="38"/>
      <c r="HF246" s="38"/>
      <c r="HG246" s="38"/>
      <c r="HH246" s="38"/>
      <c r="HI246" s="38"/>
      <c r="HJ246" s="38"/>
      <c r="HK246" s="38"/>
      <c r="HL246" s="38"/>
      <c r="HM246" s="38"/>
      <c r="HN246" s="38"/>
      <c r="HO246" s="38"/>
      <c r="HP246" s="38"/>
      <c r="HQ246" s="38"/>
      <c r="HR246" s="38"/>
      <c r="HS246" s="38"/>
      <c r="HT246" s="38"/>
      <c r="HU246" s="38"/>
      <c r="HV246" s="38"/>
      <c r="HW246" s="38"/>
      <c r="HX246" s="38"/>
      <c r="HY246" s="38"/>
      <c r="HZ246" s="38"/>
      <c r="IA246" s="38"/>
      <c r="IB246" s="38"/>
      <c r="IC246" s="38"/>
      <c r="ID246" s="38"/>
      <c r="IE246" s="38"/>
      <c r="IF246" s="38"/>
      <c r="IG246" s="38"/>
      <c r="IH246" s="38"/>
      <c r="II246" s="38"/>
      <c r="IJ246" s="38"/>
      <c r="IK246" s="38"/>
      <c r="IL246" s="38"/>
      <c r="IM246" s="38"/>
      <c r="IN246" s="38"/>
      <c r="IO246" s="38"/>
      <c r="IP246" s="38"/>
      <c r="IQ246" s="38"/>
      <c r="IR246" s="38"/>
      <c r="IS246" s="38"/>
      <c r="IT246" s="38"/>
      <c r="IU246" s="38"/>
      <c r="IV246" s="38"/>
      <c r="IW246" s="38"/>
      <c r="IX246" s="38"/>
      <c r="IY246" s="38"/>
      <c r="IZ246" s="38"/>
      <c r="JA246" s="38"/>
      <c r="JB246" s="38"/>
      <c r="JC246" s="38"/>
      <c r="JD246" s="38"/>
      <c r="JE246" s="38"/>
      <c r="JF246" s="38"/>
      <c r="JG246" s="38"/>
      <c r="JH246" s="38"/>
      <c r="JI246" s="38"/>
      <c r="JJ246" s="38"/>
      <c r="JK246" s="38"/>
      <c r="JL246" s="38"/>
      <c r="JM246" s="38"/>
      <c r="JN246" s="38"/>
      <c r="JO246" s="38"/>
      <c r="JP246" s="38"/>
      <c r="JQ246" s="38"/>
      <c r="JR246" s="38"/>
      <c r="JS246" s="38"/>
      <c r="JT246" s="38"/>
      <c r="JU246" s="38"/>
      <c r="JV246" s="38"/>
      <c r="JW246" s="38"/>
      <c r="JX246" s="38"/>
      <c r="JY246" s="38"/>
      <c r="JZ246" s="38"/>
      <c r="KA246" s="38"/>
      <c r="KB246" s="38"/>
      <c r="KC246" s="38"/>
      <c r="KD246" s="38"/>
      <c r="KE246" s="38"/>
      <c r="KF246" s="38"/>
      <c r="KG246" s="38"/>
      <c r="KH246" s="38"/>
      <c r="KI246" s="38"/>
      <c r="KJ246" s="38"/>
      <c r="KK246" s="38"/>
      <c r="KL246" s="38"/>
      <c r="KM246" s="38"/>
      <c r="KN246" s="38"/>
      <c r="KO246" s="38"/>
      <c r="KP246" s="38"/>
      <c r="KQ246" s="38"/>
      <c r="KR246" s="38"/>
      <c r="KS246" s="38"/>
      <c r="KT246" s="38"/>
      <c r="KU246" s="38"/>
      <c r="KV246" s="38"/>
      <c r="KW246" s="38"/>
      <c r="KX246" s="38"/>
      <c r="KY246" s="38"/>
      <c r="KZ246" s="38"/>
      <c r="LA246" s="38"/>
      <c r="LB246" s="38"/>
      <c r="LC246" s="38"/>
      <c r="LD246" s="38"/>
      <c r="LE246" s="38"/>
      <c r="LF246" s="38"/>
      <c r="LG246" s="38"/>
      <c r="LH246" s="38"/>
      <c r="LI246" s="38"/>
      <c r="LJ246" s="38"/>
      <c r="LK246" s="38"/>
      <c r="LL246" s="38"/>
      <c r="LM246" s="38"/>
      <c r="LN246" s="38"/>
      <c r="LO246" s="38"/>
      <c r="LP246" s="38"/>
      <c r="LQ246" s="38"/>
      <c r="LR246" s="38"/>
      <c r="LS246" s="38"/>
      <c r="LT246" s="38"/>
      <c r="LU246" s="38"/>
      <c r="LV246" s="38"/>
      <c r="LW246" s="38"/>
      <c r="LX246" s="38"/>
      <c r="LY246" s="38"/>
      <c r="LZ246" s="38"/>
      <c r="MA246" s="38"/>
      <c r="MB246" s="38"/>
      <c r="MC246" s="38"/>
      <c r="MD246" s="38"/>
      <c r="ME246" s="38"/>
      <c r="MF246" s="38"/>
      <c r="MG246" s="38"/>
      <c r="MH246" s="38"/>
      <c r="MI246" s="38"/>
      <c r="MJ246" s="38"/>
      <c r="MK246" s="38"/>
      <c r="ML246" s="38"/>
      <c r="MM246" s="38"/>
      <c r="MN246" s="38"/>
      <c r="MO246" s="38"/>
      <c r="MP246" s="38"/>
      <c r="MQ246" s="38"/>
      <c r="MR246" s="38"/>
      <c r="MS246" s="38"/>
      <c r="MT246" s="38"/>
      <c r="MU246" s="38"/>
      <c r="MV246" s="38"/>
      <c r="MW246" s="38"/>
      <c r="MX246" s="38"/>
      <c r="MY246" s="38"/>
      <c r="MZ246" s="38"/>
      <c r="NA246" s="38"/>
      <c r="NB246" s="38"/>
      <c r="NC246" s="38"/>
      <c r="ND246" s="38"/>
      <c r="NE246" s="38"/>
      <c r="NF246" s="38"/>
      <c r="NG246" s="38"/>
      <c r="NH246" s="38"/>
      <c r="NI246" s="38"/>
      <c r="NJ246" s="38"/>
      <c r="NK246" s="38"/>
      <c r="NL246" s="38"/>
      <c r="NM246" s="38"/>
      <c r="NN246" s="38"/>
      <c r="NO246" s="38"/>
      <c r="NP246" s="38"/>
      <c r="NQ246" s="38"/>
      <c r="NR246" s="38"/>
      <c r="NS246" s="38"/>
      <c r="NT246" s="38"/>
      <c r="NU246" s="38"/>
      <c r="NV246" s="38"/>
      <c r="NW246" s="38"/>
      <c r="NX246" s="38"/>
      <c r="NY246" s="38"/>
      <c r="NZ246" s="38"/>
      <c r="OA246" s="38"/>
      <c r="OB246" s="38"/>
      <c r="OC246" s="38"/>
      <c r="OD246" s="38"/>
      <c r="OE246" s="38"/>
      <c r="OF246" s="38"/>
      <c r="OG246" s="38"/>
      <c r="OH246" s="38"/>
      <c r="OI246" s="38"/>
      <c r="OJ246" s="38"/>
      <c r="OK246" s="38"/>
      <c r="OL246" s="38"/>
      <c r="OM246" s="38"/>
      <c r="ON246" s="38"/>
      <c r="OO246" s="38"/>
      <c r="OP246" s="38"/>
      <c r="OQ246" s="38"/>
      <c r="OR246" s="38"/>
      <c r="OS246" s="38"/>
      <c r="OT246" s="38"/>
      <c r="OU246" s="38"/>
      <c r="OV246" s="38"/>
      <c r="OW246" s="38"/>
      <c r="OX246" s="38"/>
      <c r="OY246" s="38"/>
      <c r="OZ246" s="38"/>
      <c r="PA246" s="38"/>
      <c r="PB246" s="38"/>
      <c r="PC246" s="38"/>
      <c r="PD246" s="38"/>
      <c r="PE246" s="38"/>
      <c r="PF246" s="38"/>
      <c r="PG246" s="38"/>
      <c r="PH246" s="38"/>
      <c r="PI246" s="38"/>
      <c r="PJ246" s="38"/>
      <c r="PK246" s="38"/>
      <c r="PL246" s="38"/>
      <c r="PM246" s="38"/>
      <c r="PN246" s="38"/>
      <c r="PO246" s="38"/>
      <c r="PP246" s="38"/>
      <c r="PQ246" s="38"/>
      <c r="PR246" s="38"/>
      <c r="PS246" s="38"/>
      <c r="PT246" s="38"/>
      <c r="PU246" s="38"/>
      <c r="PV246" s="38"/>
      <c r="PW246" s="38"/>
      <c r="PX246" s="38"/>
      <c r="PY246" s="38"/>
      <c r="PZ246" s="38"/>
      <c r="QA246" s="38"/>
      <c r="QB246" s="38"/>
      <c r="QC246" s="38"/>
      <c r="QD246" s="38"/>
      <c r="QE246" s="38"/>
      <c r="QF246" s="38"/>
      <c r="QG246" s="38"/>
      <c r="QH246" s="38"/>
      <c r="QI246" s="38"/>
      <c r="QJ246" s="38"/>
      <c r="QK246" s="38"/>
      <c r="QL246" s="38"/>
      <c r="QM246" s="38"/>
      <c r="QN246" s="38"/>
      <c r="QO246" s="38"/>
      <c r="QP246" s="38"/>
      <c r="QQ246" s="38"/>
      <c r="QR246" s="38"/>
      <c r="QS246" s="38"/>
      <c r="QT246" s="38"/>
      <c r="QU246" s="38"/>
      <c r="QV246" s="38"/>
      <c r="QW246" s="38"/>
      <c r="QX246" s="38"/>
      <c r="QY246" s="38"/>
      <c r="QZ246" s="38"/>
      <c r="RA246" s="38"/>
      <c r="RB246" s="38"/>
      <c r="RC246" s="38"/>
      <c r="RD246" s="38"/>
      <c r="RE246" s="38"/>
      <c r="RF246" s="38"/>
      <c r="RG246" s="38"/>
      <c r="RH246" s="38"/>
      <c r="RI246" s="38"/>
      <c r="RJ246" s="38"/>
      <c r="RK246" s="38"/>
      <c r="RL246" s="38"/>
      <c r="RM246" s="38"/>
      <c r="RN246" s="38"/>
      <c r="RO246" s="38"/>
      <c r="RP246" s="38"/>
      <c r="RQ246" s="38"/>
      <c r="RR246" s="38"/>
      <c r="RS246" s="38"/>
      <c r="RT246" s="38"/>
      <c r="RU246" s="38"/>
      <c r="RV246" s="38"/>
      <c r="RW246" s="38"/>
      <c r="RX246" s="38"/>
      <c r="RY246" s="38"/>
      <c r="RZ246" s="38"/>
      <c r="SA246" s="38"/>
      <c r="SB246" s="38"/>
      <c r="SC246" s="38"/>
      <c r="SD246" s="38"/>
      <c r="SE246" s="38"/>
      <c r="SF246" s="38"/>
      <c r="SG246" s="38"/>
      <c r="SH246" s="38"/>
      <c r="SI246" s="38"/>
      <c r="SJ246" s="38"/>
      <c r="SK246" s="38"/>
      <c r="SL246" s="38"/>
      <c r="SM246" s="38"/>
      <c r="SN246" s="38"/>
      <c r="SO246" s="38"/>
      <c r="SP246" s="38"/>
      <c r="SQ246" s="38"/>
      <c r="SR246" s="38"/>
      <c r="SS246" s="38"/>
      <c r="ST246" s="38"/>
      <c r="SU246" s="38"/>
      <c r="SV246" s="38"/>
      <c r="SW246" s="38"/>
      <c r="SX246" s="38"/>
      <c r="SY246" s="38"/>
      <c r="SZ246" s="38"/>
      <c r="TA246" s="38"/>
      <c r="TB246" s="38"/>
      <c r="TC246" s="38"/>
      <c r="TD246" s="38"/>
      <c r="TE246" s="38"/>
      <c r="TF246" s="38"/>
      <c r="TG246" s="38"/>
      <c r="TH246" s="38"/>
      <c r="TI246" s="38"/>
    </row>
    <row r="247" spans="1:529" s="40" customFormat="1" ht="30" x14ac:dyDescent="0.25">
      <c r="A247" s="167"/>
      <c r="B247" s="75"/>
      <c r="C247" s="67"/>
      <c r="D247" s="33" t="s">
        <v>466</v>
      </c>
      <c r="E247" s="68">
        <f t="shared" ref="E247:P247" si="153">E59+E60+E101+E174</f>
        <v>423878400</v>
      </c>
      <c r="F247" s="68">
        <f t="shared" si="153"/>
        <v>423878400</v>
      </c>
      <c r="G247" s="68">
        <f t="shared" si="153"/>
        <v>304728600</v>
      </c>
      <c r="H247" s="68">
        <f t="shared" si="153"/>
        <v>0</v>
      </c>
      <c r="I247" s="68">
        <f t="shared" si="153"/>
        <v>0</v>
      </c>
      <c r="J247" s="68">
        <f t="shared" si="153"/>
        <v>1187498.93</v>
      </c>
      <c r="K247" s="68">
        <f t="shared" si="153"/>
        <v>1187498.93</v>
      </c>
      <c r="L247" s="68">
        <f t="shared" si="153"/>
        <v>0</v>
      </c>
      <c r="M247" s="68">
        <f t="shared" si="153"/>
        <v>0</v>
      </c>
      <c r="N247" s="68">
        <f t="shared" si="153"/>
        <v>0</v>
      </c>
      <c r="O247" s="68">
        <f t="shared" si="153"/>
        <v>1187498.93</v>
      </c>
      <c r="P247" s="68">
        <f t="shared" si="153"/>
        <v>425065898.93000001</v>
      </c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  <c r="GQ247" s="39"/>
      <c r="GR247" s="39"/>
      <c r="GS247" s="39"/>
      <c r="GT247" s="39"/>
      <c r="GU247" s="39"/>
      <c r="GV247" s="39"/>
      <c r="GW247" s="39"/>
      <c r="GX247" s="39"/>
      <c r="GY247" s="39"/>
      <c r="GZ247" s="39"/>
      <c r="HA247" s="39"/>
      <c r="HB247" s="39"/>
      <c r="HC247" s="39"/>
      <c r="HD247" s="39"/>
      <c r="HE247" s="39"/>
      <c r="HF247" s="39"/>
      <c r="HG247" s="39"/>
      <c r="HH247" s="39"/>
      <c r="HI247" s="39"/>
      <c r="HJ247" s="39"/>
      <c r="HK247" s="39"/>
      <c r="HL247" s="39"/>
      <c r="HM247" s="39"/>
      <c r="HN247" s="39"/>
      <c r="HO247" s="39"/>
      <c r="HP247" s="39"/>
      <c r="HQ247" s="39"/>
      <c r="HR247" s="39"/>
      <c r="HS247" s="39"/>
      <c r="HT247" s="39"/>
      <c r="HU247" s="39"/>
      <c r="HV247" s="39"/>
      <c r="HW247" s="39"/>
      <c r="HX247" s="39"/>
      <c r="HY247" s="39"/>
      <c r="HZ247" s="39"/>
      <c r="IA247" s="39"/>
      <c r="IB247" s="39"/>
      <c r="IC247" s="39"/>
      <c r="ID247" s="39"/>
      <c r="IE247" s="39"/>
      <c r="IF247" s="39"/>
      <c r="IG247" s="39"/>
      <c r="IH247" s="39"/>
      <c r="II247" s="39"/>
      <c r="IJ247" s="39"/>
      <c r="IK247" s="39"/>
      <c r="IL247" s="39"/>
      <c r="IM247" s="39"/>
      <c r="IN247" s="39"/>
      <c r="IO247" s="39"/>
      <c r="IP247" s="39"/>
      <c r="IQ247" s="39"/>
      <c r="IR247" s="39"/>
      <c r="IS247" s="39"/>
      <c r="IT247" s="39"/>
      <c r="IU247" s="39"/>
      <c r="IV247" s="39"/>
      <c r="IW247" s="39"/>
      <c r="IX247" s="39"/>
      <c r="IY247" s="39"/>
      <c r="IZ247" s="39"/>
      <c r="JA247" s="39"/>
      <c r="JB247" s="39"/>
      <c r="JC247" s="39"/>
      <c r="JD247" s="39"/>
      <c r="JE247" s="39"/>
      <c r="JF247" s="39"/>
      <c r="JG247" s="39"/>
      <c r="JH247" s="39"/>
      <c r="JI247" s="39"/>
      <c r="JJ247" s="39"/>
      <c r="JK247" s="39"/>
      <c r="JL247" s="39"/>
      <c r="JM247" s="39"/>
      <c r="JN247" s="39"/>
      <c r="JO247" s="39"/>
      <c r="JP247" s="39"/>
      <c r="JQ247" s="39"/>
      <c r="JR247" s="39"/>
      <c r="JS247" s="39"/>
      <c r="JT247" s="39"/>
      <c r="JU247" s="39"/>
      <c r="JV247" s="39"/>
      <c r="JW247" s="39"/>
      <c r="JX247" s="39"/>
      <c r="JY247" s="39"/>
      <c r="JZ247" s="39"/>
      <c r="KA247" s="39"/>
      <c r="KB247" s="39"/>
      <c r="KC247" s="39"/>
      <c r="KD247" s="39"/>
      <c r="KE247" s="39"/>
      <c r="KF247" s="39"/>
      <c r="KG247" s="39"/>
      <c r="KH247" s="39"/>
      <c r="KI247" s="39"/>
      <c r="KJ247" s="39"/>
      <c r="KK247" s="39"/>
      <c r="KL247" s="39"/>
      <c r="KM247" s="39"/>
      <c r="KN247" s="39"/>
      <c r="KO247" s="39"/>
      <c r="KP247" s="39"/>
      <c r="KQ247" s="39"/>
      <c r="KR247" s="39"/>
      <c r="KS247" s="39"/>
      <c r="KT247" s="39"/>
      <c r="KU247" s="39"/>
      <c r="KV247" s="39"/>
      <c r="KW247" s="39"/>
      <c r="KX247" s="39"/>
      <c r="KY247" s="39"/>
      <c r="KZ247" s="39"/>
      <c r="LA247" s="39"/>
      <c r="LB247" s="39"/>
      <c r="LC247" s="39"/>
      <c r="LD247" s="39"/>
      <c r="LE247" s="39"/>
      <c r="LF247" s="39"/>
      <c r="LG247" s="39"/>
      <c r="LH247" s="39"/>
      <c r="LI247" s="39"/>
      <c r="LJ247" s="39"/>
      <c r="LK247" s="39"/>
      <c r="LL247" s="39"/>
      <c r="LM247" s="39"/>
      <c r="LN247" s="39"/>
      <c r="LO247" s="39"/>
      <c r="LP247" s="39"/>
      <c r="LQ247" s="39"/>
      <c r="LR247" s="39"/>
      <c r="LS247" s="39"/>
      <c r="LT247" s="39"/>
      <c r="LU247" s="39"/>
      <c r="LV247" s="39"/>
      <c r="LW247" s="39"/>
      <c r="LX247" s="39"/>
      <c r="LY247" s="39"/>
      <c r="LZ247" s="39"/>
      <c r="MA247" s="39"/>
      <c r="MB247" s="39"/>
      <c r="MC247" s="39"/>
      <c r="MD247" s="39"/>
      <c r="ME247" s="39"/>
      <c r="MF247" s="39"/>
      <c r="MG247" s="39"/>
      <c r="MH247" s="39"/>
      <c r="MI247" s="39"/>
      <c r="MJ247" s="39"/>
      <c r="MK247" s="39"/>
      <c r="ML247" s="39"/>
      <c r="MM247" s="39"/>
      <c r="MN247" s="39"/>
      <c r="MO247" s="39"/>
      <c r="MP247" s="39"/>
      <c r="MQ247" s="39"/>
      <c r="MR247" s="39"/>
      <c r="MS247" s="39"/>
      <c r="MT247" s="39"/>
      <c r="MU247" s="39"/>
      <c r="MV247" s="39"/>
      <c r="MW247" s="39"/>
      <c r="MX247" s="39"/>
      <c r="MY247" s="39"/>
      <c r="MZ247" s="39"/>
      <c r="NA247" s="39"/>
      <c r="NB247" s="39"/>
      <c r="NC247" s="39"/>
      <c r="ND247" s="39"/>
      <c r="NE247" s="39"/>
      <c r="NF247" s="39"/>
      <c r="NG247" s="39"/>
      <c r="NH247" s="39"/>
      <c r="NI247" s="39"/>
      <c r="NJ247" s="39"/>
      <c r="NK247" s="39"/>
      <c r="NL247" s="39"/>
      <c r="NM247" s="39"/>
      <c r="NN247" s="39"/>
      <c r="NO247" s="39"/>
      <c r="NP247" s="39"/>
      <c r="NQ247" s="39"/>
      <c r="NR247" s="39"/>
      <c r="NS247" s="39"/>
      <c r="NT247" s="39"/>
      <c r="NU247" s="39"/>
      <c r="NV247" s="39"/>
      <c r="NW247" s="39"/>
      <c r="NX247" s="39"/>
      <c r="NY247" s="39"/>
      <c r="NZ247" s="39"/>
      <c r="OA247" s="39"/>
      <c r="OB247" s="39"/>
      <c r="OC247" s="39"/>
      <c r="OD247" s="39"/>
      <c r="OE247" s="39"/>
      <c r="OF247" s="39"/>
      <c r="OG247" s="39"/>
      <c r="OH247" s="39"/>
      <c r="OI247" s="39"/>
      <c r="OJ247" s="39"/>
      <c r="OK247" s="39"/>
      <c r="OL247" s="39"/>
      <c r="OM247" s="39"/>
      <c r="ON247" s="39"/>
      <c r="OO247" s="39"/>
      <c r="OP247" s="39"/>
      <c r="OQ247" s="39"/>
      <c r="OR247" s="39"/>
      <c r="OS247" s="39"/>
      <c r="OT247" s="39"/>
      <c r="OU247" s="39"/>
      <c r="OV247" s="39"/>
      <c r="OW247" s="39"/>
      <c r="OX247" s="39"/>
      <c r="OY247" s="39"/>
      <c r="OZ247" s="39"/>
      <c r="PA247" s="39"/>
      <c r="PB247" s="39"/>
      <c r="PC247" s="39"/>
      <c r="PD247" s="39"/>
      <c r="PE247" s="39"/>
      <c r="PF247" s="39"/>
      <c r="PG247" s="39"/>
      <c r="PH247" s="39"/>
      <c r="PI247" s="39"/>
      <c r="PJ247" s="39"/>
      <c r="PK247" s="39"/>
      <c r="PL247" s="39"/>
      <c r="PM247" s="39"/>
      <c r="PN247" s="39"/>
      <c r="PO247" s="39"/>
      <c r="PP247" s="39"/>
      <c r="PQ247" s="39"/>
      <c r="PR247" s="39"/>
      <c r="PS247" s="39"/>
      <c r="PT247" s="39"/>
      <c r="PU247" s="39"/>
      <c r="PV247" s="39"/>
      <c r="PW247" s="39"/>
      <c r="PX247" s="39"/>
      <c r="PY247" s="39"/>
      <c r="PZ247" s="39"/>
      <c r="QA247" s="39"/>
      <c r="QB247" s="39"/>
      <c r="QC247" s="39"/>
      <c r="QD247" s="39"/>
      <c r="QE247" s="39"/>
      <c r="QF247" s="39"/>
      <c r="QG247" s="39"/>
      <c r="QH247" s="39"/>
      <c r="QI247" s="39"/>
      <c r="QJ247" s="39"/>
      <c r="QK247" s="39"/>
      <c r="QL247" s="39"/>
      <c r="QM247" s="39"/>
      <c r="QN247" s="39"/>
      <c r="QO247" s="39"/>
      <c r="QP247" s="39"/>
      <c r="QQ247" s="39"/>
      <c r="QR247" s="39"/>
      <c r="QS247" s="39"/>
      <c r="QT247" s="39"/>
      <c r="QU247" s="39"/>
      <c r="QV247" s="39"/>
      <c r="QW247" s="39"/>
      <c r="QX247" s="39"/>
      <c r="QY247" s="39"/>
      <c r="QZ247" s="39"/>
      <c r="RA247" s="39"/>
      <c r="RB247" s="39"/>
      <c r="RC247" s="39"/>
      <c r="RD247" s="39"/>
      <c r="RE247" s="39"/>
      <c r="RF247" s="39"/>
      <c r="RG247" s="39"/>
      <c r="RH247" s="39"/>
      <c r="RI247" s="39"/>
      <c r="RJ247" s="39"/>
      <c r="RK247" s="39"/>
      <c r="RL247" s="39"/>
      <c r="RM247" s="39"/>
      <c r="RN247" s="39"/>
      <c r="RO247" s="39"/>
      <c r="RP247" s="39"/>
      <c r="RQ247" s="39"/>
      <c r="RR247" s="39"/>
      <c r="RS247" s="39"/>
      <c r="RT247" s="39"/>
      <c r="RU247" s="39"/>
      <c r="RV247" s="39"/>
      <c r="RW247" s="39"/>
      <c r="RX247" s="39"/>
      <c r="RY247" s="39"/>
      <c r="RZ247" s="39"/>
      <c r="SA247" s="39"/>
      <c r="SB247" s="39"/>
      <c r="SC247" s="39"/>
      <c r="SD247" s="39"/>
      <c r="SE247" s="39"/>
      <c r="SF247" s="39"/>
      <c r="SG247" s="39"/>
      <c r="SH247" s="39"/>
      <c r="SI247" s="39"/>
      <c r="SJ247" s="39"/>
      <c r="SK247" s="39"/>
      <c r="SL247" s="39"/>
      <c r="SM247" s="39"/>
      <c r="SN247" s="39"/>
      <c r="SO247" s="39"/>
      <c r="SP247" s="39"/>
      <c r="SQ247" s="39"/>
      <c r="SR247" s="39"/>
      <c r="SS247" s="39"/>
      <c r="ST247" s="39"/>
      <c r="SU247" s="39"/>
      <c r="SV247" s="39"/>
      <c r="SW247" s="39"/>
      <c r="SX247" s="39"/>
      <c r="SY247" s="39"/>
      <c r="SZ247" s="39"/>
      <c r="TA247" s="39"/>
      <c r="TB247" s="39"/>
      <c r="TC247" s="39"/>
      <c r="TD247" s="39"/>
      <c r="TE247" s="39"/>
      <c r="TF247" s="39"/>
      <c r="TG247" s="39"/>
      <c r="TH247" s="39"/>
      <c r="TI247" s="39"/>
    </row>
    <row r="248" spans="1:529" s="40" customFormat="1" ht="30" x14ac:dyDescent="0.25">
      <c r="A248" s="167"/>
      <c r="B248" s="75"/>
      <c r="C248" s="67"/>
      <c r="D248" s="33" t="s">
        <v>467</v>
      </c>
      <c r="E248" s="68">
        <f t="shared" ref="E248:P248" si="154">E61</f>
        <v>2739700</v>
      </c>
      <c r="F248" s="68">
        <f t="shared" si="154"/>
        <v>2739700</v>
      </c>
      <c r="G248" s="68">
        <f t="shared" si="154"/>
        <v>2249257</v>
      </c>
      <c r="H248" s="68">
        <f t="shared" si="154"/>
        <v>0</v>
      </c>
      <c r="I248" s="68">
        <f t="shared" si="154"/>
        <v>0</v>
      </c>
      <c r="J248" s="68">
        <f t="shared" si="154"/>
        <v>0</v>
      </c>
      <c r="K248" s="68">
        <f t="shared" si="154"/>
        <v>0</v>
      </c>
      <c r="L248" s="68">
        <f t="shared" si="154"/>
        <v>0</v>
      </c>
      <c r="M248" s="68">
        <f t="shared" si="154"/>
        <v>0</v>
      </c>
      <c r="N248" s="68">
        <f t="shared" si="154"/>
        <v>0</v>
      </c>
      <c r="O248" s="68">
        <f t="shared" si="154"/>
        <v>0</v>
      </c>
      <c r="P248" s="68">
        <f t="shared" si="154"/>
        <v>2739700</v>
      </c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39"/>
      <c r="GV248" s="39"/>
      <c r="GW248" s="39"/>
      <c r="GX248" s="39"/>
      <c r="GY248" s="39"/>
      <c r="GZ248" s="39"/>
      <c r="HA248" s="39"/>
      <c r="HB248" s="39"/>
      <c r="HC248" s="39"/>
      <c r="HD248" s="39"/>
      <c r="HE248" s="39"/>
      <c r="HF248" s="39"/>
      <c r="HG248" s="39"/>
      <c r="HH248" s="39"/>
      <c r="HI248" s="39"/>
      <c r="HJ248" s="39"/>
      <c r="HK248" s="39"/>
      <c r="HL248" s="39"/>
      <c r="HM248" s="39"/>
      <c r="HN248" s="39"/>
      <c r="HO248" s="39"/>
      <c r="HP248" s="39"/>
      <c r="HQ248" s="39"/>
      <c r="HR248" s="39"/>
      <c r="HS248" s="39"/>
      <c r="HT248" s="39"/>
      <c r="HU248" s="39"/>
      <c r="HV248" s="39"/>
      <c r="HW248" s="39"/>
      <c r="HX248" s="39"/>
      <c r="HY248" s="39"/>
      <c r="HZ248" s="39"/>
      <c r="IA248" s="39"/>
      <c r="IB248" s="39"/>
      <c r="IC248" s="39"/>
      <c r="ID248" s="39"/>
      <c r="IE248" s="39"/>
      <c r="IF248" s="39"/>
      <c r="IG248" s="39"/>
      <c r="IH248" s="39"/>
      <c r="II248" s="39"/>
      <c r="IJ248" s="39"/>
      <c r="IK248" s="39"/>
      <c r="IL248" s="39"/>
      <c r="IM248" s="39"/>
      <c r="IN248" s="39"/>
      <c r="IO248" s="39"/>
      <c r="IP248" s="39"/>
      <c r="IQ248" s="39"/>
      <c r="IR248" s="39"/>
      <c r="IS248" s="39"/>
      <c r="IT248" s="39"/>
      <c r="IU248" s="39"/>
      <c r="IV248" s="39"/>
      <c r="IW248" s="39"/>
      <c r="IX248" s="39"/>
      <c r="IY248" s="39"/>
      <c r="IZ248" s="39"/>
      <c r="JA248" s="39"/>
      <c r="JB248" s="39"/>
      <c r="JC248" s="39"/>
      <c r="JD248" s="39"/>
      <c r="JE248" s="39"/>
      <c r="JF248" s="39"/>
      <c r="JG248" s="39"/>
      <c r="JH248" s="39"/>
      <c r="JI248" s="39"/>
      <c r="JJ248" s="39"/>
      <c r="JK248" s="39"/>
      <c r="JL248" s="39"/>
      <c r="JM248" s="39"/>
      <c r="JN248" s="39"/>
      <c r="JO248" s="39"/>
      <c r="JP248" s="39"/>
      <c r="JQ248" s="39"/>
      <c r="JR248" s="39"/>
      <c r="JS248" s="39"/>
      <c r="JT248" s="39"/>
      <c r="JU248" s="39"/>
      <c r="JV248" s="39"/>
      <c r="JW248" s="39"/>
      <c r="JX248" s="39"/>
      <c r="JY248" s="39"/>
      <c r="JZ248" s="39"/>
      <c r="KA248" s="39"/>
      <c r="KB248" s="39"/>
      <c r="KC248" s="39"/>
      <c r="KD248" s="39"/>
      <c r="KE248" s="39"/>
      <c r="KF248" s="39"/>
      <c r="KG248" s="39"/>
      <c r="KH248" s="39"/>
      <c r="KI248" s="39"/>
      <c r="KJ248" s="39"/>
      <c r="KK248" s="39"/>
      <c r="KL248" s="39"/>
      <c r="KM248" s="39"/>
      <c r="KN248" s="39"/>
      <c r="KO248" s="39"/>
      <c r="KP248" s="39"/>
      <c r="KQ248" s="39"/>
      <c r="KR248" s="39"/>
      <c r="KS248" s="39"/>
      <c r="KT248" s="39"/>
      <c r="KU248" s="39"/>
      <c r="KV248" s="39"/>
      <c r="KW248" s="39"/>
      <c r="KX248" s="39"/>
      <c r="KY248" s="39"/>
      <c r="KZ248" s="39"/>
      <c r="LA248" s="39"/>
      <c r="LB248" s="39"/>
      <c r="LC248" s="39"/>
      <c r="LD248" s="39"/>
      <c r="LE248" s="39"/>
      <c r="LF248" s="39"/>
      <c r="LG248" s="39"/>
      <c r="LH248" s="39"/>
      <c r="LI248" s="39"/>
      <c r="LJ248" s="39"/>
      <c r="LK248" s="39"/>
      <c r="LL248" s="39"/>
      <c r="LM248" s="39"/>
      <c r="LN248" s="39"/>
      <c r="LO248" s="39"/>
      <c r="LP248" s="39"/>
      <c r="LQ248" s="39"/>
      <c r="LR248" s="39"/>
      <c r="LS248" s="39"/>
      <c r="LT248" s="39"/>
      <c r="LU248" s="39"/>
      <c r="LV248" s="39"/>
      <c r="LW248" s="39"/>
      <c r="LX248" s="39"/>
      <c r="LY248" s="39"/>
      <c r="LZ248" s="39"/>
      <c r="MA248" s="39"/>
      <c r="MB248" s="39"/>
      <c r="MC248" s="39"/>
      <c r="MD248" s="39"/>
      <c r="ME248" s="39"/>
      <c r="MF248" s="39"/>
      <c r="MG248" s="39"/>
      <c r="MH248" s="39"/>
      <c r="MI248" s="39"/>
      <c r="MJ248" s="39"/>
      <c r="MK248" s="39"/>
      <c r="ML248" s="39"/>
      <c r="MM248" s="39"/>
      <c r="MN248" s="39"/>
      <c r="MO248" s="39"/>
      <c r="MP248" s="39"/>
      <c r="MQ248" s="39"/>
      <c r="MR248" s="39"/>
      <c r="MS248" s="39"/>
      <c r="MT248" s="39"/>
      <c r="MU248" s="39"/>
      <c r="MV248" s="39"/>
      <c r="MW248" s="39"/>
      <c r="MX248" s="39"/>
      <c r="MY248" s="39"/>
      <c r="MZ248" s="39"/>
      <c r="NA248" s="39"/>
      <c r="NB248" s="39"/>
      <c r="NC248" s="39"/>
      <c r="ND248" s="39"/>
      <c r="NE248" s="39"/>
      <c r="NF248" s="39"/>
      <c r="NG248" s="39"/>
      <c r="NH248" s="39"/>
      <c r="NI248" s="39"/>
      <c r="NJ248" s="39"/>
      <c r="NK248" s="39"/>
      <c r="NL248" s="39"/>
      <c r="NM248" s="39"/>
      <c r="NN248" s="39"/>
      <c r="NO248" s="39"/>
      <c r="NP248" s="39"/>
      <c r="NQ248" s="39"/>
      <c r="NR248" s="39"/>
      <c r="NS248" s="39"/>
      <c r="NT248" s="39"/>
      <c r="NU248" s="39"/>
      <c r="NV248" s="39"/>
      <c r="NW248" s="39"/>
      <c r="NX248" s="39"/>
      <c r="NY248" s="39"/>
      <c r="NZ248" s="39"/>
      <c r="OA248" s="39"/>
      <c r="OB248" s="39"/>
      <c r="OC248" s="39"/>
      <c r="OD248" s="39"/>
      <c r="OE248" s="39"/>
      <c r="OF248" s="39"/>
      <c r="OG248" s="39"/>
      <c r="OH248" s="39"/>
      <c r="OI248" s="39"/>
      <c r="OJ248" s="39"/>
      <c r="OK248" s="39"/>
      <c r="OL248" s="39"/>
      <c r="OM248" s="39"/>
      <c r="ON248" s="39"/>
      <c r="OO248" s="39"/>
      <c r="OP248" s="39"/>
      <c r="OQ248" s="39"/>
      <c r="OR248" s="39"/>
      <c r="OS248" s="39"/>
      <c r="OT248" s="39"/>
      <c r="OU248" s="39"/>
      <c r="OV248" s="39"/>
      <c r="OW248" s="39"/>
      <c r="OX248" s="39"/>
      <c r="OY248" s="39"/>
      <c r="OZ248" s="39"/>
      <c r="PA248" s="39"/>
      <c r="PB248" s="39"/>
      <c r="PC248" s="39"/>
      <c r="PD248" s="39"/>
      <c r="PE248" s="39"/>
      <c r="PF248" s="39"/>
      <c r="PG248" s="39"/>
      <c r="PH248" s="39"/>
      <c r="PI248" s="39"/>
      <c r="PJ248" s="39"/>
      <c r="PK248" s="39"/>
      <c r="PL248" s="39"/>
      <c r="PM248" s="39"/>
      <c r="PN248" s="39"/>
      <c r="PO248" s="39"/>
      <c r="PP248" s="39"/>
      <c r="PQ248" s="39"/>
      <c r="PR248" s="39"/>
      <c r="PS248" s="39"/>
      <c r="PT248" s="39"/>
      <c r="PU248" s="39"/>
      <c r="PV248" s="39"/>
      <c r="PW248" s="39"/>
      <c r="PX248" s="39"/>
      <c r="PY248" s="39"/>
      <c r="PZ248" s="39"/>
      <c r="QA248" s="39"/>
      <c r="QB248" s="39"/>
      <c r="QC248" s="39"/>
      <c r="QD248" s="39"/>
      <c r="QE248" s="39"/>
      <c r="QF248" s="39"/>
      <c r="QG248" s="39"/>
      <c r="QH248" s="39"/>
      <c r="QI248" s="39"/>
      <c r="QJ248" s="39"/>
      <c r="QK248" s="39"/>
      <c r="QL248" s="39"/>
      <c r="QM248" s="39"/>
      <c r="QN248" s="39"/>
      <c r="QO248" s="39"/>
      <c r="QP248" s="39"/>
      <c r="QQ248" s="39"/>
      <c r="QR248" s="39"/>
      <c r="QS248" s="39"/>
      <c r="QT248" s="39"/>
      <c r="QU248" s="39"/>
      <c r="QV248" s="39"/>
      <c r="QW248" s="39"/>
      <c r="QX248" s="39"/>
      <c r="QY248" s="39"/>
      <c r="QZ248" s="39"/>
      <c r="RA248" s="39"/>
      <c r="RB248" s="39"/>
      <c r="RC248" s="39"/>
      <c r="RD248" s="39"/>
      <c r="RE248" s="39"/>
      <c r="RF248" s="39"/>
      <c r="RG248" s="39"/>
      <c r="RH248" s="39"/>
      <c r="RI248" s="39"/>
      <c r="RJ248" s="39"/>
      <c r="RK248" s="39"/>
      <c r="RL248" s="39"/>
      <c r="RM248" s="39"/>
      <c r="RN248" s="39"/>
      <c r="RO248" s="39"/>
      <c r="RP248" s="39"/>
      <c r="RQ248" s="39"/>
      <c r="RR248" s="39"/>
      <c r="RS248" s="39"/>
      <c r="RT248" s="39"/>
      <c r="RU248" s="39"/>
      <c r="RV248" s="39"/>
      <c r="RW248" s="39"/>
      <c r="RX248" s="39"/>
      <c r="RY248" s="39"/>
      <c r="RZ248" s="39"/>
      <c r="SA248" s="39"/>
      <c r="SB248" s="39"/>
      <c r="SC248" s="39"/>
      <c r="SD248" s="39"/>
      <c r="SE248" s="39"/>
      <c r="SF248" s="39"/>
      <c r="SG248" s="39"/>
      <c r="SH248" s="39"/>
      <c r="SI248" s="39"/>
      <c r="SJ248" s="39"/>
      <c r="SK248" s="39"/>
      <c r="SL248" s="39"/>
      <c r="SM248" s="39"/>
      <c r="SN248" s="39"/>
      <c r="SO248" s="39"/>
      <c r="SP248" s="39"/>
      <c r="SQ248" s="39"/>
      <c r="SR248" s="39"/>
      <c r="SS248" s="39"/>
      <c r="ST248" s="39"/>
      <c r="SU248" s="39"/>
      <c r="SV248" s="39"/>
      <c r="SW248" s="39"/>
      <c r="SX248" s="39"/>
      <c r="SY248" s="39"/>
      <c r="SZ248" s="39"/>
      <c r="TA248" s="39"/>
      <c r="TB248" s="39"/>
      <c r="TC248" s="39"/>
      <c r="TD248" s="39"/>
      <c r="TE248" s="39"/>
      <c r="TF248" s="39"/>
      <c r="TG248" s="39"/>
      <c r="TH248" s="39"/>
      <c r="TI248" s="39"/>
    </row>
    <row r="249" spans="1:529" s="40" customFormat="1" ht="30" x14ac:dyDescent="0.25">
      <c r="A249" s="167"/>
      <c r="B249" s="75"/>
      <c r="C249" s="67"/>
      <c r="D249" s="33" t="s">
        <v>468</v>
      </c>
      <c r="E249" s="68">
        <f t="shared" ref="E249:P249" si="155">E20+E62+E63+E64+E65+E102+E103+E104+E175+E129</f>
        <v>23307363.739999998</v>
      </c>
      <c r="F249" s="68">
        <f t="shared" si="155"/>
        <v>23307363.739999998</v>
      </c>
      <c r="G249" s="68">
        <f t="shared" si="155"/>
        <v>2774450</v>
      </c>
      <c r="H249" s="68">
        <f t="shared" si="155"/>
        <v>0</v>
      </c>
      <c r="I249" s="68">
        <f t="shared" si="155"/>
        <v>0</v>
      </c>
      <c r="J249" s="68">
        <f t="shared" si="155"/>
        <v>82108465</v>
      </c>
      <c r="K249" s="68">
        <f t="shared" si="155"/>
        <v>2108465</v>
      </c>
      <c r="L249" s="68">
        <f t="shared" si="155"/>
        <v>80000000</v>
      </c>
      <c r="M249" s="68">
        <f t="shared" si="155"/>
        <v>0</v>
      </c>
      <c r="N249" s="68">
        <f t="shared" si="155"/>
        <v>0</v>
      </c>
      <c r="O249" s="68">
        <f t="shared" si="155"/>
        <v>2108465</v>
      </c>
      <c r="P249" s="68">
        <f t="shared" si="155"/>
        <v>105415828.73999999</v>
      </c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/>
      <c r="HN249" s="39"/>
      <c r="HO249" s="39"/>
      <c r="HP249" s="39"/>
      <c r="HQ249" s="39"/>
      <c r="HR249" s="39"/>
      <c r="HS249" s="39"/>
      <c r="HT249" s="39"/>
      <c r="HU249" s="39"/>
      <c r="HV249" s="39"/>
      <c r="HW249" s="39"/>
      <c r="HX249" s="39"/>
      <c r="HY249" s="39"/>
      <c r="HZ249" s="39"/>
      <c r="IA249" s="39"/>
      <c r="IB249" s="39"/>
      <c r="IC249" s="39"/>
      <c r="ID249" s="39"/>
      <c r="IE249" s="39"/>
      <c r="IF249" s="39"/>
      <c r="IG249" s="39"/>
      <c r="IH249" s="39"/>
      <c r="II249" s="39"/>
      <c r="IJ249" s="39"/>
      <c r="IK249" s="39"/>
      <c r="IL249" s="39"/>
      <c r="IM249" s="39"/>
      <c r="IN249" s="39"/>
      <c r="IO249" s="39"/>
      <c r="IP249" s="39"/>
      <c r="IQ249" s="39"/>
      <c r="IR249" s="39"/>
      <c r="IS249" s="39"/>
      <c r="IT249" s="39"/>
      <c r="IU249" s="39"/>
      <c r="IV249" s="39"/>
      <c r="IW249" s="39"/>
      <c r="IX249" s="39"/>
      <c r="IY249" s="39"/>
      <c r="IZ249" s="39"/>
      <c r="JA249" s="39"/>
      <c r="JB249" s="39"/>
      <c r="JC249" s="39"/>
      <c r="JD249" s="39"/>
      <c r="JE249" s="39"/>
      <c r="JF249" s="39"/>
      <c r="JG249" s="39"/>
      <c r="JH249" s="39"/>
      <c r="JI249" s="39"/>
      <c r="JJ249" s="39"/>
      <c r="JK249" s="39"/>
      <c r="JL249" s="39"/>
      <c r="JM249" s="39"/>
      <c r="JN249" s="39"/>
      <c r="JO249" s="39"/>
      <c r="JP249" s="39"/>
      <c r="JQ249" s="39"/>
      <c r="JR249" s="39"/>
      <c r="JS249" s="39"/>
      <c r="JT249" s="39"/>
      <c r="JU249" s="39"/>
      <c r="JV249" s="39"/>
      <c r="JW249" s="39"/>
      <c r="JX249" s="39"/>
      <c r="JY249" s="39"/>
      <c r="JZ249" s="39"/>
      <c r="KA249" s="39"/>
      <c r="KB249" s="39"/>
      <c r="KC249" s="39"/>
      <c r="KD249" s="39"/>
      <c r="KE249" s="39"/>
      <c r="KF249" s="39"/>
      <c r="KG249" s="39"/>
      <c r="KH249" s="39"/>
      <c r="KI249" s="39"/>
      <c r="KJ249" s="39"/>
      <c r="KK249" s="39"/>
      <c r="KL249" s="39"/>
      <c r="KM249" s="39"/>
      <c r="KN249" s="39"/>
      <c r="KO249" s="39"/>
      <c r="KP249" s="39"/>
      <c r="KQ249" s="39"/>
      <c r="KR249" s="39"/>
      <c r="KS249" s="39"/>
      <c r="KT249" s="39"/>
      <c r="KU249" s="39"/>
      <c r="KV249" s="39"/>
      <c r="KW249" s="39"/>
      <c r="KX249" s="39"/>
      <c r="KY249" s="39"/>
      <c r="KZ249" s="39"/>
      <c r="LA249" s="39"/>
      <c r="LB249" s="39"/>
      <c r="LC249" s="39"/>
      <c r="LD249" s="39"/>
      <c r="LE249" s="39"/>
      <c r="LF249" s="39"/>
      <c r="LG249" s="39"/>
      <c r="LH249" s="39"/>
      <c r="LI249" s="39"/>
      <c r="LJ249" s="39"/>
      <c r="LK249" s="39"/>
      <c r="LL249" s="39"/>
      <c r="LM249" s="39"/>
      <c r="LN249" s="39"/>
      <c r="LO249" s="39"/>
      <c r="LP249" s="39"/>
      <c r="LQ249" s="39"/>
      <c r="LR249" s="39"/>
      <c r="LS249" s="39"/>
      <c r="LT249" s="39"/>
      <c r="LU249" s="39"/>
      <c r="LV249" s="39"/>
      <c r="LW249" s="39"/>
      <c r="LX249" s="39"/>
      <c r="LY249" s="39"/>
      <c r="LZ249" s="39"/>
      <c r="MA249" s="39"/>
      <c r="MB249" s="39"/>
      <c r="MC249" s="39"/>
      <c r="MD249" s="39"/>
      <c r="ME249" s="39"/>
      <c r="MF249" s="39"/>
      <c r="MG249" s="39"/>
      <c r="MH249" s="39"/>
      <c r="MI249" s="39"/>
      <c r="MJ249" s="39"/>
      <c r="MK249" s="39"/>
      <c r="ML249" s="39"/>
      <c r="MM249" s="39"/>
      <c r="MN249" s="39"/>
      <c r="MO249" s="39"/>
      <c r="MP249" s="39"/>
      <c r="MQ249" s="39"/>
      <c r="MR249" s="39"/>
      <c r="MS249" s="39"/>
      <c r="MT249" s="39"/>
      <c r="MU249" s="39"/>
      <c r="MV249" s="39"/>
      <c r="MW249" s="39"/>
      <c r="MX249" s="39"/>
      <c r="MY249" s="39"/>
      <c r="MZ249" s="39"/>
      <c r="NA249" s="39"/>
      <c r="NB249" s="39"/>
      <c r="NC249" s="39"/>
      <c r="ND249" s="39"/>
      <c r="NE249" s="39"/>
      <c r="NF249" s="39"/>
      <c r="NG249" s="39"/>
      <c r="NH249" s="39"/>
      <c r="NI249" s="39"/>
      <c r="NJ249" s="39"/>
      <c r="NK249" s="39"/>
      <c r="NL249" s="39"/>
      <c r="NM249" s="39"/>
      <c r="NN249" s="39"/>
      <c r="NO249" s="39"/>
      <c r="NP249" s="39"/>
      <c r="NQ249" s="39"/>
      <c r="NR249" s="39"/>
      <c r="NS249" s="39"/>
      <c r="NT249" s="39"/>
      <c r="NU249" s="39"/>
      <c r="NV249" s="39"/>
      <c r="NW249" s="39"/>
      <c r="NX249" s="39"/>
      <c r="NY249" s="39"/>
      <c r="NZ249" s="39"/>
      <c r="OA249" s="39"/>
      <c r="OB249" s="39"/>
      <c r="OC249" s="39"/>
      <c r="OD249" s="39"/>
      <c r="OE249" s="39"/>
      <c r="OF249" s="39"/>
      <c r="OG249" s="39"/>
      <c r="OH249" s="39"/>
      <c r="OI249" s="39"/>
      <c r="OJ249" s="39"/>
      <c r="OK249" s="39"/>
      <c r="OL249" s="39"/>
      <c r="OM249" s="39"/>
      <c r="ON249" s="39"/>
      <c r="OO249" s="39"/>
      <c r="OP249" s="39"/>
      <c r="OQ249" s="39"/>
      <c r="OR249" s="39"/>
      <c r="OS249" s="39"/>
      <c r="OT249" s="39"/>
      <c r="OU249" s="39"/>
      <c r="OV249" s="39"/>
      <c r="OW249" s="39"/>
      <c r="OX249" s="39"/>
      <c r="OY249" s="39"/>
      <c r="OZ249" s="39"/>
      <c r="PA249" s="39"/>
      <c r="PB249" s="39"/>
      <c r="PC249" s="39"/>
      <c r="PD249" s="39"/>
      <c r="PE249" s="39"/>
      <c r="PF249" s="39"/>
      <c r="PG249" s="39"/>
      <c r="PH249" s="39"/>
      <c r="PI249" s="39"/>
      <c r="PJ249" s="39"/>
      <c r="PK249" s="39"/>
      <c r="PL249" s="39"/>
      <c r="PM249" s="39"/>
      <c r="PN249" s="39"/>
      <c r="PO249" s="39"/>
      <c r="PP249" s="39"/>
      <c r="PQ249" s="39"/>
      <c r="PR249" s="39"/>
      <c r="PS249" s="39"/>
      <c r="PT249" s="39"/>
      <c r="PU249" s="39"/>
      <c r="PV249" s="39"/>
      <c r="PW249" s="39"/>
      <c r="PX249" s="39"/>
      <c r="PY249" s="39"/>
      <c r="PZ249" s="39"/>
      <c r="QA249" s="39"/>
      <c r="QB249" s="39"/>
      <c r="QC249" s="39"/>
      <c r="QD249" s="39"/>
      <c r="QE249" s="39"/>
      <c r="QF249" s="39"/>
      <c r="QG249" s="39"/>
      <c r="QH249" s="39"/>
      <c r="QI249" s="39"/>
      <c r="QJ249" s="39"/>
      <c r="QK249" s="39"/>
      <c r="QL249" s="39"/>
      <c r="QM249" s="39"/>
      <c r="QN249" s="39"/>
      <c r="QO249" s="39"/>
      <c r="QP249" s="39"/>
      <c r="QQ249" s="39"/>
      <c r="QR249" s="39"/>
      <c r="QS249" s="39"/>
      <c r="QT249" s="39"/>
      <c r="QU249" s="39"/>
      <c r="QV249" s="39"/>
      <c r="QW249" s="39"/>
      <c r="QX249" s="39"/>
      <c r="QY249" s="39"/>
      <c r="QZ249" s="39"/>
      <c r="RA249" s="39"/>
      <c r="RB249" s="39"/>
      <c r="RC249" s="39"/>
      <c r="RD249" s="39"/>
      <c r="RE249" s="39"/>
      <c r="RF249" s="39"/>
      <c r="RG249" s="39"/>
      <c r="RH249" s="39"/>
      <c r="RI249" s="39"/>
      <c r="RJ249" s="39"/>
      <c r="RK249" s="39"/>
      <c r="RL249" s="39"/>
      <c r="RM249" s="39"/>
      <c r="RN249" s="39"/>
      <c r="RO249" s="39"/>
      <c r="RP249" s="39"/>
      <c r="RQ249" s="39"/>
      <c r="RR249" s="39"/>
      <c r="RS249" s="39"/>
      <c r="RT249" s="39"/>
      <c r="RU249" s="39"/>
      <c r="RV249" s="39"/>
      <c r="RW249" s="39"/>
      <c r="RX249" s="39"/>
      <c r="RY249" s="39"/>
      <c r="RZ249" s="39"/>
      <c r="SA249" s="39"/>
      <c r="SB249" s="39"/>
      <c r="SC249" s="39"/>
      <c r="SD249" s="39"/>
      <c r="SE249" s="39"/>
      <c r="SF249" s="39"/>
      <c r="SG249" s="39"/>
      <c r="SH249" s="39"/>
      <c r="SI249" s="39"/>
      <c r="SJ249" s="39"/>
      <c r="SK249" s="39"/>
      <c r="SL249" s="39"/>
      <c r="SM249" s="39"/>
      <c r="SN249" s="39"/>
      <c r="SO249" s="39"/>
      <c r="SP249" s="39"/>
      <c r="SQ249" s="39"/>
      <c r="SR249" s="39"/>
      <c r="SS249" s="39"/>
      <c r="ST249" s="39"/>
      <c r="SU249" s="39"/>
      <c r="SV249" s="39"/>
      <c r="SW249" s="39"/>
      <c r="SX249" s="39"/>
      <c r="SY249" s="39"/>
      <c r="SZ249" s="39"/>
      <c r="TA249" s="39"/>
      <c r="TB249" s="39"/>
      <c r="TC249" s="39"/>
      <c r="TD249" s="39"/>
      <c r="TE249" s="39"/>
      <c r="TF249" s="39"/>
      <c r="TG249" s="39"/>
      <c r="TH249" s="39"/>
      <c r="TI249" s="39"/>
    </row>
    <row r="250" spans="1:529" s="40" customFormat="1" ht="18.75" customHeight="1" x14ac:dyDescent="0.25">
      <c r="A250" s="76"/>
      <c r="B250" s="75"/>
      <c r="C250" s="75"/>
      <c r="D250" s="163" t="s">
        <v>509</v>
      </c>
      <c r="E250" s="68">
        <f>E105+E206</f>
        <v>0</v>
      </c>
      <c r="F250" s="68">
        <f t="shared" ref="F250:P250" si="156">F105+F206</f>
        <v>0</v>
      </c>
      <c r="G250" s="68">
        <f t="shared" si="156"/>
        <v>0</v>
      </c>
      <c r="H250" s="68">
        <f t="shared" si="156"/>
        <v>0</v>
      </c>
      <c r="I250" s="68">
        <f t="shared" si="156"/>
        <v>0</v>
      </c>
      <c r="J250" s="68">
        <f t="shared" si="156"/>
        <v>58776907</v>
      </c>
      <c r="K250" s="68">
        <f t="shared" si="156"/>
        <v>58776907</v>
      </c>
      <c r="L250" s="68">
        <f t="shared" si="156"/>
        <v>0</v>
      </c>
      <c r="M250" s="68">
        <f t="shared" si="156"/>
        <v>0</v>
      </c>
      <c r="N250" s="68">
        <f t="shared" si="156"/>
        <v>0</v>
      </c>
      <c r="O250" s="68">
        <f t="shared" si="156"/>
        <v>58776907</v>
      </c>
      <c r="P250" s="68">
        <f t="shared" si="156"/>
        <v>58776907</v>
      </c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39"/>
      <c r="GV250" s="39"/>
      <c r="GW250" s="39"/>
      <c r="GX250" s="39"/>
      <c r="GY250" s="39"/>
      <c r="GZ250" s="39"/>
      <c r="HA250" s="39"/>
      <c r="HB250" s="39"/>
      <c r="HC250" s="39"/>
      <c r="HD250" s="39"/>
      <c r="HE250" s="39"/>
      <c r="HF250" s="39"/>
      <c r="HG250" s="39"/>
      <c r="HH250" s="39"/>
      <c r="HI250" s="39"/>
      <c r="HJ250" s="39"/>
      <c r="HK250" s="39"/>
      <c r="HL250" s="39"/>
      <c r="HM250" s="39"/>
      <c r="HN250" s="39"/>
      <c r="HO250" s="39"/>
      <c r="HP250" s="39"/>
      <c r="HQ250" s="39"/>
      <c r="HR250" s="39"/>
      <c r="HS250" s="39"/>
      <c r="HT250" s="39"/>
      <c r="HU250" s="39"/>
      <c r="HV250" s="39"/>
      <c r="HW250" s="39"/>
      <c r="HX250" s="39"/>
      <c r="HY250" s="39"/>
      <c r="HZ250" s="39"/>
      <c r="IA250" s="39"/>
      <c r="IB250" s="39"/>
      <c r="IC250" s="39"/>
      <c r="ID250" s="39"/>
      <c r="IE250" s="39"/>
      <c r="IF250" s="39"/>
      <c r="IG250" s="39"/>
      <c r="IH250" s="39"/>
      <c r="II250" s="39"/>
      <c r="IJ250" s="39"/>
      <c r="IK250" s="39"/>
      <c r="IL250" s="39"/>
      <c r="IM250" s="39"/>
      <c r="IN250" s="39"/>
      <c r="IO250" s="39"/>
      <c r="IP250" s="39"/>
      <c r="IQ250" s="39"/>
      <c r="IR250" s="39"/>
      <c r="IS250" s="39"/>
      <c r="IT250" s="39"/>
      <c r="IU250" s="39"/>
      <c r="IV250" s="39"/>
      <c r="IW250" s="39"/>
      <c r="IX250" s="39"/>
      <c r="IY250" s="39"/>
      <c r="IZ250" s="39"/>
      <c r="JA250" s="39"/>
      <c r="JB250" s="39"/>
      <c r="JC250" s="39"/>
      <c r="JD250" s="39"/>
      <c r="JE250" s="39"/>
      <c r="JF250" s="39"/>
      <c r="JG250" s="39"/>
      <c r="JH250" s="39"/>
      <c r="JI250" s="39"/>
      <c r="JJ250" s="39"/>
      <c r="JK250" s="39"/>
      <c r="JL250" s="39"/>
      <c r="JM250" s="39"/>
      <c r="JN250" s="39"/>
      <c r="JO250" s="39"/>
      <c r="JP250" s="39"/>
      <c r="JQ250" s="39"/>
      <c r="JR250" s="39"/>
      <c r="JS250" s="39"/>
      <c r="JT250" s="39"/>
      <c r="JU250" s="39"/>
      <c r="JV250" s="39"/>
      <c r="JW250" s="39"/>
      <c r="JX250" s="39"/>
      <c r="JY250" s="39"/>
      <c r="JZ250" s="39"/>
      <c r="KA250" s="39"/>
      <c r="KB250" s="39"/>
      <c r="KC250" s="39"/>
      <c r="KD250" s="39"/>
      <c r="KE250" s="39"/>
      <c r="KF250" s="39"/>
      <c r="KG250" s="39"/>
      <c r="KH250" s="39"/>
      <c r="KI250" s="39"/>
      <c r="KJ250" s="39"/>
      <c r="KK250" s="39"/>
      <c r="KL250" s="39"/>
      <c r="KM250" s="39"/>
      <c r="KN250" s="39"/>
      <c r="KO250" s="39"/>
      <c r="KP250" s="39"/>
      <c r="KQ250" s="39"/>
      <c r="KR250" s="39"/>
      <c r="KS250" s="39"/>
      <c r="KT250" s="39"/>
      <c r="KU250" s="39"/>
      <c r="KV250" s="39"/>
      <c r="KW250" s="39"/>
      <c r="KX250" s="39"/>
      <c r="KY250" s="39"/>
      <c r="KZ250" s="39"/>
      <c r="LA250" s="39"/>
      <c r="LB250" s="39"/>
      <c r="LC250" s="39"/>
      <c r="LD250" s="39"/>
      <c r="LE250" s="39"/>
      <c r="LF250" s="39"/>
      <c r="LG250" s="39"/>
      <c r="LH250" s="39"/>
      <c r="LI250" s="39"/>
      <c r="LJ250" s="39"/>
      <c r="LK250" s="39"/>
      <c r="LL250" s="39"/>
      <c r="LM250" s="39"/>
      <c r="LN250" s="39"/>
      <c r="LO250" s="39"/>
      <c r="LP250" s="39"/>
      <c r="LQ250" s="39"/>
      <c r="LR250" s="39"/>
      <c r="LS250" s="39"/>
      <c r="LT250" s="39"/>
      <c r="LU250" s="39"/>
      <c r="LV250" s="39"/>
      <c r="LW250" s="39"/>
      <c r="LX250" s="39"/>
      <c r="LY250" s="39"/>
      <c r="LZ250" s="39"/>
      <c r="MA250" s="39"/>
      <c r="MB250" s="39"/>
      <c r="MC250" s="39"/>
      <c r="MD250" s="39"/>
      <c r="ME250" s="39"/>
      <c r="MF250" s="39"/>
      <c r="MG250" s="39"/>
      <c r="MH250" s="39"/>
      <c r="MI250" s="39"/>
      <c r="MJ250" s="39"/>
      <c r="MK250" s="39"/>
      <c r="ML250" s="39"/>
      <c r="MM250" s="39"/>
      <c r="MN250" s="39"/>
      <c r="MO250" s="39"/>
      <c r="MP250" s="39"/>
      <c r="MQ250" s="39"/>
      <c r="MR250" s="39"/>
      <c r="MS250" s="39"/>
      <c r="MT250" s="39"/>
      <c r="MU250" s="39"/>
      <c r="MV250" s="39"/>
      <c r="MW250" s="39"/>
      <c r="MX250" s="39"/>
      <c r="MY250" s="39"/>
      <c r="MZ250" s="39"/>
      <c r="NA250" s="39"/>
      <c r="NB250" s="39"/>
      <c r="NC250" s="39"/>
      <c r="ND250" s="39"/>
      <c r="NE250" s="39"/>
      <c r="NF250" s="39"/>
      <c r="NG250" s="39"/>
      <c r="NH250" s="39"/>
      <c r="NI250" s="39"/>
      <c r="NJ250" s="39"/>
      <c r="NK250" s="39"/>
      <c r="NL250" s="39"/>
      <c r="NM250" s="39"/>
      <c r="NN250" s="39"/>
      <c r="NO250" s="39"/>
      <c r="NP250" s="39"/>
      <c r="NQ250" s="39"/>
      <c r="NR250" s="39"/>
      <c r="NS250" s="39"/>
      <c r="NT250" s="39"/>
      <c r="NU250" s="39"/>
      <c r="NV250" s="39"/>
      <c r="NW250" s="39"/>
      <c r="NX250" s="39"/>
      <c r="NY250" s="39"/>
      <c r="NZ250" s="39"/>
      <c r="OA250" s="39"/>
      <c r="OB250" s="39"/>
      <c r="OC250" s="39"/>
      <c r="OD250" s="39"/>
      <c r="OE250" s="39"/>
      <c r="OF250" s="39"/>
      <c r="OG250" s="39"/>
      <c r="OH250" s="39"/>
      <c r="OI250" s="39"/>
      <c r="OJ250" s="39"/>
      <c r="OK250" s="39"/>
      <c r="OL250" s="39"/>
      <c r="OM250" s="39"/>
      <c r="ON250" s="39"/>
      <c r="OO250" s="39"/>
      <c r="OP250" s="39"/>
      <c r="OQ250" s="39"/>
      <c r="OR250" s="39"/>
      <c r="OS250" s="39"/>
      <c r="OT250" s="39"/>
      <c r="OU250" s="39"/>
      <c r="OV250" s="39"/>
      <c r="OW250" s="39"/>
      <c r="OX250" s="39"/>
      <c r="OY250" s="39"/>
      <c r="OZ250" s="39"/>
      <c r="PA250" s="39"/>
      <c r="PB250" s="39"/>
      <c r="PC250" s="39"/>
      <c r="PD250" s="39"/>
      <c r="PE250" s="39"/>
      <c r="PF250" s="39"/>
      <c r="PG250" s="39"/>
      <c r="PH250" s="39"/>
      <c r="PI250" s="39"/>
      <c r="PJ250" s="39"/>
      <c r="PK250" s="39"/>
      <c r="PL250" s="39"/>
      <c r="PM250" s="39"/>
      <c r="PN250" s="39"/>
      <c r="PO250" s="39"/>
      <c r="PP250" s="39"/>
      <c r="PQ250" s="39"/>
      <c r="PR250" s="39"/>
      <c r="PS250" s="39"/>
      <c r="PT250" s="39"/>
      <c r="PU250" s="39"/>
      <c r="PV250" s="39"/>
      <c r="PW250" s="39"/>
      <c r="PX250" s="39"/>
      <c r="PY250" s="39"/>
      <c r="PZ250" s="39"/>
      <c r="QA250" s="39"/>
      <c r="QB250" s="39"/>
      <c r="QC250" s="39"/>
      <c r="QD250" s="39"/>
      <c r="QE250" s="39"/>
      <c r="QF250" s="39"/>
      <c r="QG250" s="39"/>
      <c r="QH250" s="39"/>
      <c r="QI250" s="39"/>
      <c r="QJ250" s="39"/>
      <c r="QK250" s="39"/>
      <c r="QL250" s="39"/>
      <c r="QM250" s="39"/>
      <c r="QN250" s="39"/>
      <c r="QO250" s="39"/>
      <c r="QP250" s="39"/>
      <c r="QQ250" s="39"/>
      <c r="QR250" s="39"/>
      <c r="QS250" s="39"/>
      <c r="QT250" s="39"/>
      <c r="QU250" s="39"/>
      <c r="QV250" s="39"/>
      <c r="QW250" s="39"/>
      <c r="QX250" s="39"/>
      <c r="QY250" s="39"/>
      <c r="QZ250" s="39"/>
      <c r="RA250" s="39"/>
      <c r="RB250" s="39"/>
      <c r="RC250" s="39"/>
      <c r="RD250" s="39"/>
      <c r="RE250" s="39"/>
      <c r="RF250" s="39"/>
      <c r="RG250" s="39"/>
      <c r="RH250" s="39"/>
      <c r="RI250" s="39"/>
      <c r="RJ250" s="39"/>
      <c r="RK250" s="39"/>
      <c r="RL250" s="39"/>
      <c r="RM250" s="39"/>
      <c r="RN250" s="39"/>
      <c r="RO250" s="39"/>
      <c r="RP250" s="39"/>
      <c r="RQ250" s="39"/>
      <c r="RR250" s="39"/>
      <c r="RS250" s="39"/>
      <c r="RT250" s="39"/>
      <c r="RU250" s="39"/>
      <c r="RV250" s="39"/>
      <c r="RW250" s="39"/>
      <c r="RX250" s="39"/>
      <c r="RY250" s="39"/>
      <c r="RZ250" s="39"/>
      <c r="SA250" s="39"/>
      <c r="SB250" s="39"/>
      <c r="SC250" s="39"/>
      <c r="SD250" s="39"/>
      <c r="SE250" s="39"/>
      <c r="SF250" s="39"/>
      <c r="SG250" s="39"/>
      <c r="SH250" s="39"/>
      <c r="SI250" s="39"/>
      <c r="SJ250" s="39"/>
      <c r="SK250" s="39"/>
      <c r="SL250" s="39"/>
      <c r="SM250" s="39"/>
      <c r="SN250" s="39"/>
      <c r="SO250" s="39"/>
      <c r="SP250" s="39"/>
      <c r="SQ250" s="39"/>
      <c r="SR250" s="39"/>
      <c r="SS250" s="39"/>
      <c r="ST250" s="39"/>
      <c r="SU250" s="39"/>
      <c r="SV250" s="39"/>
      <c r="SW250" s="39"/>
      <c r="SX250" s="39"/>
      <c r="SY250" s="39"/>
      <c r="SZ250" s="39"/>
      <c r="TA250" s="39"/>
      <c r="TB250" s="39"/>
      <c r="TC250" s="39"/>
      <c r="TD250" s="39"/>
      <c r="TE250" s="39"/>
      <c r="TF250" s="39"/>
      <c r="TG250" s="39"/>
      <c r="TH250" s="39"/>
      <c r="TI250" s="39"/>
    </row>
    <row r="251" spans="1:529" s="31" customFormat="1" ht="14.25" x14ac:dyDescent="0.2">
      <c r="A251" s="137"/>
      <c r="B251" s="138"/>
      <c r="C251" s="139"/>
      <c r="D251" s="140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ET251" s="38"/>
      <c r="EU251" s="38"/>
      <c r="EV251" s="38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8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38"/>
      <c r="GA251" s="38"/>
      <c r="GB251" s="38"/>
      <c r="GC251" s="38"/>
      <c r="GD251" s="38"/>
      <c r="GE251" s="38"/>
      <c r="GF251" s="38"/>
      <c r="GG251" s="38"/>
      <c r="GH251" s="38"/>
      <c r="GI251" s="38"/>
      <c r="GJ251" s="38"/>
      <c r="GK251" s="38"/>
      <c r="GL251" s="38"/>
      <c r="GM251" s="38"/>
      <c r="GN251" s="38"/>
      <c r="GO251" s="38"/>
      <c r="GP251" s="38"/>
      <c r="GQ251" s="38"/>
      <c r="GR251" s="38"/>
      <c r="GS251" s="38"/>
      <c r="GT251" s="38"/>
      <c r="GU251" s="38"/>
      <c r="GV251" s="38"/>
      <c r="GW251" s="38"/>
      <c r="GX251" s="38"/>
      <c r="GY251" s="38"/>
      <c r="GZ251" s="38"/>
      <c r="HA251" s="38"/>
      <c r="HB251" s="38"/>
      <c r="HC251" s="38"/>
      <c r="HD251" s="38"/>
      <c r="HE251" s="38"/>
      <c r="HF251" s="38"/>
      <c r="HG251" s="38"/>
      <c r="HH251" s="38"/>
      <c r="HI251" s="38"/>
      <c r="HJ251" s="38"/>
      <c r="HK251" s="38"/>
      <c r="HL251" s="38"/>
      <c r="HM251" s="38"/>
      <c r="HN251" s="38"/>
      <c r="HO251" s="38"/>
      <c r="HP251" s="38"/>
      <c r="HQ251" s="38"/>
      <c r="HR251" s="38"/>
      <c r="HS251" s="38"/>
      <c r="HT251" s="38"/>
      <c r="HU251" s="38"/>
      <c r="HV251" s="38"/>
      <c r="HW251" s="38"/>
      <c r="HX251" s="38"/>
      <c r="HY251" s="38"/>
      <c r="HZ251" s="38"/>
      <c r="IA251" s="38"/>
      <c r="IB251" s="38"/>
      <c r="IC251" s="38"/>
      <c r="ID251" s="38"/>
      <c r="IE251" s="38"/>
      <c r="IF251" s="38"/>
      <c r="IG251" s="38"/>
      <c r="IH251" s="38"/>
      <c r="II251" s="38"/>
      <c r="IJ251" s="38"/>
      <c r="IK251" s="38"/>
      <c r="IL251" s="38"/>
      <c r="IM251" s="38"/>
      <c r="IN251" s="38"/>
      <c r="IO251" s="38"/>
      <c r="IP251" s="38"/>
      <c r="IQ251" s="38"/>
      <c r="IR251" s="38"/>
      <c r="IS251" s="38"/>
      <c r="IT251" s="38"/>
      <c r="IU251" s="38"/>
      <c r="IV251" s="38"/>
      <c r="IW251" s="38"/>
      <c r="IX251" s="38"/>
      <c r="IY251" s="38"/>
      <c r="IZ251" s="38"/>
      <c r="JA251" s="38"/>
      <c r="JB251" s="38"/>
      <c r="JC251" s="38"/>
      <c r="JD251" s="38"/>
      <c r="JE251" s="38"/>
      <c r="JF251" s="38"/>
      <c r="JG251" s="38"/>
      <c r="JH251" s="38"/>
      <c r="JI251" s="38"/>
      <c r="JJ251" s="38"/>
      <c r="JK251" s="38"/>
      <c r="JL251" s="38"/>
      <c r="JM251" s="38"/>
      <c r="JN251" s="38"/>
      <c r="JO251" s="38"/>
      <c r="JP251" s="38"/>
      <c r="JQ251" s="38"/>
      <c r="JR251" s="38"/>
      <c r="JS251" s="38"/>
      <c r="JT251" s="38"/>
      <c r="JU251" s="38"/>
      <c r="JV251" s="38"/>
      <c r="JW251" s="38"/>
      <c r="JX251" s="38"/>
      <c r="JY251" s="38"/>
      <c r="JZ251" s="38"/>
      <c r="KA251" s="38"/>
      <c r="KB251" s="38"/>
      <c r="KC251" s="38"/>
      <c r="KD251" s="38"/>
      <c r="KE251" s="38"/>
      <c r="KF251" s="38"/>
      <c r="KG251" s="38"/>
      <c r="KH251" s="38"/>
      <c r="KI251" s="38"/>
      <c r="KJ251" s="38"/>
      <c r="KK251" s="38"/>
      <c r="KL251" s="38"/>
      <c r="KM251" s="38"/>
      <c r="KN251" s="38"/>
      <c r="KO251" s="38"/>
      <c r="KP251" s="38"/>
      <c r="KQ251" s="38"/>
      <c r="KR251" s="38"/>
      <c r="KS251" s="38"/>
      <c r="KT251" s="38"/>
      <c r="KU251" s="38"/>
      <c r="KV251" s="38"/>
      <c r="KW251" s="38"/>
      <c r="KX251" s="38"/>
      <c r="KY251" s="38"/>
      <c r="KZ251" s="38"/>
      <c r="LA251" s="38"/>
      <c r="LB251" s="38"/>
      <c r="LC251" s="38"/>
      <c r="LD251" s="38"/>
      <c r="LE251" s="38"/>
      <c r="LF251" s="38"/>
      <c r="LG251" s="38"/>
      <c r="LH251" s="38"/>
      <c r="LI251" s="38"/>
      <c r="LJ251" s="38"/>
      <c r="LK251" s="38"/>
      <c r="LL251" s="38"/>
      <c r="LM251" s="38"/>
      <c r="LN251" s="38"/>
      <c r="LO251" s="38"/>
      <c r="LP251" s="38"/>
      <c r="LQ251" s="38"/>
      <c r="LR251" s="38"/>
      <c r="LS251" s="38"/>
      <c r="LT251" s="38"/>
      <c r="LU251" s="38"/>
      <c r="LV251" s="38"/>
      <c r="LW251" s="38"/>
      <c r="LX251" s="38"/>
      <c r="LY251" s="38"/>
      <c r="LZ251" s="38"/>
      <c r="MA251" s="38"/>
      <c r="MB251" s="38"/>
      <c r="MC251" s="38"/>
      <c r="MD251" s="38"/>
      <c r="ME251" s="38"/>
      <c r="MF251" s="38"/>
      <c r="MG251" s="38"/>
      <c r="MH251" s="38"/>
      <c r="MI251" s="38"/>
      <c r="MJ251" s="38"/>
      <c r="MK251" s="38"/>
      <c r="ML251" s="38"/>
      <c r="MM251" s="38"/>
      <c r="MN251" s="38"/>
      <c r="MO251" s="38"/>
      <c r="MP251" s="38"/>
      <c r="MQ251" s="38"/>
      <c r="MR251" s="38"/>
      <c r="MS251" s="38"/>
      <c r="MT251" s="38"/>
      <c r="MU251" s="38"/>
      <c r="MV251" s="38"/>
      <c r="MW251" s="38"/>
      <c r="MX251" s="38"/>
      <c r="MY251" s="38"/>
      <c r="MZ251" s="38"/>
      <c r="NA251" s="38"/>
      <c r="NB251" s="38"/>
      <c r="NC251" s="38"/>
      <c r="ND251" s="38"/>
      <c r="NE251" s="38"/>
      <c r="NF251" s="38"/>
      <c r="NG251" s="38"/>
      <c r="NH251" s="38"/>
      <c r="NI251" s="38"/>
      <c r="NJ251" s="38"/>
      <c r="NK251" s="38"/>
      <c r="NL251" s="38"/>
      <c r="NM251" s="38"/>
      <c r="NN251" s="38"/>
      <c r="NO251" s="38"/>
      <c r="NP251" s="38"/>
      <c r="NQ251" s="38"/>
      <c r="NR251" s="38"/>
      <c r="NS251" s="38"/>
      <c r="NT251" s="38"/>
      <c r="NU251" s="38"/>
      <c r="NV251" s="38"/>
      <c r="NW251" s="38"/>
      <c r="NX251" s="38"/>
      <c r="NY251" s="38"/>
      <c r="NZ251" s="38"/>
      <c r="OA251" s="38"/>
      <c r="OB251" s="38"/>
      <c r="OC251" s="38"/>
      <c r="OD251" s="38"/>
      <c r="OE251" s="38"/>
      <c r="OF251" s="38"/>
      <c r="OG251" s="38"/>
      <c r="OH251" s="38"/>
      <c r="OI251" s="38"/>
      <c r="OJ251" s="38"/>
      <c r="OK251" s="38"/>
      <c r="OL251" s="38"/>
      <c r="OM251" s="38"/>
      <c r="ON251" s="38"/>
      <c r="OO251" s="38"/>
      <c r="OP251" s="38"/>
      <c r="OQ251" s="38"/>
      <c r="OR251" s="38"/>
      <c r="OS251" s="38"/>
      <c r="OT251" s="38"/>
      <c r="OU251" s="38"/>
      <c r="OV251" s="38"/>
      <c r="OW251" s="38"/>
      <c r="OX251" s="38"/>
      <c r="OY251" s="38"/>
      <c r="OZ251" s="38"/>
      <c r="PA251" s="38"/>
      <c r="PB251" s="38"/>
      <c r="PC251" s="38"/>
      <c r="PD251" s="38"/>
      <c r="PE251" s="38"/>
      <c r="PF251" s="38"/>
      <c r="PG251" s="38"/>
      <c r="PH251" s="38"/>
      <c r="PI251" s="38"/>
      <c r="PJ251" s="38"/>
      <c r="PK251" s="38"/>
      <c r="PL251" s="38"/>
      <c r="PM251" s="38"/>
      <c r="PN251" s="38"/>
      <c r="PO251" s="38"/>
      <c r="PP251" s="38"/>
      <c r="PQ251" s="38"/>
      <c r="PR251" s="38"/>
      <c r="PS251" s="38"/>
      <c r="PT251" s="38"/>
      <c r="PU251" s="38"/>
      <c r="PV251" s="38"/>
      <c r="PW251" s="38"/>
      <c r="PX251" s="38"/>
      <c r="PY251" s="38"/>
      <c r="PZ251" s="38"/>
      <c r="QA251" s="38"/>
      <c r="QB251" s="38"/>
      <c r="QC251" s="38"/>
      <c r="QD251" s="38"/>
      <c r="QE251" s="38"/>
      <c r="QF251" s="38"/>
      <c r="QG251" s="38"/>
      <c r="QH251" s="38"/>
      <c r="QI251" s="38"/>
      <c r="QJ251" s="38"/>
      <c r="QK251" s="38"/>
      <c r="QL251" s="38"/>
      <c r="QM251" s="38"/>
      <c r="QN251" s="38"/>
      <c r="QO251" s="38"/>
      <c r="QP251" s="38"/>
      <c r="QQ251" s="38"/>
      <c r="QR251" s="38"/>
      <c r="QS251" s="38"/>
      <c r="QT251" s="38"/>
      <c r="QU251" s="38"/>
      <c r="QV251" s="38"/>
      <c r="QW251" s="38"/>
      <c r="QX251" s="38"/>
      <c r="QY251" s="38"/>
      <c r="QZ251" s="38"/>
      <c r="RA251" s="38"/>
      <c r="RB251" s="38"/>
      <c r="RC251" s="38"/>
      <c r="RD251" s="38"/>
      <c r="RE251" s="38"/>
      <c r="RF251" s="38"/>
      <c r="RG251" s="38"/>
      <c r="RH251" s="38"/>
      <c r="RI251" s="38"/>
      <c r="RJ251" s="38"/>
      <c r="RK251" s="38"/>
      <c r="RL251" s="38"/>
      <c r="RM251" s="38"/>
      <c r="RN251" s="38"/>
      <c r="RO251" s="38"/>
      <c r="RP251" s="38"/>
      <c r="RQ251" s="38"/>
      <c r="RR251" s="38"/>
      <c r="RS251" s="38"/>
      <c r="RT251" s="38"/>
      <c r="RU251" s="38"/>
      <c r="RV251" s="38"/>
      <c r="RW251" s="38"/>
      <c r="RX251" s="38"/>
      <c r="RY251" s="38"/>
      <c r="RZ251" s="38"/>
      <c r="SA251" s="38"/>
      <c r="SB251" s="38"/>
      <c r="SC251" s="38"/>
      <c r="SD251" s="38"/>
      <c r="SE251" s="38"/>
      <c r="SF251" s="38"/>
      <c r="SG251" s="38"/>
      <c r="SH251" s="38"/>
      <c r="SI251" s="38"/>
      <c r="SJ251" s="38"/>
      <c r="SK251" s="38"/>
      <c r="SL251" s="38"/>
      <c r="SM251" s="38"/>
      <c r="SN251" s="38"/>
      <c r="SO251" s="38"/>
      <c r="SP251" s="38"/>
      <c r="SQ251" s="38"/>
      <c r="SR251" s="38"/>
      <c r="SS251" s="38"/>
      <c r="ST251" s="38"/>
      <c r="SU251" s="38"/>
      <c r="SV251" s="38"/>
      <c r="SW251" s="38"/>
      <c r="SX251" s="38"/>
      <c r="SY251" s="38"/>
      <c r="SZ251" s="38"/>
      <c r="TA251" s="38"/>
      <c r="TB251" s="38"/>
      <c r="TC251" s="38"/>
      <c r="TD251" s="38"/>
      <c r="TE251" s="38"/>
      <c r="TF251" s="38"/>
      <c r="TG251" s="38"/>
      <c r="TH251" s="38"/>
      <c r="TI251" s="38"/>
    </row>
    <row r="252" spans="1:529" s="144" customFormat="1" ht="14.25" x14ac:dyDescent="0.2">
      <c r="A252" s="137"/>
      <c r="B252" s="138"/>
      <c r="C252" s="139"/>
      <c r="D252" s="35"/>
      <c r="E252" s="142">
        <f>E246-'дод 4'!D189</f>
        <v>0</v>
      </c>
      <c r="F252" s="142">
        <f>F246-'дод 4'!E189</f>
        <v>0</v>
      </c>
      <c r="G252" s="142">
        <f>G246-'дод 4'!F189</f>
        <v>0</v>
      </c>
      <c r="H252" s="142">
        <f>H246-'дод 4'!G189</f>
        <v>0</v>
      </c>
      <c r="I252" s="142">
        <f>I246-'дод 4'!H189</f>
        <v>0</v>
      </c>
      <c r="J252" s="142">
        <f>J246-'дод 4'!I189</f>
        <v>0</v>
      </c>
      <c r="K252" s="142">
        <f>K246-'дод 4'!J189</f>
        <v>0</v>
      </c>
      <c r="L252" s="142">
        <f>L246-'дод 4'!K189</f>
        <v>0</v>
      </c>
      <c r="M252" s="142">
        <f>M246-'дод 4'!L189</f>
        <v>0</v>
      </c>
      <c r="N252" s="142">
        <f>N246-'дод 4'!M189</f>
        <v>0</v>
      </c>
      <c r="O252" s="142">
        <f>O246-'дод 4'!N189</f>
        <v>0</v>
      </c>
      <c r="P252" s="142">
        <f>P246-'дод 4'!O189</f>
        <v>0</v>
      </c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143"/>
      <c r="BI252" s="143"/>
      <c r="BJ252" s="143"/>
      <c r="BK252" s="143"/>
      <c r="BL252" s="143"/>
      <c r="BM252" s="143"/>
      <c r="BN252" s="143"/>
      <c r="BO252" s="143"/>
      <c r="BP252" s="143"/>
      <c r="BQ252" s="143"/>
      <c r="BR252" s="143"/>
      <c r="BS252" s="143"/>
      <c r="BT252" s="143"/>
      <c r="BU252" s="143"/>
      <c r="BV252" s="143"/>
      <c r="BW252" s="143"/>
      <c r="BX252" s="143"/>
      <c r="BY252" s="143"/>
      <c r="BZ252" s="143"/>
      <c r="CA252" s="143"/>
      <c r="CB252" s="143"/>
      <c r="CC252" s="143"/>
      <c r="CD252" s="143"/>
      <c r="CE252" s="143"/>
      <c r="CF252" s="143"/>
      <c r="CG252" s="143"/>
      <c r="CH252" s="143"/>
      <c r="CI252" s="143"/>
      <c r="CJ252" s="143"/>
      <c r="CK252" s="143"/>
      <c r="CL252" s="143"/>
      <c r="CM252" s="143"/>
      <c r="CN252" s="143"/>
      <c r="CO252" s="143"/>
      <c r="CP252" s="143"/>
      <c r="CQ252" s="143"/>
      <c r="CR252" s="143"/>
      <c r="CS252" s="143"/>
      <c r="CT252" s="143"/>
      <c r="CU252" s="143"/>
      <c r="CV252" s="143"/>
      <c r="CW252" s="143"/>
      <c r="CX252" s="143"/>
      <c r="CY252" s="143"/>
      <c r="CZ252" s="143"/>
      <c r="DA252" s="143"/>
      <c r="DB252" s="143"/>
      <c r="DC252" s="143"/>
      <c r="DD252" s="143"/>
      <c r="DE252" s="143"/>
      <c r="DF252" s="143"/>
      <c r="DG252" s="143"/>
      <c r="DH252" s="143"/>
      <c r="DI252" s="143"/>
      <c r="DJ252" s="143"/>
      <c r="DK252" s="143"/>
      <c r="DL252" s="143"/>
      <c r="DM252" s="143"/>
      <c r="DN252" s="143"/>
      <c r="DO252" s="143"/>
      <c r="DP252" s="143"/>
      <c r="DQ252" s="143"/>
      <c r="DR252" s="143"/>
      <c r="DS252" s="143"/>
      <c r="DT252" s="143"/>
      <c r="DU252" s="143"/>
      <c r="DV252" s="143"/>
      <c r="DW252" s="143"/>
      <c r="DX252" s="143"/>
      <c r="DY252" s="143"/>
      <c r="DZ252" s="143"/>
      <c r="EA252" s="143"/>
      <c r="EB252" s="143"/>
      <c r="EC252" s="143"/>
      <c r="ED252" s="143"/>
      <c r="EE252" s="143"/>
      <c r="EF252" s="143"/>
      <c r="EG252" s="143"/>
      <c r="EH252" s="143"/>
      <c r="EI252" s="143"/>
      <c r="EJ252" s="143"/>
      <c r="EK252" s="143"/>
      <c r="EL252" s="143"/>
      <c r="EM252" s="143"/>
      <c r="EN252" s="143"/>
      <c r="EO252" s="143"/>
      <c r="EP252" s="143"/>
      <c r="EQ252" s="143"/>
      <c r="ER252" s="143"/>
      <c r="ES252" s="143"/>
      <c r="ET252" s="143"/>
      <c r="EU252" s="143"/>
      <c r="EV252" s="143"/>
      <c r="EW252" s="143"/>
      <c r="EX252" s="143"/>
      <c r="EY252" s="143"/>
      <c r="EZ252" s="143"/>
      <c r="FA252" s="143"/>
      <c r="FB252" s="143"/>
      <c r="FC252" s="143"/>
      <c r="FD252" s="143"/>
      <c r="FE252" s="143"/>
      <c r="FF252" s="143"/>
      <c r="FG252" s="143"/>
      <c r="FH252" s="143"/>
      <c r="FI252" s="143"/>
      <c r="FJ252" s="143"/>
      <c r="FK252" s="143"/>
      <c r="FL252" s="143"/>
      <c r="FM252" s="143"/>
      <c r="FN252" s="143"/>
      <c r="FO252" s="143"/>
      <c r="FP252" s="143"/>
      <c r="FQ252" s="143"/>
      <c r="FR252" s="143"/>
      <c r="FS252" s="143"/>
      <c r="FT252" s="143"/>
      <c r="FU252" s="143"/>
      <c r="FV252" s="143"/>
      <c r="FW252" s="143"/>
      <c r="FX252" s="143"/>
      <c r="FY252" s="143"/>
      <c r="FZ252" s="143"/>
      <c r="GA252" s="143"/>
      <c r="GB252" s="143"/>
      <c r="GC252" s="143"/>
      <c r="GD252" s="143"/>
      <c r="GE252" s="143"/>
      <c r="GF252" s="143"/>
      <c r="GG252" s="143"/>
      <c r="GH252" s="143"/>
      <c r="GI252" s="143"/>
      <c r="GJ252" s="143"/>
      <c r="GK252" s="143"/>
      <c r="GL252" s="143"/>
      <c r="GM252" s="143"/>
      <c r="GN252" s="143"/>
      <c r="GO252" s="143"/>
      <c r="GP252" s="143"/>
      <c r="GQ252" s="143"/>
      <c r="GR252" s="143"/>
      <c r="GS252" s="143"/>
      <c r="GT252" s="143"/>
      <c r="GU252" s="143"/>
      <c r="GV252" s="143"/>
      <c r="GW252" s="143"/>
      <c r="GX252" s="143"/>
      <c r="GY252" s="143"/>
      <c r="GZ252" s="143"/>
      <c r="HA252" s="143"/>
      <c r="HB252" s="143"/>
      <c r="HC252" s="143"/>
      <c r="HD252" s="143"/>
      <c r="HE252" s="143"/>
      <c r="HF252" s="143"/>
      <c r="HG252" s="143"/>
      <c r="HH252" s="143"/>
      <c r="HI252" s="143"/>
      <c r="HJ252" s="143"/>
      <c r="HK252" s="143"/>
      <c r="HL252" s="143"/>
      <c r="HM252" s="143"/>
      <c r="HN252" s="143"/>
      <c r="HO252" s="143"/>
      <c r="HP252" s="143"/>
      <c r="HQ252" s="143"/>
      <c r="HR252" s="143"/>
      <c r="HS252" s="143"/>
      <c r="HT252" s="143"/>
      <c r="HU252" s="143"/>
      <c r="HV252" s="143"/>
      <c r="HW252" s="143"/>
      <c r="HX252" s="143"/>
      <c r="HY252" s="143"/>
      <c r="HZ252" s="143"/>
      <c r="IA252" s="143"/>
      <c r="IB252" s="143"/>
      <c r="IC252" s="143"/>
      <c r="ID252" s="143"/>
      <c r="IE252" s="143"/>
      <c r="IF252" s="143"/>
      <c r="IG252" s="143"/>
      <c r="IH252" s="143"/>
      <c r="II252" s="143"/>
      <c r="IJ252" s="143"/>
      <c r="IK252" s="143"/>
      <c r="IL252" s="143"/>
      <c r="IM252" s="143"/>
      <c r="IN252" s="143"/>
      <c r="IO252" s="143"/>
      <c r="IP252" s="143"/>
      <c r="IQ252" s="143"/>
      <c r="IR252" s="143"/>
      <c r="IS252" s="143"/>
      <c r="IT252" s="143"/>
      <c r="IU252" s="143"/>
      <c r="IV252" s="143"/>
      <c r="IW252" s="143"/>
      <c r="IX252" s="143"/>
      <c r="IY252" s="143"/>
      <c r="IZ252" s="143"/>
      <c r="JA252" s="143"/>
      <c r="JB252" s="143"/>
      <c r="JC252" s="143"/>
      <c r="JD252" s="143"/>
      <c r="JE252" s="143"/>
      <c r="JF252" s="143"/>
      <c r="JG252" s="143"/>
      <c r="JH252" s="143"/>
      <c r="JI252" s="143"/>
      <c r="JJ252" s="143"/>
      <c r="JK252" s="143"/>
      <c r="JL252" s="143"/>
      <c r="JM252" s="143"/>
      <c r="JN252" s="143"/>
      <c r="JO252" s="143"/>
      <c r="JP252" s="143"/>
      <c r="JQ252" s="143"/>
      <c r="JR252" s="143"/>
      <c r="JS252" s="143"/>
      <c r="JT252" s="143"/>
      <c r="JU252" s="143"/>
      <c r="JV252" s="143"/>
      <c r="JW252" s="143"/>
      <c r="JX252" s="143"/>
      <c r="JY252" s="143"/>
      <c r="JZ252" s="143"/>
      <c r="KA252" s="143"/>
      <c r="KB252" s="143"/>
      <c r="KC252" s="143"/>
      <c r="KD252" s="143"/>
      <c r="KE252" s="143"/>
      <c r="KF252" s="143"/>
      <c r="KG252" s="143"/>
      <c r="KH252" s="143"/>
      <c r="KI252" s="143"/>
      <c r="KJ252" s="143"/>
      <c r="KK252" s="143"/>
      <c r="KL252" s="143"/>
      <c r="KM252" s="143"/>
      <c r="KN252" s="143"/>
      <c r="KO252" s="143"/>
      <c r="KP252" s="143"/>
      <c r="KQ252" s="143"/>
      <c r="KR252" s="143"/>
      <c r="KS252" s="143"/>
      <c r="KT252" s="143"/>
      <c r="KU252" s="143"/>
      <c r="KV252" s="143"/>
      <c r="KW252" s="143"/>
      <c r="KX252" s="143"/>
      <c r="KY252" s="143"/>
      <c r="KZ252" s="143"/>
      <c r="LA252" s="143"/>
      <c r="LB252" s="143"/>
      <c r="LC252" s="143"/>
      <c r="LD252" s="143"/>
      <c r="LE252" s="143"/>
      <c r="LF252" s="143"/>
      <c r="LG252" s="143"/>
      <c r="LH252" s="143"/>
      <c r="LI252" s="143"/>
      <c r="LJ252" s="143"/>
      <c r="LK252" s="143"/>
      <c r="LL252" s="143"/>
      <c r="LM252" s="143"/>
      <c r="LN252" s="143"/>
      <c r="LO252" s="143"/>
      <c r="LP252" s="143"/>
      <c r="LQ252" s="143"/>
      <c r="LR252" s="143"/>
      <c r="LS252" s="143"/>
      <c r="LT252" s="143"/>
      <c r="LU252" s="143"/>
      <c r="LV252" s="143"/>
      <c r="LW252" s="143"/>
      <c r="LX252" s="143"/>
      <c r="LY252" s="143"/>
      <c r="LZ252" s="143"/>
      <c r="MA252" s="143"/>
      <c r="MB252" s="143"/>
      <c r="MC252" s="143"/>
      <c r="MD252" s="143"/>
      <c r="ME252" s="143"/>
      <c r="MF252" s="143"/>
      <c r="MG252" s="143"/>
      <c r="MH252" s="143"/>
      <c r="MI252" s="143"/>
      <c r="MJ252" s="143"/>
      <c r="MK252" s="143"/>
      <c r="ML252" s="143"/>
      <c r="MM252" s="143"/>
      <c r="MN252" s="143"/>
      <c r="MO252" s="143"/>
      <c r="MP252" s="143"/>
      <c r="MQ252" s="143"/>
      <c r="MR252" s="143"/>
      <c r="MS252" s="143"/>
      <c r="MT252" s="143"/>
      <c r="MU252" s="143"/>
      <c r="MV252" s="143"/>
      <c r="MW252" s="143"/>
      <c r="MX252" s="143"/>
      <c r="MY252" s="143"/>
      <c r="MZ252" s="143"/>
      <c r="NA252" s="143"/>
      <c r="NB252" s="143"/>
      <c r="NC252" s="143"/>
      <c r="ND252" s="143"/>
      <c r="NE252" s="143"/>
      <c r="NF252" s="143"/>
      <c r="NG252" s="143"/>
      <c r="NH252" s="143"/>
      <c r="NI252" s="143"/>
      <c r="NJ252" s="143"/>
      <c r="NK252" s="143"/>
      <c r="NL252" s="143"/>
      <c r="NM252" s="143"/>
      <c r="NN252" s="143"/>
      <c r="NO252" s="143"/>
      <c r="NP252" s="143"/>
      <c r="NQ252" s="143"/>
      <c r="NR252" s="143"/>
      <c r="NS252" s="143"/>
      <c r="NT252" s="143"/>
      <c r="NU252" s="143"/>
      <c r="NV252" s="143"/>
      <c r="NW252" s="143"/>
      <c r="NX252" s="143"/>
      <c r="NY252" s="143"/>
      <c r="NZ252" s="143"/>
      <c r="OA252" s="143"/>
      <c r="OB252" s="143"/>
      <c r="OC252" s="143"/>
      <c r="OD252" s="143"/>
      <c r="OE252" s="143"/>
      <c r="OF252" s="143"/>
      <c r="OG252" s="143"/>
      <c r="OH252" s="143"/>
      <c r="OI252" s="143"/>
      <c r="OJ252" s="143"/>
      <c r="OK252" s="143"/>
      <c r="OL252" s="143"/>
      <c r="OM252" s="143"/>
      <c r="ON252" s="143"/>
      <c r="OO252" s="143"/>
      <c r="OP252" s="143"/>
      <c r="OQ252" s="143"/>
      <c r="OR252" s="143"/>
      <c r="OS252" s="143"/>
      <c r="OT252" s="143"/>
      <c r="OU252" s="143"/>
      <c r="OV252" s="143"/>
      <c r="OW252" s="143"/>
      <c r="OX252" s="143"/>
      <c r="OY252" s="143"/>
      <c r="OZ252" s="143"/>
      <c r="PA252" s="143"/>
      <c r="PB252" s="143"/>
      <c r="PC252" s="143"/>
      <c r="PD252" s="143"/>
      <c r="PE252" s="143"/>
      <c r="PF252" s="143"/>
      <c r="PG252" s="143"/>
      <c r="PH252" s="143"/>
      <c r="PI252" s="143"/>
      <c r="PJ252" s="143"/>
      <c r="PK252" s="143"/>
      <c r="PL252" s="143"/>
      <c r="PM252" s="143"/>
      <c r="PN252" s="143"/>
      <c r="PO252" s="143"/>
      <c r="PP252" s="143"/>
      <c r="PQ252" s="143"/>
      <c r="PR252" s="143"/>
      <c r="PS252" s="143"/>
      <c r="PT252" s="143"/>
      <c r="PU252" s="143"/>
      <c r="PV252" s="143"/>
      <c r="PW252" s="143"/>
      <c r="PX252" s="143"/>
      <c r="PY252" s="143"/>
      <c r="PZ252" s="143"/>
      <c r="QA252" s="143"/>
      <c r="QB252" s="143"/>
      <c r="QC252" s="143"/>
      <c r="QD252" s="143"/>
      <c r="QE252" s="143"/>
      <c r="QF252" s="143"/>
      <c r="QG252" s="143"/>
      <c r="QH252" s="143"/>
      <c r="QI252" s="143"/>
      <c r="QJ252" s="143"/>
      <c r="QK252" s="143"/>
      <c r="QL252" s="143"/>
      <c r="QM252" s="143"/>
      <c r="QN252" s="143"/>
      <c r="QO252" s="143"/>
      <c r="QP252" s="143"/>
      <c r="QQ252" s="143"/>
      <c r="QR252" s="143"/>
      <c r="QS252" s="143"/>
      <c r="QT252" s="143"/>
      <c r="QU252" s="143"/>
      <c r="QV252" s="143"/>
      <c r="QW252" s="143"/>
      <c r="QX252" s="143"/>
      <c r="QY252" s="143"/>
      <c r="QZ252" s="143"/>
      <c r="RA252" s="143"/>
      <c r="RB252" s="143"/>
      <c r="RC252" s="143"/>
      <c r="RD252" s="143"/>
      <c r="RE252" s="143"/>
      <c r="RF252" s="143"/>
      <c r="RG252" s="143"/>
      <c r="RH252" s="143"/>
      <c r="RI252" s="143"/>
      <c r="RJ252" s="143"/>
      <c r="RK252" s="143"/>
      <c r="RL252" s="143"/>
      <c r="RM252" s="143"/>
      <c r="RN252" s="143"/>
      <c r="RO252" s="143"/>
      <c r="RP252" s="143"/>
      <c r="RQ252" s="143"/>
      <c r="RR252" s="143"/>
      <c r="RS252" s="143"/>
      <c r="RT252" s="143"/>
      <c r="RU252" s="143"/>
      <c r="RV252" s="143"/>
      <c r="RW252" s="143"/>
      <c r="RX252" s="143"/>
      <c r="RY252" s="143"/>
      <c r="RZ252" s="143"/>
      <c r="SA252" s="143"/>
      <c r="SB252" s="143"/>
      <c r="SC252" s="143"/>
      <c r="SD252" s="143"/>
      <c r="SE252" s="143"/>
      <c r="SF252" s="143"/>
      <c r="SG252" s="143"/>
      <c r="SH252" s="143"/>
      <c r="SI252" s="143"/>
      <c r="SJ252" s="143"/>
      <c r="SK252" s="143"/>
      <c r="SL252" s="143"/>
      <c r="SM252" s="143"/>
      <c r="SN252" s="143"/>
      <c r="SO252" s="143"/>
      <c r="SP252" s="143"/>
      <c r="SQ252" s="143"/>
      <c r="SR252" s="143"/>
      <c r="SS252" s="143"/>
      <c r="ST252" s="143"/>
      <c r="SU252" s="143"/>
      <c r="SV252" s="143"/>
      <c r="SW252" s="143"/>
      <c r="SX252" s="143"/>
      <c r="SY252" s="143"/>
      <c r="SZ252" s="143"/>
      <c r="TA252" s="143"/>
      <c r="TB252" s="143"/>
      <c r="TC252" s="143"/>
      <c r="TD252" s="143"/>
      <c r="TE252" s="143"/>
      <c r="TF252" s="143"/>
      <c r="TG252" s="143"/>
      <c r="TH252" s="143"/>
      <c r="TI252" s="143"/>
    </row>
    <row r="253" spans="1:529" s="144" customFormat="1" ht="14.25" x14ac:dyDescent="0.2">
      <c r="A253" s="137"/>
      <c r="B253" s="138"/>
      <c r="C253" s="139"/>
      <c r="D253" s="35"/>
      <c r="E253" s="142">
        <f>E247-'дод 4'!D190</f>
        <v>0</v>
      </c>
      <c r="F253" s="142">
        <f>F247-'дод 4'!E190</f>
        <v>0</v>
      </c>
      <c r="G253" s="142">
        <f>G247-'дод 4'!F190</f>
        <v>0</v>
      </c>
      <c r="H253" s="142">
        <f>H247-'дод 4'!G190</f>
        <v>0</v>
      </c>
      <c r="I253" s="142">
        <f>I247-'дод 4'!H190</f>
        <v>0</v>
      </c>
      <c r="J253" s="142">
        <f>J247-'дод 4'!I190</f>
        <v>0</v>
      </c>
      <c r="K253" s="142">
        <f>K247-'дод 4'!J190</f>
        <v>0</v>
      </c>
      <c r="L253" s="142">
        <f>L247-'дод 4'!K190</f>
        <v>0</v>
      </c>
      <c r="M253" s="142">
        <f>M247-'дод 4'!L190</f>
        <v>0</v>
      </c>
      <c r="N253" s="142">
        <f>N247-'дод 4'!M190</f>
        <v>0</v>
      </c>
      <c r="O253" s="142">
        <f>O247-'дод 4'!N190</f>
        <v>0</v>
      </c>
      <c r="P253" s="142">
        <f>P247-'дод 4'!O190</f>
        <v>0</v>
      </c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  <c r="BI253" s="143"/>
      <c r="BJ253" s="143"/>
      <c r="BK253" s="143"/>
      <c r="BL253" s="143"/>
      <c r="BM253" s="143"/>
      <c r="BN253" s="143"/>
      <c r="BO253" s="143"/>
      <c r="BP253" s="143"/>
      <c r="BQ253" s="143"/>
      <c r="BR253" s="143"/>
      <c r="BS253" s="143"/>
      <c r="BT253" s="143"/>
      <c r="BU253" s="143"/>
      <c r="BV253" s="143"/>
      <c r="BW253" s="143"/>
      <c r="BX253" s="143"/>
      <c r="BY253" s="143"/>
      <c r="BZ253" s="143"/>
      <c r="CA253" s="143"/>
      <c r="CB253" s="143"/>
      <c r="CC253" s="143"/>
      <c r="CD253" s="143"/>
      <c r="CE253" s="143"/>
      <c r="CF253" s="143"/>
      <c r="CG253" s="143"/>
      <c r="CH253" s="143"/>
      <c r="CI253" s="143"/>
      <c r="CJ253" s="143"/>
      <c r="CK253" s="143"/>
      <c r="CL253" s="143"/>
      <c r="CM253" s="143"/>
      <c r="CN253" s="143"/>
      <c r="CO253" s="143"/>
      <c r="CP253" s="143"/>
      <c r="CQ253" s="143"/>
      <c r="CR253" s="143"/>
      <c r="CS253" s="143"/>
      <c r="CT253" s="143"/>
      <c r="CU253" s="143"/>
      <c r="CV253" s="143"/>
      <c r="CW253" s="143"/>
      <c r="CX253" s="143"/>
      <c r="CY253" s="143"/>
      <c r="CZ253" s="143"/>
      <c r="DA253" s="143"/>
      <c r="DB253" s="143"/>
      <c r="DC253" s="143"/>
      <c r="DD253" s="143"/>
      <c r="DE253" s="143"/>
      <c r="DF253" s="143"/>
      <c r="DG253" s="143"/>
      <c r="DH253" s="143"/>
      <c r="DI253" s="143"/>
      <c r="DJ253" s="143"/>
      <c r="DK253" s="143"/>
      <c r="DL253" s="143"/>
      <c r="DM253" s="143"/>
      <c r="DN253" s="143"/>
      <c r="DO253" s="143"/>
      <c r="DP253" s="143"/>
      <c r="DQ253" s="143"/>
      <c r="DR253" s="143"/>
      <c r="DS253" s="143"/>
      <c r="DT253" s="143"/>
      <c r="DU253" s="143"/>
      <c r="DV253" s="143"/>
      <c r="DW253" s="143"/>
      <c r="DX253" s="143"/>
      <c r="DY253" s="143"/>
      <c r="DZ253" s="143"/>
      <c r="EA253" s="143"/>
      <c r="EB253" s="143"/>
      <c r="EC253" s="143"/>
      <c r="ED253" s="143"/>
      <c r="EE253" s="143"/>
      <c r="EF253" s="143"/>
      <c r="EG253" s="143"/>
      <c r="EH253" s="143"/>
      <c r="EI253" s="143"/>
      <c r="EJ253" s="143"/>
      <c r="EK253" s="143"/>
      <c r="EL253" s="143"/>
      <c r="EM253" s="143"/>
      <c r="EN253" s="143"/>
      <c r="EO253" s="143"/>
      <c r="EP253" s="143"/>
      <c r="EQ253" s="143"/>
      <c r="ER253" s="143"/>
      <c r="ES253" s="143"/>
      <c r="ET253" s="143"/>
      <c r="EU253" s="143"/>
      <c r="EV253" s="143"/>
      <c r="EW253" s="143"/>
      <c r="EX253" s="143"/>
      <c r="EY253" s="143"/>
      <c r="EZ253" s="143"/>
      <c r="FA253" s="143"/>
      <c r="FB253" s="143"/>
      <c r="FC253" s="143"/>
      <c r="FD253" s="143"/>
      <c r="FE253" s="143"/>
      <c r="FF253" s="143"/>
      <c r="FG253" s="143"/>
      <c r="FH253" s="143"/>
      <c r="FI253" s="143"/>
      <c r="FJ253" s="143"/>
      <c r="FK253" s="143"/>
      <c r="FL253" s="143"/>
      <c r="FM253" s="143"/>
      <c r="FN253" s="143"/>
      <c r="FO253" s="143"/>
      <c r="FP253" s="143"/>
      <c r="FQ253" s="143"/>
      <c r="FR253" s="143"/>
      <c r="FS253" s="143"/>
      <c r="FT253" s="143"/>
      <c r="FU253" s="143"/>
      <c r="FV253" s="143"/>
      <c r="FW253" s="143"/>
      <c r="FX253" s="143"/>
      <c r="FY253" s="143"/>
      <c r="FZ253" s="143"/>
      <c r="GA253" s="143"/>
      <c r="GB253" s="143"/>
      <c r="GC253" s="143"/>
      <c r="GD253" s="143"/>
      <c r="GE253" s="143"/>
      <c r="GF253" s="143"/>
      <c r="GG253" s="143"/>
      <c r="GH253" s="143"/>
      <c r="GI253" s="143"/>
      <c r="GJ253" s="143"/>
      <c r="GK253" s="143"/>
      <c r="GL253" s="143"/>
      <c r="GM253" s="143"/>
      <c r="GN253" s="143"/>
      <c r="GO253" s="143"/>
      <c r="GP253" s="143"/>
      <c r="GQ253" s="143"/>
      <c r="GR253" s="143"/>
      <c r="GS253" s="143"/>
      <c r="GT253" s="143"/>
      <c r="GU253" s="143"/>
      <c r="GV253" s="143"/>
      <c r="GW253" s="143"/>
      <c r="GX253" s="143"/>
      <c r="GY253" s="143"/>
      <c r="GZ253" s="143"/>
      <c r="HA253" s="143"/>
      <c r="HB253" s="143"/>
      <c r="HC253" s="143"/>
      <c r="HD253" s="143"/>
      <c r="HE253" s="143"/>
      <c r="HF253" s="143"/>
      <c r="HG253" s="143"/>
      <c r="HH253" s="143"/>
      <c r="HI253" s="143"/>
      <c r="HJ253" s="143"/>
      <c r="HK253" s="143"/>
      <c r="HL253" s="143"/>
      <c r="HM253" s="143"/>
      <c r="HN253" s="143"/>
      <c r="HO253" s="143"/>
      <c r="HP253" s="143"/>
      <c r="HQ253" s="143"/>
      <c r="HR253" s="143"/>
      <c r="HS253" s="143"/>
      <c r="HT253" s="143"/>
      <c r="HU253" s="143"/>
      <c r="HV253" s="143"/>
      <c r="HW253" s="143"/>
      <c r="HX253" s="143"/>
      <c r="HY253" s="143"/>
      <c r="HZ253" s="143"/>
      <c r="IA253" s="143"/>
      <c r="IB253" s="143"/>
      <c r="IC253" s="143"/>
      <c r="ID253" s="143"/>
      <c r="IE253" s="143"/>
      <c r="IF253" s="143"/>
      <c r="IG253" s="143"/>
      <c r="IH253" s="143"/>
      <c r="II253" s="143"/>
      <c r="IJ253" s="143"/>
      <c r="IK253" s="143"/>
      <c r="IL253" s="143"/>
      <c r="IM253" s="143"/>
      <c r="IN253" s="143"/>
      <c r="IO253" s="143"/>
      <c r="IP253" s="143"/>
      <c r="IQ253" s="143"/>
      <c r="IR253" s="143"/>
      <c r="IS253" s="143"/>
      <c r="IT253" s="143"/>
      <c r="IU253" s="143"/>
      <c r="IV253" s="143"/>
      <c r="IW253" s="143"/>
      <c r="IX253" s="143"/>
      <c r="IY253" s="143"/>
      <c r="IZ253" s="143"/>
      <c r="JA253" s="143"/>
      <c r="JB253" s="143"/>
      <c r="JC253" s="143"/>
      <c r="JD253" s="143"/>
      <c r="JE253" s="143"/>
      <c r="JF253" s="143"/>
      <c r="JG253" s="143"/>
      <c r="JH253" s="143"/>
      <c r="JI253" s="143"/>
      <c r="JJ253" s="143"/>
      <c r="JK253" s="143"/>
      <c r="JL253" s="143"/>
      <c r="JM253" s="143"/>
      <c r="JN253" s="143"/>
      <c r="JO253" s="143"/>
      <c r="JP253" s="143"/>
      <c r="JQ253" s="143"/>
      <c r="JR253" s="143"/>
      <c r="JS253" s="143"/>
      <c r="JT253" s="143"/>
      <c r="JU253" s="143"/>
      <c r="JV253" s="143"/>
      <c r="JW253" s="143"/>
      <c r="JX253" s="143"/>
      <c r="JY253" s="143"/>
      <c r="JZ253" s="143"/>
      <c r="KA253" s="143"/>
      <c r="KB253" s="143"/>
      <c r="KC253" s="143"/>
      <c r="KD253" s="143"/>
      <c r="KE253" s="143"/>
      <c r="KF253" s="143"/>
      <c r="KG253" s="143"/>
      <c r="KH253" s="143"/>
      <c r="KI253" s="143"/>
      <c r="KJ253" s="143"/>
      <c r="KK253" s="143"/>
      <c r="KL253" s="143"/>
      <c r="KM253" s="143"/>
      <c r="KN253" s="143"/>
      <c r="KO253" s="143"/>
      <c r="KP253" s="143"/>
      <c r="KQ253" s="143"/>
      <c r="KR253" s="143"/>
      <c r="KS253" s="143"/>
      <c r="KT253" s="143"/>
      <c r="KU253" s="143"/>
      <c r="KV253" s="143"/>
      <c r="KW253" s="143"/>
      <c r="KX253" s="143"/>
      <c r="KY253" s="143"/>
      <c r="KZ253" s="143"/>
      <c r="LA253" s="143"/>
      <c r="LB253" s="143"/>
      <c r="LC253" s="143"/>
      <c r="LD253" s="143"/>
      <c r="LE253" s="143"/>
      <c r="LF253" s="143"/>
      <c r="LG253" s="143"/>
      <c r="LH253" s="143"/>
      <c r="LI253" s="143"/>
      <c r="LJ253" s="143"/>
      <c r="LK253" s="143"/>
      <c r="LL253" s="143"/>
      <c r="LM253" s="143"/>
      <c r="LN253" s="143"/>
      <c r="LO253" s="143"/>
      <c r="LP253" s="143"/>
      <c r="LQ253" s="143"/>
      <c r="LR253" s="143"/>
      <c r="LS253" s="143"/>
      <c r="LT253" s="143"/>
      <c r="LU253" s="143"/>
      <c r="LV253" s="143"/>
      <c r="LW253" s="143"/>
      <c r="LX253" s="143"/>
      <c r="LY253" s="143"/>
      <c r="LZ253" s="143"/>
      <c r="MA253" s="143"/>
      <c r="MB253" s="143"/>
      <c r="MC253" s="143"/>
      <c r="MD253" s="143"/>
      <c r="ME253" s="143"/>
      <c r="MF253" s="143"/>
      <c r="MG253" s="143"/>
      <c r="MH253" s="143"/>
      <c r="MI253" s="143"/>
      <c r="MJ253" s="143"/>
      <c r="MK253" s="143"/>
      <c r="ML253" s="143"/>
      <c r="MM253" s="143"/>
      <c r="MN253" s="143"/>
      <c r="MO253" s="143"/>
      <c r="MP253" s="143"/>
      <c r="MQ253" s="143"/>
      <c r="MR253" s="143"/>
      <c r="MS253" s="143"/>
      <c r="MT253" s="143"/>
      <c r="MU253" s="143"/>
      <c r="MV253" s="143"/>
      <c r="MW253" s="143"/>
      <c r="MX253" s="143"/>
      <c r="MY253" s="143"/>
      <c r="MZ253" s="143"/>
      <c r="NA253" s="143"/>
      <c r="NB253" s="143"/>
      <c r="NC253" s="143"/>
      <c r="ND253" s="143"/>
      <c r="NE253" s="143"/>
      <c r="NF253" s="143"/>
      <c r="NG253" s="143"/>
      <c r="NH253" s="143"/>
      <c r="NI253" s="143"/>
      <c r="NJ253" s="143"/>
      <c r="NK253" s="143"/>
      <c r="NL253" s="143"/>
      <c r="NM253" s="143"/>
      <c r="NN253" s="143"/>
      <c r="NO253" s="143"/>
      <c r="NP253" s="143"/>
      <c r="NQ253" s="143"/>
      <c r="NR253" s="143"/>
      <c r="NS253" s="143"/>
      <c r="NT253" s="143"/>
      <c r="NU253" s="143"/>
      <c r="NV253" s="143"/>
      <c r="NW253" s="143"/>
      <c r="NX253" s="143"/>
      <c r="NY253" s="143"/>
      <c r="NZ253" s="143"/>
      <c r="OA253" s="143"/>
      <c r="OB253" s="143"/>
      <c r="OC253" s="143"/>
      <c r="OD253" s="143"/>
      <c r="OE253" s="143"/>
      <c r="OF253" s="143"/>
      <c r="OG253" s="143"/>
      <c r="OH253" s="143"/>
      <c r="OI253" s="143"/>
      <c r="OJ253" s="143"/>
      <c r="OK253" s="143"/>
      <c r="OL253" s="143"/>
      <c r="OM253" s="143"/>
      <c r="ON253" s="143"/>
      <c r="OO253" s="143"/>
      <c r="OP253" s="143"/>
      <c r="OQ253" s="143"/>
      <c r="OR253" s="143"/>
      <c r="OS253" s="143"/>
      <c r="OT253" s="143"/>
      <c r="OU253" s="143"/>
      <c r="OV253" s="143"/>
      <c r="OW253" s="143"/>
      <c r="OX253" s="143"/>
      <c r="OY253" s="143"/>
      <c r="OZ253" s="143"/>
      <c r="PA253" s="143"/>
      <c r="PB253" s="143"/>
      <c r="PC253" s="143"/>
      <c r="PD253" s="143"/>
      <c r="PE253" s="143"/>
      <c r="PF253" s="143"/>
      <c r="PG253" s="143"/>
      <c r="PH253" s="143"/>
      <c r="PI253" s="143"/>
      <c r="PJ253" s="143"/>
      <c r="PK253" s="143"/>
      <c r="PL253" s="143"/>
      <c r="PM253" s="143"/>
      <c r="PN253" s="143"/>
      <c r="PO253" s="143"/>
      <c r="PP253" s="143"/>
      <c r="PQ253" s="143"/>
      <c r="PR253" s="143"/>
      <c r="PS253" s="143"/>
      <c r="PT253" s="143"/>
      <c r="PU253" s="143"/>
      <c r="PV253" s="143"/>
      <c r="PW253" s="143"/>
      <c r="PX253" s="143"/>
      <c r="PY253" s="143"/>
      <c r="PZ253" s="143"/>
      <c r="QA253" s="143"/>
      <c r="QB253" s="143"/>
      <c r="QC253" s="143"/>
      <c r="QD253" s="143"/>
      <c r="QE253" s="143"/>
      <c r="QF253" s="143"/>
      <c r="QG253" s="143"/>
      <c r="QH253" s="143"/>
      <c r="QI253" s="143"/>
      <c r="QJ253" s="143"/>
      <c r="QK253" s="143"/>
      <c r="QL253" s="143"/>
      <c r="QM253" s="143"/>
      <c r="QN253" s="143"/>
      <c r="QO253" s="143"/>
      <c r="QP253" s="143"/>
      <c r="QQ253" s="143"/>
      <c r="QR253" s="143"/>
      <c r="QS253" s="143"/>
      <c r="QT253" s="143"/>
      <c r="QU253" s="143"/>
      <c r="QV253" s="143"/>
      <c r="QW253" s="143"/>
      <c r="QX253" s="143"/>
      <c r="QY253" s="143"/>
      <c r="QZ253" s="143"/>
      <c r="RA253" s="143"/>
      <c r="RB253" s="143"/>
      <c r="RC253" s="143"/>
      <c r="RD253" s="143"/>
      <c r="RE253" s="143"/>
      <c r="RF253" s="143"/>
      <c r="RG253" s="143"/>
      <c r="RH253" s="143"/>
      <c r="RI253" s="143"/>
      <c r="RJ253" s="143"/>
      <c r="RK253" s="143"/>
      <c r="RL253" s="143"/>
      <c r="RM253" s="143"/>
      <c r="RN253" s="143"/>
      <c r="RO253" s="143"/>
      <c r="RP253" s="143"/>
      <c r="RQ253" s="143"/>
      <c r="RR253" s="143"/>
      <c r="RS253" s="143"/>
      <c r="RT253" s="143"/>
      <c r="RU253" s="143"/>
      <c r="RV253" s="143"/>
      <c r="RW253" s="143"/>
      <c r="RX253" s="143"/>
      <c r="RY253" s="143"/>
      <c r="RZ253" s="143"/>
      <c r="SA253" s="143"/>
      <c r="SB253" s="143"/>
      <c r="SC253" s="143"/>
      <c r="SD253" s="143"/>
      <c r="SE253" s="143"/>
      <c r="SF253" s="143"/>
      <c r="SG253" s="143"/>
      <c r="SH253" s="143"/>
      <c r="SI253" s="143"/>
      <c r="SJ253" s="143"/>
      <c r="SK253" s="143"/>
      <c r="SL253" s="143"/>
      <c r="SM253" s="143"/>
      <c r="SN253" s="143"/>
      <c r="SO253" s="143"/>
      <c r="SP253" s="143"/>
      <c r="SQ253" s="143"/>
      <c r="SR253" s="143"/>
      <c r="SS253" s="143"/>
      <c r="ST253" s="143"/>
      <c r="SU253" s="143"/>
      <c r="SV253" s="143"/>
      <c r="SW253" s="143"/>
      <c r="SX253" s="143"/>
      <c r="SY253" s="143"/>
      <c r="SZ253" s="143"/>
      <c r="TA253" s="143"/>
      <c r="TB253" s="143"/>
      <c r="TC253" s="143"/>
      <c r="TD253" s="143"/>
      <c r="TE253" s="143"/>
      <c r="TF253" s="143"/>
      <c r="TG253" s="143"/>
      <c r="TH253" s="143"/>
      <c r="TI253" s="143"/>
    </row>
    <row r="254" spans="1:529" s="146" customFormat="1" ht="14.25" x14ac:dyDescent="0.2">
      <c r="A254" s="95"/>
      <c r="B254" s="96"/>
      <c r="C254" s="96"/>
      <c r="D254" s="145"/>
      <c r="E254" s="147">
        <f>E248-'дод 4'!D191</f>
        <v>0</v>
      </c>
      <c r="F254" s="147">
        <f>F248-'дод 4'!E191</f>
        <v>0</v>
      </c>
      <c r="G254" s="147">
        <f>G248-'дод 4'!F191</f>
        <v>0</v>
      </c>
      <c r="H254" s="147">
        <f>H248-'дод 4'!G191</f>
        <v>0</v>
      </c>
      <c r="I254" s="147">
        <f>I248-'дод 4'!H191</f>
        <v>0</v>
      </c>
      <c r="J254" s="147">
        <f>J248-'дод 4'!I191</f>
        <v>0</v>
      </c>
      <c r="K254" s="147">
        <f>K248-'дод 4'!J191</f>
        <v>0</v>
      </c>
      <c r="L254" s="147">
        <f>L248-'дод 4'!K191</f>
        <v>0</v>
      </c>
      <c r="M254" s="147">
        <f>M248-'дод 4'!L191</f>
        <v>0</v>
      </c>
      <c r="N254" s="147">
        <f>N248-'дод 4'!M191</f>
        <v>0</v>
      </c>
      <c r="O254" s="147">
        <f>O248-'дод 4'!N191</f>
        <v>0</v>
      </c>
      <c r="P254" s="147">
        <f>P248-'дод 4'!O191</f>
        <v>0</v>
      </c>
    </row>
    <row r="255" spans="1:529" s="146" customFormat="1" ht="14.25" x14ac:dyDescent="0.2">
      <c r="A255" s="95"/>
      <c r="B255" s="96"/>
      <c r="C255" s="96"/>
      <c r="D255" s="145"/>
      <c r="E255" s="147">
        <f>E249-'дод 4'!D192</f>
        <v>0</v>
      </c>
      <c r="F255" s="147">
        <f>F249-'дод 4'!E192</f>
        <v>0</v>
      </c>
      <c r="G255" s="147">
        <f>G249-'дод 4'!F192</f>
        <v>0</v>
      </c>
      <c r="H255" s="147">
        <f>H249-'дод 4'!G192</f>
        <v>0</v>
      </c>
      <c r="I255" s="147">
        <f>I249-'дод 4'!H192</f>
        <v>0</v>
      </c>
      <c r="J255" s="147">
        <f>J249-'дод 4'!I192</f>
        <v>0</v>
      </c>
      <c r="K255" s="147">
        <f>K249-'дод 4'!J192</f>
        <v>0</v>
      </c>
      <c r="L255" s="147">
        <f>L249-'дод 4'!K192</f>
        <v>0</v>
      </c>
      <c r="M255" s="147">
        <f>M249-'дод 4'!L192</f>
        <v>0</v>
      </c>
      <c r="N255" s="147">
        <f>N249-'дод 4'!M192</f>
        <v>0</v>
      </c>
      <c r="O255" s="147">
        <f>O249-'дод 4'!N192</f>
        <v>0</v>
      </c>
      <c r="P255" s="147">
        <f>P249-'дод 4'!O192</f>
        <v>0</v>
      </c>
    </row>
    <row r="256" spans="1:529" s="34" customFormat="1" ht="16.5" customHeight="1" x14ac:dyDescent="0.25">
      <c r="A256" s="88"/>
      <c r="B256" s="103"/>
      <c r="C256" s="103"/>
      <c r="D256" s="41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1:24" s="34" customFormat="1" ht="18.75" customHeight="1" x14ac:dyDescent="0.25">
      <c r="A257" s="88"/>
      <c r="B257" s="103"/>
      <c r="C257" s="103"/>
      <c r="D257" s="41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1:24" s="34" customFormat="1" ht="31.5" x14ac:dyDescent="0.45">
      <c r="A258" s="125" t="s">
        <v>426</v>
      </c>
      <c r="B258" s="125"/>
      <c r="C258" s="125"/>
      <c r="D258" s="125"/>
      <c r="E258" s="125"/>
      <c r="F258" s="125"/>
      <c r="G258" s="125"/>
      <c r="H258" s="125"/>
      <c r="I258" s="126"/>
      <c r="J258" s="126"/>
      <c r="K258" s="126"/>
      <c r="L258" s="127"/>
      <c r="M258" s="127"/>
      <c r="N258" s="185" t="s">
        <v>427</v>
      </c>
      <c r="O258" s="185"/>
      <c r="P258" s="185"/>
    </row>
    <row r="259" spans="1:24" s="34" customFormat="1" ht="35.25" customHeight="1" x14ac:dyDescent="0.5">
      <c r="A259" s="128"/>
      <c r="B259" s="128"/>
      <c r="C259" s="128"/>
      <c r="D259" s="129"/>
      <c r="E259" s="130"/>
      <c r="F259" s="130"/>
      <c r="G259" s="130"/>
      <c r="H259" s="130"/>
      <c r="I259" s="130"/>
      <c r="J259" s="130"/>
      <c r="K259" s="131"/>
      <c r="L259" s="130"/>
      <c r="M259" s="130"/>
      <c r="Q259" s="90"/>
      <c r="R259" s="90"/>
      <c r="S259" s="90"/>
      <c r="T259" s="90"/>
      <c r="U259" s="90"/>
    </row>
    <row r="260" spans="1:24" s="106" customFormat="1" ht="26.25" x14ac:dyDescent="0.4">
      <c r="A260" s="132" t="s">
        <v>494</v>
      </c>
      <c r="B260" s="107"/>
      <c r="C260" s="107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1:24" s="117" customFormat="1" ht="35.25" x14ac:dyDescent="0.5">
      <c r="A261" s="132" t="s">
        <v>428</v>
      </c>
      <c r="B261" s="107"/>
      <c r="C261" s="107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18"/>
      <c r="R261" s="118"/>
      <c r="S261" s="118"/>
      <c r="T261" s="118"/>
      <c r="U261" s="118"/>
      <c r="V261" s="118"/>
      <c r="W261" s="119"/>
      <c r="X261" s="120"/>
    </row>
    <row r="262" spans="1:24" s="99" customFormat="1" ht="14.25" x14ac:dyDescent="0.2">
      <c r="A262" s="95"/>
      <c r="B262" s="96"/>
      <c r="C262" s="96"/>
      <c r="D262" s="97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</row>
    <row r="263" spans="1:24" s="99" customFormat="1" ht="14.25" x14ac:dyDescent="0.2">
      <c r="A263" s="95"/>
      <c r="B263" s="96"/>
      <c r="C263" s="96"/>
      <c r="D263" s="97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</row>
    <row r="264" spans="1:24" s="34" customFormat="1" x14ac:dyDescent="0.25">
      <c r="A264" s="88"/>
      <c r="B264" s="103"/>
      <c r="C264" s="103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</row>
    <row r="265" spans="1:24" s="34" customFormat="1" x14ac:dyDescent="0.25">
      <c r="A265" s="88"/>
      <c r="B265" s="103"/>
      <c r="C265" s="103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</row>
    <row r="266" spans="1:24" s="34" customFormat="1" x14ac:dyDescent="0.25">
      <c r="A266" s="88"/>
      <c r="B266" s="103"/>
      <c r="C266" s="103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</row>
    <row r="267" spans="1:24" s="34" customFormat="1" x14ac:dyDescent="0.25">
      <c r="A267" s="88"/>
      <c r="B267" s="103"/>
      <c r="C267" s="103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</row>
    <row r="268" spans="1:24" s="34" customFormat="1" x14ac:dyDescent="0.25">
      <c r="A268" s="88"/>
      <c r="B268" s="103"/>
      <c r="C268" s="103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</row>
    <row r="269" spans="1:24" s="34" customFormat="1" x14ac:dyDescent="0.25">
      <c r="A269" s="88"/>
      <c r="B269" s="103"/>
      <c r="C269" s="103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</row>
    <row r="270" spans="1:24" s="34" customFormat="1" x14ac:dyDescent="0.25">
      <c r="A270" s="88"/>
      <c r="B270" s="103"/>
      <c r="C270" s="103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</row>
    <row r="271" spans="1:24" s="34" customFormat="1" x14ac:dyDescent="0.25">
      <c r="A271" s="88"/>
      <c r="B271" s="103"/>
      <c r="C271" s="103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</row>
    <row r="272" spans="1:24" s="34" customFormat="1" x14ac:dyDescent="0.25">
      <c r="A272" s="88"/>
      <c r="B272" s="103"/>
      <c r="C272" s="103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</row>
    <row r="273" spans="1:16" s="34" customFormat="1" x14ac:dyDescent="0.25">
      <c r="A273" s="88"/>
      <c r="B273" s="103"/>
      <c r="C273" s="103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</row>
    <row r="274" spans="1:16" s="34" customFormat="1" x14ac:dyDescent="0.25">
      <c r="A274" s="88"/>
      <c r="B274" s="103"/>
      <c r="C274" s="103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</row>
    <row r="275" spans="1:16" s="34" customFormat="1" x14ac:dyDescent="0.25">
      <c r="A275" s="88"/>
      <c r="B275" s="103"/>
      <c r="C275" s="103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s="34" customFormat="1" x14ac:dyDescent="0.25">
      <c r="A276" s="88"/>
      <c r="B276" s="103"/>
      <c r="C276" s="103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</row>
    <row r="277" spans="1:16" s="34" customFormat="1" x14ac:dyDescent="0.25">
      <c r="A277" s="88"/>
      <c r="B277" s="103"/>
      <c r="C277" s="103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</row>
    <row r="278" spans="1:16" s="34" customFormat="1" x14ac:dyDescent="0.25">
      <c r="A278" s="88"/>
      <c r="B278" s="103"/>
      <c r="C278" s="103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</row>
    <row r="279" spans="1:16" s="34" customFormat="1" x14ac:dyDescent="0.25">
      <c r="A279" s="88"/>
      <c r="B279" s="103"/>
      <c r="C279" s="103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</row>
    <row r="280" spans="1:16" s="34" customFormat="1" x14ac:dyDescent="0.25">
      <c r="A280" s="88"/>
      <c r="B280" s="103"/>
      <c r="C280" s="103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</row>
    <row r="281" spans="1:16" s="34" customFormat="1" x14ac:dyDescent="0.25">
      <c r="A281" s="88"/>
      <c r="B281" s="103"/>
      <c r="C281" s="103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</row>
    <row r="282" spans="1:16" s="34" customFormat="1" x14ac:dyDescent="0.25">
      <c r="A282" s="88"/>
      <c r="B282" s="103"/>
      <c r="C282" s="103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</row>
    <row r="283" spans="1:16" s="34" customFormat="1" x14ac:dyDescent="0.25">
      <c r="A283" s="88"/>
      <c r="B283" s="103"/>
      <c r="C283" s="103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</row>
    <row r="284" spans="1:16" s="34" customFormat="1" x14ac:dyDescent="0.25">
      <c r="A284" s="88"/>
      <c r="B284" s="103"/>
      <c r="C284" s="103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</row>
    <row r="285" spans="1:16" s="34" customFormat="1" x14ac:dyDescent="0.25">
      <c r="A285" s="88"/>
      <c r="B285" s="103"/>
      <c r="C285" s="103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</row>
    <row r="286" spans="1:16" s="34" customFormat="1" x14ac:dyDescent="0.25">
      <c r="A286" s="88"/>
      <c r="B286" s="103"/>
      <c r="C286" s="103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</row>
    <row r="287" spans="1:16" s="34" customFormat="1" x14ac:dyDescent="0.25">
      <c r="A287" s="88"/>
      <c r="B287" s="103"/>
      <c r="C287" s="103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</row>
    <row r="288" spans="1:16" s="34" customFormat="1" x14ac:dyDescent="0.25">
      <c r="A288" s="88"/>
      <c r="B288" s="103"/>
      <c r="C288" s="103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</row>
    <row r="289" spans="1:16" s="34" customFormat="1" x14ac:dyDescent="0.25">
      <c r="A289" s="88"/>
      <c r="B289" s="103"/>
      <c r="C289" s="103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</row>
    <row r="290" spans="1:16" s="34" customFormat="1" x14ac:dyDescent="0.25">
      <c r="A290" s="88"/>
      <c r="B290" s="103"/>
      <c r="C290" s="103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</row>
    <row r="291" spans="1:16" s="34" customFormat="1" x14ac:dyDescent="0.25">
      <c r="A291" s="88"/>
      <c r="B291" s="103"/>
      <c r="C291" s="103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</row>
    <row r="292" spans="1:16" s="34" customFormat="1" x14ac:dyDescent="0.25">
      <c r="A292" s="88"/>
      <c r="B292" s="103"/>
      <c r="C292" s="103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</row>
    <row r="293" spans="1:16" s="34" customFormat="1" x14ac:dyDescent="0.25">
      <c r="A293" s="88"/>
      <c r="B293" s="103"/>
      <c r="C293" s="103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</row>
    <row r="294" spans="1:16" s="34" customFormat="1" x14ac:dyDescent="0.25">
      <c r="A294" s="88"/>
      <c r="B294" s="103"/>
      <c r="C294" s="103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</row>
    <row r="295" spans="1:16" s="34" customFormat="1" x14ac:dyDescent="0.25">
      <c r="A295" s="88"/>
      <c r="B295" s="103"/>
      <c r="C295" s="103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</row>
    <row r="296" spans="1:16" s="34" customFormat="1" x14ac:dyDescent="0.25">
      <c r="A296" s="88"/>
      <c r="B296" s="103"/>
      <c r="C296" s="103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</row>
    <row r="297" spans="1:16" s="34" customFormat="1" x14ac:dyDescent="0.25">
      <c r="A297" s="88"/>
      <c r="B297" s="103"/>
      <c r="C297" s="103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</row>
    <row r="298" spans="1:16" s="34" customFormat="1" x14ac:dyDescent="0.25">
      <c r="A298" s="88"/>
      <c r="B298" s="103"/>
      <c r="C298" s="103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</row>
    <row r="299" spans="1:16" s="34" customFormat="1" x14ac:dyDescent="0.25">
      <c r="A299" s="88"/>
      <c r="B299" s="103"/>
      <c r="C299" s="103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</row>
    <row r="300" spans="1:16" s="34" customFormat="1" x14ac:dyDescent="0.25">
      <c r="A300" s="88"/>
      <c r="B300" s="103"/>
      <c r="C300" s="103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</row>
    <row r="301" spans="1:16" s="34" customFormat="1" x14ac:dyDescent="0.25">
      <c r="A301" s="88"/>
      <c r="B301" s="103"/>
      <c r="C301" s="103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</row>
    <row r="302" spans="1:16" s="34" customFormat="1" x14ac:dyDescent="0.25">
      <c r="A302" s="88"/>
      <c r="B302" s="103"/>
      <c r="C302" s="103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</row>
    <row r="303" spans="1:16" s="34" customFormat="1" x14ac:dyDescent="0.25">
      <c r="A303" s="88"/>
      <c r="B303" s="103"/>
      <c r="C303" s="103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</row>
    <row r="304" spans="1:16" s="34" customFormat="1" x14ac:dyDescent="0.25">
      <c r="A304" s="88"/>
      <c r="B304" s="103"/>
      <c r="C304" s="103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</row>
    <row r="305" spans="1:16" s="34" customFormat="1" x14ac:dyDescent="0.25">
      <c r="A305" s="88"/>
      <c r="B305" s="103"/>
      <c r="C305" s="103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</row>
    <row r="306" spans="1:16" s="34" customFormat="1" x14ac:dyDescent="0.25">
      <c r="A306" s="88"/>
      <c r="B306" s="103"/>
      <c r="C306" s="103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</row>
    <row r="307" spans="1:16" s="34" customFormat="1" x14ac:dyDescent="0.25">
      <c r="A307" s="88"/>
      <c r="B307" s="103"/>
      <c r="C307" s="103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</row>
    <row r="308" spans="1:16" s="34" customFormat="1" x14ac:dyDescent="0.25">
      <c r="A308" s="88"/>
      <c r="B308" s="103"/>
      <c r="C308" s="103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</row>
    <row r="309" spans="1:16" s="34" customFormat="1" x14ac:dyDescent="0.25">
      <c r="A309" s="88"/>
      <c r="B309" s="103"/>
      <c r="C309" s="103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</row>
    <row r="310" spans="1:16" s="34" customFormat="1" x14ac:dyDescent="0.25">
      <c r="A310" s="88"/>
      <c r="B310" s="103"/>
      <c r="C310" s="103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</row>
    <row r="311" spans="1:16" s="34" customFormat="1" x14ac:dyDescent="0.25">
      <c r="A311" s="88"/>
      <c r="B311" s="103"/>
      <c r="C311" s="103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</row>
    <row r="312" spans="1:16" s="34" customFormat="1" x14ac:dyDescent="0.25">
      <c r="A312" s="88"/>
      <c r="B312" s="103"/>
      <c r="C312" s="103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</row>
    <row r="313" spans="1:16" s="34" customFormat="1" x14ac:dyDescent="0.25">
      <c r="A313" s="88"/>
      <c r="B313" s="103"/>
      <c r="C313" s="103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</row>
    <row r="314" spans="1:16" s="34" customFormat="1" x14ac:dyDescent="0.25">
      <c r="A314" s="88"/>
      <c r="B314" s="103"/>
      <c r="C314" s="103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</row>
    <row r="315" spans="1:16" s="34" customFormat="1" x14ac:dyDescent="0.25">
      <c r="A315" s="88"/>
      <c r="B315" s="103"/>
      <c r="C315" s="103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</row>
    <row r="316" spans="1:16" s="34" customFormat="1" x14ac:dyDescent="0.25">
      <c r="A316" s="88"/>
      <c r="B316" s="103"/>
      <c r="C316" s="103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</row>
    <row r="317" spans="1:16" s="34" customFormat="1" x14ac:dyDescent="0.25">
      <c r="A317" s="88"/>
      <c r="B317" s="103"/>
      <c r="C317" s="103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</row>
    <row r="318" spans="1:16" s="34" customFormat="1" x14ac:dyDescent="0.25">
      <c r="A318" s="88"/>
      <c r="B318" s="103"/>
      <c r="C318" s="103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</row>
    <row r="319" spans="1:16" s="34" customFormat="1" x14ac:dyDescent="0.25">
      <c r="A319" s="88"/>
      <c r="B319" s="103"/>
      <c r="C319" s="103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</row>
    <row r="320" spans="1:16" s="34" customFormat="1" x14ac:dyDescent="0.25">
      <c r="A320" s="88"/>
      <c r="B320" s="103"/>
      <c r="C320" s="103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</row>
    <row r="321" spans="1:16" s="34" customFormat="1" x14ac:dyDescent="0.25">
      <c r="A321" s="88"/>
      <c r="B321" s="103"/>
      <c r="C321" s="103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</row>
    <row r="322" spans="1:16" s="34" customFormat="1" x14ac:dyDescent="0.25">
      <c r="A322" s="88"/>
      <c r="B322" s="103"/>
      <c r="C322" s="103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</row>
    <row r="323" spans="1:16" s="34" customFormat="1" x14ac:dyDescent="0.25">
      <c r="A323" s="88"/>
      <c r="B323" s="103"/>
      <c r="C323" s="103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</row>
    <row r="324" spans="1:16" s="34" customFormat="1" x14ac:dyDescent="0.25">
      <c r="A324" s="88"/>
      <c r="B324" s="103"/>
      <c r="C324" s="103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</row>
    <row r="325" spans="1:16" s="34" customFormat="1" x14ac:dyDescent="0.25">
      <c r="A325" s="88"/>
      <c r="B325" s="103"/>
      <c r="C325" s="103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</row>
    <row r="326" spans="1:16" s="34" customFormat="1" x14ac:dyDescent="0.25">
      <c r="A326" s="88"/>
      <c r="B326" s="103"/>
      <c r="C326" s="103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</row>
    <row r="327" spans="1:16" s="34" customFormat="1" x14ac:dyDescent="0.25">
      <c r="A327" s="88"/>
      <c r="B327" s="103"/>
      <c r="C327" s="103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</row>
    <row r="328" spans="1:16" s="34" customFormat="1" x14ac:dyDescent="0.25">
      <c r="A328" s="88"/>
      <c r="B328" s="103"/>
      <c r="C328" s="103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</row>
    <row r="329" spans="1:16" s="34" customFormat="1" x14ac:dyDescent="0.25">
      <c r="A329" s="88"/>
      <c r="B329" s="103"/>
      <c r="C329" s="103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</row>
    <row r="330" spans="1:16" s="34" customFormat="1" x14ac:dyDescent="0.25">
      <c r="A330" s="88"/>
      <c r="B330" s="103"/>
      <c r="C330" s="103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</row>
    <row r="331" spans="1:16" s="34" customFormat="1" x14ac:dyDescent="0.25">
      <c r="A331" s="88"/>
      <c r="B331" s="103"/>
      <c r="C331" s="103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</row>
    <row r="332" spans="1:16" s="34" customFormat="1" x14ac:dyDescent="0.25">
      <c r="A332" s="88"/>
      <c r="B332" s="103"/>
      <c r="C332" s="103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</row>
    <row r="333" spans="1:16" s="34" customFormat="1" x14ac:dyDescent="0.25">
      <c r="A333" s="88"/>
      <c r="B333" s="103"/>
      <c r="C333" s="103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</row>
    <row r="334" spans="1:16" s="34" customFormat="1" x14ac:dyDescent="0.25">
      <c r="A334" s="88"/>
      <c r="B334" s="103"/>
      <c r="C334" s="103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</row>
    <row r="335" spans="1:16" s="34" customFormat="1" x14ac:dyDescent="0.25">
      <c r="A335" s="88"/>
      <c r="B335" s="103"/>
      <c r="C335" s="103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</row>
    <row r="336" spans="1:16" s="34" customFormat="1" x14ac:dyDescent="0.25">
      <c r="A336" s="88"/>
      <c r="B336" s="103"/>
      <c r="C336" s="103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</row>
    <row r="337" spans="1:16" s="34" customFormat="1" x14ac:dyDescent="0.25">
      <c r="A337" s="88"/>
      <c r="B337" s="103"/>
      <c r="C337" s="103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</row>
    <row r="338" spans="1:16" s="34" customFormat="1" x14ac:dyDescent="0.25">
      <c r="A338" s="88"/>
      <c r="B338" s="103"/>
      <c r="C338" s="103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</row>
    <row r="339" spans="1:16" s="34" customFormat="1" x14ac:dyDescent="0.25">
      <c r="A339" s="88"/>
      <c r="B339" s="103"/>
      <c r="C339" s="103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</row>
    <row r="340" spans="1:16" s="34" customFormat="1" x14ac:dyDescent="0.25">
      <c r="A340" s="88"/>
      <c r="B340" s="103"/>
      <c r="C340" s="103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</row>
    <row r="341" spans="1:16" s="34" customFormat="1" x14ac:dyDescent="0.25">
      <c r="A341" s="88"/>
      <c r="B341" s="103"/>
      <c r="C341" s="103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</row>
    <row r="342" spans="1:16" s="34" customFormat="1" x14ac:dyDescent="0.25">
      <c r="A342" s="88"/>
      <c r="B342" s="103"/>
      <c r="C342" s="103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</row>
    <row r="343" spans="1:16" s="34" customFormat="1" x14ac:dyDescent="0.25">
      <c r="A343" s="88"/>
      <c r="B343" s="103"/>
      <c r="C343" s="103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</row>
    <row r="344" spans="1:16" s="34" customFormat="1" x14ac:dyDescent="0.25">
      <c r="A344" s="88"/>
      <c r="B344" s="103"/>
      <c r="C344" s="103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</row>
    <row r="345" spans="1:16" s="34" customFormat="1" x14ac:dyDescent="0.25">
      <c r="A345" s="88"/>
      <c r="B345" s="103"/>
      <c r="C345" s="103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</row>
    <row r="346" spans="1:16" s="34" customFormat="1" x14ac:dyDescent="0.25">
      <c r="A346" s="88"/>
      <c r="B346" s="103"/>
      <c r="C346" s="103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1:16" s="34" customFormat="1" x14ac:dyDescent="0.25">
      <c r="A347" s="88"/>
      <c r="B347" s="103"/>
      <c r="C347" s="103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</row>
    <row r="348" spans="1:16" s="34" customFormat="1" x14ac:dyDescent="0.25">
      <c r="A348" s="88"/>
      <c r="B348" s="103"/>
      <c r="C348" s="103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</row>
    <row r="349" spans="1:16" s="34" customFormat="1" x14ac:dyDescent="0.25">
      <c r="A349" s="88"/>
      <c r="B349" s="103"/>
      <c r="C349" s="103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</row>
    <row r="350" spans="1:16" s="34" customFormat="1" x14ac:dyDescent="0.25">
      <c r="A350" s="88"/>
      <c r="B350" s="103"/>
      <c r="C350" s="103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</row>
    <row r="351" spans="1:16" s="34" customFormat="1" x14ac:dyDescent="0.25">
      <c r="A351" s="88"/>
      <c r="B351" s="103"/>
      <c r="C351" s="103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</row>
    <row r="352" spans="1:16" s="34" customFormat="1" x14ac:dyDescent="0.25">
      <c r="A352" s="88"/>
      <c r="B352" s="103"/>
      <c r="C352" s="103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</row>
    <row r="353" spans="1:16" s="34" customFormat="1" x14ac:dyDescent="0.25">
      <c r="A353" s="88"/>
      <c r="B353" s="103"/>
      <c r="C353" s="103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</row>
    <row r="354" spans="1:16" s="34" customFormat="1" x14ac:dyDescent="0.25">
      <c r="A354" s="88"/>
      <c r="B354" s="103"/>
      <c r="C354" s="103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</row>
    <row r="355" spans="1:16" s="34" customFormat="1" x14ac:dyDescent="0.25">
      <c r="A355" s="88"/>
      <c r="B355" s="103"/>
      <c r="C355" s="103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</row>
    <row r="356" spans="1:16" s="34" customFormat="1" x14ac:dyDescent="0.25">
      <c r="A356" s="88"/>
      <c r="B356" s="103"/>
      <c r="C356" s="103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</row>
    <row r="357" spans="1:16" s="34" customFormat="1" x14ac:dyDescent="0.25">
      <c r="A357" s="88"/>
      <c r="B357" s="103"/>
      <c r="C357" s="103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</row>
    <row r="358" spans="1:16" s="34" customFormat="1" x14ac:dyDescent="0.25">
      <c r="A358" s="88"/>
      <c r="B358" s="103"/>
      <c r="C358" s="103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</row>
    <row r="359" spans="1:16" s="34" customFormat="1" x14ac:dyDescent="0.25">
      <c r="A359" s="88"/>
      <c r="B359" s="103"/>
      <c r="C359" s="103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</row>
    <row r="360" spans="1:16" s="34" customFormat="1" x14ac:dyDescent="0.25">
      <c r="A360" s="88"/>
      <c r="B360" s="103"/>
      <c r="C360" s="103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</row>
    <row r="361" spans="1:16" s="34" customFormat="1" x14ac:dyDescent="0.25">
      <c r="A361" s="88"/>
      <c r="B361" s="103"/>
      <c r="C361" s="103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</row>
    <row r="362" spans="1:16" s="34" customFormat="1" x14ac:dyDescent="0.25">
      <c r="A362" s="88"/>
      <c r="B362" s="103"/>
      <c r="C362" s="103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</row>
    <row r="363" spans="1:16" s="34" customFormat="1" x14ac:dyDescent="0.25">
      <c r="A363" s="88"/>
      <c r="B363" s="103"/>
      <c r="C363" s="103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</row>
    <row r="364" spans="1:16" s="34" customFormat="1" x14ac:dyDescent="0.25">
      <c r="A364" s="88"/>
      <c r="B364" s="103"/>
      <c r="C364" s="103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</row>
    <row r="365" spans="1:16" s="34" customFormat="1" x14ac:dyDescent="0.25">
      <c r="A365" s="88"/>
      <c r="B365" s="103"/>
      <c r="C365" s="103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</row>
    <row r="366" spans="1:16" s="34" customFormat="1" x14ac:dyDescent="0.25">
      <c r="A366" s="88"/>
      <c r="B366" s="103"/>
      <c r="C366" s="103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</row>
    <row r="367" spans="1:16" s="34" customFormat="1" x14ac:dyDescent="0.25">
      <c r="A367" s="88"/>
      <c r="B367" s="103"/>
      <c r="C367" s="103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</row>
    <row r="368" spans="1:16" s="34" customFormat="1" x14ac:dyDescent="0.25">
      <c r="A368" s="88"/>
      <c r="B368" s="103"/>
      <c r="C368" s="103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</row>
    <row r="369" spans="1:16" s="34" customFormat="1" x14ac:dyDescent="0.25">
      <c r="A369" s="88"/>
      <c r="B369" s="103"/>
      <c r="C369" s="103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</row>
    <row r="370" spans="1:16" s="34" customFormat="1" x14ac:dyDescent="0.25">
      <c r="A370" s="88"/>
      <c r="B370" s="103"/>
      <c r="C370" s="103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</row>
    <row r="371" spans="1:16" s="34" customFormat="1" x14ac:dyDescent="0.25">
      <c r="A371" s="88"/>
      <c r="B371" s="103"/>
      <c r="C371" s="103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</row>
    <row r="372" spans="1:16" s="34" customFormat="1" x14ac:dyDescent="0.25">
      <c r="A372" s="88"/>
      <c r="B372" s="103"/>
      <c r="C372" s="103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</row>
    <row r="373" spans="1:16" s="34" customFormat="1" x14ac:dyDescent="0.25">
      <c r="A373" s="88"/>
      <c r="B373" s="103"/>
      <c r="C373" s="103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</row>
    <row r="374" spans="1:16" s="34" customFormat="1" x14ac:dyDescent="0.25">
      <c r="A374" s="88"/>
      <c r="B374" s="103"/>
      <c r="C374" s="103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</row>
    <row r="375" spans="1:16" s="34" customFormat="1" x14ac:dyDescent="0.25">
      <c r="A375" s="88"/>
      <c r="B375" s="103"/>
      <c r="C375" s="103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</row>
    <row r="376" spans="1:16" s="34" customFormat="1" x14ac:dyDescent="0.25">
      <c r="A376" s="88"/>
      <c r="B376" s="103"/>
      <c r="C376" s="103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</row>
    <row r="377" spans="1:16" s="34" customFormat="1" x14ac:dyDescent="0.25">
      <c r="A377" s="88"/>
      <c r="B377" s="103"/>
      <c r="C377" s="103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</row>
    <row r="378" spans="1:16" s="34" customFormat="1" x14ac:dyDescent="0.25">
      <c r="A378" s="88"/>
      <c r="B378" s="103"/>
      <c r="C378" s="103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</row>
    <row r="379" spans="1:16" s="34" customFormat="1" x14ac:dyDescent="0.25">
      <c r="A379" s="88"/>
      <c r="B379" s="103"/>
      <c r="C379" s="103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</row>
    <row r="380" spans="1:16" s="34" customFormat="1" x14ac:dyDescent="0.25">
      <c r="A380" s="88"/>
      <c r="B380" s="103"/>
      <c r="C380" s="103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</row>
    <row r="381" spans="1:16" s="34" customFormat="1" x14ac:dyDescent="0.25">
      <c r="A381" s="88"/>
      <c r="B381" s="103"/>
      <c r="C381" s="103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</row>
    <row r="382" spans="1:16" s="34" customFormat="1" x14ac:dyDescent="0.25">
      <c r="A382" s="88"/>
      <c r="B382" s="103"/>
      <c r="C382" s="103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</row>
    <row r="383" spans="1:16" s="34" customFormat="1" x14ac:dyDescent="0.25">
      <c r="A383" s="88"/>
      <c r="B383" s="103"/>
      <c r="C383" s="103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</row>
    <row r="384" spans="1:16" s="34" customFormat="1" x14ac:dyDescent="0.25">
      <c r="A384" s="88"/>
      <c r="B384" s="103"/>
      <c r="C384" s="103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</row>
    <row r="385" spans="1:16" s="34" customFormat="1" x14ac:dyDescent="0.25">
      <c r="A385" s="88"/>
      <c r="B385" s="103"/>
      <c r="C385" s="103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</row>
    <row r="386" spans="1:16" s="34" customFormat="1" x14ac:dyDescent="0.25">
      <c r="A386" s="88"/>
      <c r="B386" s="103"/>
      <c r="C386" s="103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</row>
    <row r="387" spans="1:16" s="34" customFormat="1" x14ac:dyDescent="0.25">
      <c r="A387" s="88"/>
      <c r="B387" s="103"/>
      <c r="C387" s="103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</row>
    <row r="388" spans="1:16" s="34" customFormat="1" x14ac:dyDescent="0.25">
      <c r="A388" s="88"/>
      <c r="B388" s="103"/>
      <c r="C388" s="103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</row>
    <row r="389" spans="1:16" s="34" customFormat="1" x14ac:dyDescent="0.25">
      <c r="A389" s="88"/>
      <c r="B389" s="103"/>
      <c r="C389" s="103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</row>
    <row r="390" spans="1:16" s="34" customFormat="1" x14ac:dyDescent="0.25">
      <c r="A390" s="88"/>
      <c r="B390" s="103"/>
      <c r="C390" s="103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</row>
    <row r="391" spans="1:16" s="34" customFormat="1" x14ac:dyDescent="0.25">
      <c r="A391" s="88"/>
      <c r="B391" s="103"/>
      <c r="C391" s="103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</row>
    <row r="392" spans="1:16" s="34" customFormat="1" x14ac:dyDescent="0.25">
      <c r="A392" s="88"/>
      <c r="B392" s="103"/>
      <c r="C392" s="103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</row>
    <row r="393" spans="1:16" s="34" customFormat="1" x14ac:dyDescent="0.25">
      <c r="A393" s="88"/>
      <c r="B393" s="103"/>
      <c r="C393" s="103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</row>
    <row r="394" spans="1:16" s="34" customFormat="1" x14ac:dyDescent="0.25">
      <c r="A394" s="88"/>
      <c r="B394" s="103"/>
      <c r="C394" s="103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</row>
    <row r="395" spans="1:16" s="34" customFormat="1" x14ac:dyDescent="0.25">
      <c r="A395" s="88"/>
      <c r="B395" s="103"/>
      <c r="C395" s="103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</row>
    <row r="396" spans="1:16" s="34" customFormat="1" x14ac:dyDescent="0.25">
      <c r="A396" s="88"/>
      <c r="B396" s="103"/>
      <c r="C396" s="103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</row>
    <row r="397" spans="1:16" s="34" customFormat="1" x14ac:dyDescent="0.25">
      <c r="A397" s="88"/>
      <c r="B397" s="103"/>
      <c r="C397" s="103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</row>
    <row r="398" spans="1:16" s="34" customFormat="1" x14ac:dyDescent="0.25">
      <c r="A398" s="88"/>
      <c r="B398" s="103"/>
      <c r="C398" s="103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</row>
    <row r="399" spans="1:16" s="34" customFormat="1" x14ac:dyDescent="0.25">
      <c r="A399" s="88"/>
      <c r="B399" s="103"/>
      <c r="C399" s="103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</row>
    <row r="400" spans="1:16" s="34" customFormat="1" x14ac:dyDescent="0.25">
      <c r="A400" s="88"/>
      <c r="B400" s="103"/>
      <c r="C400" s="103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</row>
    <row r="401" spans="1:16" s="34" customFormat="1" x14ac:dyDescent="0.25">
      <c r="A401" s="88"/>
      <c r="B401" s="103"/>
      <c r="C401" s="103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</row>
    <row r="402" spans="1:16" s="34" customFormat="1" x14ac:dyDescent="0.25">
      <c r="A402" s="88"/>
      <c r="B402" s="103"/>
      <c r="C402" s="103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</row>
    <row r="403" spans="1:16" s="34" customFormat="1" x14ac:dyDescent="0.25">
      <c r="A403" s="88"/>
      <c r="B403" s="103"/>
      <c r="C403" s="103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</row>
    <row r="404" spans="1:16" s="34" customFormat="1" x14ac:dyDescent="0.25">
      <c r="A404" s="88"/>
      <c r="B404" s="103"/>
      <c r="C404" s="103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</row>
    <row r="405" spans="1:16" s="34" customFormat="1" x14ac:dyDescent="0.25">
      <c r="A405" s="88"/>
      <c r="B405" s="103"/>
      <c r="C405" s="103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</row>
    <row r="406" spans="1:16" s="34" customFormat="1" x14ac:dyDescent="0.25">
      <c r="A406" s="88"/>
      <c r="B406" s="103"/>
      <c r="C406" s="103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</row>
    <row r="407" spans="1:16" s="34" customFormat="1" x14ac:dyDescent="0.25">
      <c r="A407" s="88"/>
      <c r="B407" s="103"/>
      <c r="C407" s="103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</row>
    <row r="408" spans="1:16" s="34" customFormat="1" x14ac:dyDescent="0.25">
      <c r="A408" s="88"/>
      <c r="B408" s="103"/>
      <c r="C408" s="103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</row>
    <row r="409" spans="1:16" s="34" customFormat="1" x14ac:dyDescent="0.25">
      <c r="A409" s="88"/>
      <c r="B409" s="103"/>
      <c r="C409" s="103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</row>
    <row r="410" spans="1:16" s="34" customFormat="1" x14ac:dyDescent="0.25">
      <c r="A410" s="88"/>
      <c r="B410" s="103"/>
      <c r="C410" s="103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</row>
    <row r="411" spans="1:16" s="34" customFormat="1" x14ac:dyDescent="0.25">
      <c r="A411" s="88"/>
      <c r="B411" s="103"/>
      <c r="C411" s="103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</row>
    <row r="412" spans="1:16" s="34" customFormat="1" x14ac:dyDescent="0.25">
      <c r="A412" s="88"/>
      <c r="B412" s="103"/>
      <c r="C412" s="103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</row>
    <row r="413" spans="1:16" s="34" customFormat="1" x14ac:dyDescent="0.25">
      <c r="A413" s="88"/>
      <c r="B413" s="103"/>
      <c r="C413" s="103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</row>
    <row r="414" spans="1:16" s="34" customFormat="1" x14ac:dyDescent="0.25">
      <c r="A414" s="88"/>
      <c r="B414" s="103"/>
      <c r="C414" s="103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</row>
    <row r="415" spans="1:16" s="34" customFormat="1" x14ac:dyDescent="0.25">
      <c r="A415" s="88"/>
      <c r="B415" s="103"/>
      <c r="C415" s="103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</row>
    <row r="416" spans="1:16" s="34" customFormat="1" x14ac:dyDescent="0.25">
      <c r="A416" s="88"/>
      <c r="B416" s="103"/>
      <c r="C416" s="103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</row>
    <row r="417" spans="1:16" s="34" customFormat="1" x14ac:dyDescent="0.25">
      <c r="A417" s="88"/>
      <c r="B417" s="103"/>
      <c r="C417" s="103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</row>
    <row r="418" spans="1:16" s="34" customFormat="1" x14ac:dyDescent="0.25">
      <c r="A418" s="88"/>
      <c r="B418" s="103"/>
      <c r="C418" s="103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</row>
    <row r="419" spans="1:16" s="34" customFormat="1" x14ac:dyDescent="0.25">
      <c r="A419" s="88"/>
      <c r="B419" s="103"/>
      <c r="C419" s="103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</row>
    <row r="420" spans="1:16" s="34" customFormat="1" x14ac:dyDescent="0.25">
      <c r="A420" s="88"/>
      <c r="B420" s="103"/>
      <c r="C420" s="103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</row>
    <row r="421" spans="1:16" s="34" customFormat="1" x14ac:dyDescent="0.25">
      <c r="A421" s="88"/>
      <c r="B421" s="103"/>
      <c r="C421" s="103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</row>
    <row r="422" spans="1:16" s="34" customFormat="1" x14ac:dyDescent="0.25">
      <c r="A422" s="88"/>
      <c r="B422" s="103"/>
      <c r="C422" s="103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</row>
    <row r="423" spans="1:16" s="34" customFormat="1" x14ac:dyDescent="0.25">
      <c r="A423" s="88"/>
      <c r="B423" s="103"/>
      <c r="C423" s="103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</row>
    <row r="424" spans="1:16" s="34" customFormat="1" x14ac:dyDescent="0.25">
      <c r="A424" s="88"/>
      <c r="B424" s="103"/>
      <c r="C424" s="103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</row>
    <row r="425" spans="1:16" s="34" customFormat="1" x14ac:dyDescent="0.25">
      <c r="A425" s="88"/>
      <c r="B425" s="103"/>
      <c r="C425" s="103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</row>
    <row r="426" spans="1:16" s="34" customFormat="1" x14ac:dyDescent="0.25">
      <c r="A426" s="88"/>
      <c r="B426" s="103"/>
      <c r="C426" s="103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</row>
    <row r="427" spans="1:16" s="34" customFormat="1" x14ac:dyDescent="0.25">
      <c r="A427" s="88"/>
      <c r="B427" s="103"/>
      <c r="C427" s="103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</row>
    <row r="428" spans="1:16" s="34" customFormat="1" x14ac:dyDescent="0.25">
      <c r="A428" s="88"/>
      <c r="B428" s="103"/>
      <c r="C428" s="103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</row>
    <row r="429" spans="1:16" s="34" customFormat="1" x14ac:dyDescent="0.25">
      <c r="A429" s="88"/>
      <c r="B429" s="103"/>
      <c r="C429" s="103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</row>
    <row r="430" spans="1:16" s="34" customFormat="1" x14ac:dyDescent="0.25">
      <c r="A430" s="88"/>
      <c r="B430" s="103"/>
      <c r="C430" s="103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</row>
    <row r="431" spans="1:16" s="34" customFormat="1" x14ac:dyDescent="0.25">
      <c r="A431" s="88"/>
      <c r="B431" s="103"/>
      <c r="C431" s="103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</row>
    <row r="432" spans="1:16" s="34" customFormat="1" x14ac:dyDescent="0.25">
      <c r="A432" s="88"/>
      <c r="B432" s="103"/>
      <c r="C432" s="103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</row>
    <row r="433" spans="1:16" s="34" customFormat="1" x14ac:dyDescent="0.25">
      <c r="A433" s="88"/>
      <c r="B433" s="103"/>
      <c r="C433" s="103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</row>
    <row r="434" spans="1:16" s="34" customFormat="1" x14ac:dyDescent="0.25">
      <c r="A434" s="88"/>
      <c r="B434" s="103"/>
      <c r="C434" s="103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</row>
    <row r="435" spans="1:16" s="34" customFormat="1" x14ac:dyDescent="0.25">
      <c r="A435" s="88"/>
      <c r="B435" s="103"/>
      <c r="C435" s="103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</row>
    <row r="436" spans="1:16" s="34" customFormat="1" x14ac:dyDescent="0.25">
      <c r="A436" s="88"/>
      <c r="B436" s="103"/>
      <c r="C436" s="103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</row>
    <row r="437" spans="1:16" s="34" customFormat="1" x14ac:dyDescent="0.25">
      <c r="A437" s="88"/>
      <c r="B437" s="103"/>
      <c r="C437" s="103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</row>
    <row r="438" spans="1:16" s="34" customFormat="1" x14ac:dyDescent="0.25">
      <c r="A438" s="88"/>
      <c r="B438" s="103"/>
      <c r="C438" s="103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</row>
    <row r="439" spans="1:16" s="34" customFormat="1" x14ac:dyDescent="0.25">
      <c r="A439" s="88"/>
      <c r="B439" s="103"/>
      <c r="C439" s="103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</row>
    <row r="440" spans="1:16" s="34" customFormat="1" x14ac:dyDescent="0.25">
      <c r="A440" s="88"/>
      <c r="B440" s="103"/>
      <c r="C440" s="103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</row>
    <row r="441" spans="1:16" s="34" customFormat="1" x14ac:dyDescent="0.25">
      <c r="A441" s="88"/>
      <c r="B441" s="103"/>
      <c r="C441" s="103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</row>
    <row r="442" spans="1:16" s="34" customFormat="1" x14ac:dyDescent="0.25">
      <c r="A442" s="88"/>
      <c r="B442" s="103"/>
      <c r="C442" s="103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</row>
    <row r="443" spans="1:16" s="34" customFormat="1" x14ac:dyDescent="0.25">
      <c r="A443" s="88"/>
      <c r="B443" s="103"/>
      <c r="C443" s="103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</row>
    <row r="444" spans="1:16" s="34" customFormat="1" x14ac:dyDescent="0.25">
      <c r="A444" s="88"/>
      <c r="B444" s="103"/>
      <c r="C444" s="103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</row>
    <row r="445" spans="1:16" s="34" customFormat="1" x14ac:dyDescent="0.25">
      <c r="A445" s="88"/>
      <c r="B445" s="103"/>
      <c r="C445" s="103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</row>
    <row r="446" spans="1:16" s="34" customFormat="1" x14ac:dyDescent="0.25">
      <c r="A446" s="88"/>
      <c r="B446" s="103"/>
      <c r="C446" s="103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</row>
    <row r="447" spans="1:16" s="34" customFormat="1" x14ac:dyDescent="0.25">
      <c r="A447" s="88"/>
      <c r="B447" s="103"/>
      <c r="C447" s="103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</row>
    <row r="448" spans="1:16" s="34" customFormat="1" x14ac:dyDescent="0.25">
      <c r="A448" s="88"/>
      <c r="B448" s="103"/>
      <c r="C448" s="103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</row>
    <row r="449" spans="1:16" s="34" customFormat="1" x14ac:dyDescent="0.25">
      <c r="A449" s="88"/>
      <c r="B449" s="103"/>
      <c r="C449" s="103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</row>
    <row r="450" spans="1:16" s="34" customFormat="1" x14ac:dyDescent="0.25">
      <c r="A450" s="88"/>
      <c r="B450" s="103"/>
      <c r="C450" s="103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</row>
    <row r="451" spans="1:16" s="34" customFormat="1" x14ac:dyDescent="0.25">
      <c r="A451" s="88"/>
      <c r="B451" s="103"/>
      <c r="C451" s="103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</row>
    <row r="452" spans="1:16" s="34" customFormat="1" x14ac:dyDescent="0.25">
      <c r="A452" s="88"/>
      <c r="B452" s="103"/>
      <c r="C452" s="103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</row>
    <row r="453" spans="1:16" s="34" customFormat="1" x14ac:dyDescent="0.25">
      <c r="A453" s="88"/>
      <c r="B453" s="103"/>
      <c r="C453" s="103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</row>
    <row r="454" spans="1:16" s="34" customFormat="1" x14ac:dyDescent="0.25">
      <c r="A454" s="88"/>
      <c r="B454" s="103"/>
      <c r="C454" s="103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</row>
    <row r="455" spans="1:16" s="34" customFormat="1" x14ac:dyDescent="0.25">
      <c r="A455" s="88"/>
      <c r="B455" s="103"/>
      <c r="C455" s="103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</row>
    <row r="456" spans="1:16" s="34" customFormat="1" x14ac:dyDescent="0.25">
      <c r="A456" s="88"/>
      <c r="B456" s="103"/>
      <c r="C456" s="103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</row>
    <row r="457" spans="1:16" s="34" customFormat="1" x14ac:dyDescent="0.25">
      <c r="A457" s="88"/>
      <c r="B457" s="103"/>
      <c r="C457" s="103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</row>
    <row r="458" spans="1:16" s="34" customFormat="1" x14ac:dyDescent="0.25">
      <c r="A458" s="88"/>
      <c r="B458" s="103"/>
      <c r="C458" s="103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</row>
    <row r="459" spans="1:16" s="34" customFormat="1" x14ac:dyDescent="0.25">
      <c r="A459" s="88"/>
      <c r="B459" s="103"/>
      <c r="C459" s="103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</row>
    <row r="460" spans="1:16" s="34" customFormat="1" x14ac:dyDescent="0.25">
      <c r="A460" s="88"/>
      <c r="B460" s="103"/>
      <c r="C460" s="103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</row>
    <row r="461" spans="1:16" s="34" customFormat="1" x14ac:dyDescent="0.25">
      <c r="A461" s="88"/>
      <c r="B461" s="103"/>
      <c r="C461" s="103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</row>
    <row r="462" spans="1:16" s="34" customFormat="1" x14ac:dyDescent="0.25">
      <c r="A462" s="88"/>
      <c r="B462" s="103"/>
      <c r="C462" s="103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</row>
    <row r="463" spans="1:16" s="34" customFormat="1" x14ac:dyDescent="0.25">
      <c r="A463" s="88"/>
      <c r="B463" s="103"/>
      <c r="C463" s="103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</row>
    <row r="464" spans="1:16" s="34" customFormat="1" x14ac:dyDescent="0.25">
      <c r="A464" s="88"/>
      <c r="B464" s="103"/>
      <c r="C464" s="103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</row>
    <row r="465" spans="1:16" s="34" customFormat="1" x14ac:dyDescent="0.25">
      <c r="A465" s="88"/>
      <c r="B465" s="103"/>
      <c r="C465" s="103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</row>
    <row r="466" spans="1:16" s="34" customFormat="1" x14ac:dyDescent="0.25">
      <c r="A466" s="88"/>
      <c r="B466" s="103"/>
      <c r="C466" s="103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</row>
    <row r="467" spans="1:16" s="34" customFormat="1" x14ac:dyDescent="0.25">
      <c r="A467" s="88"/>
      <c r="B467" s="103"/>
      <c r="C467" s="103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</row>
    <row r="468" spans="1:16" s="34" customFormat="1" x14ac:dyDescent="0.25">
      <c r="A468" s="88"/>
      <c r="B468" s="103"/>
      <c r="C468" s="103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</row>
    <row r="469" spans="1:16" s="34" customFormat="1" x14ac:dyDescent="0.25">
      <c r="A469" s="88"/>
      <c r="B469" s="103"/>
      <c r="C469" s="103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</row>
    <row r="470" spans="1:16" s="34" customFormat="1" x14ac:dyDescent="0.25">
      <c r="A470" s="88"/>
      <c r="B470" s="103"/>
      <c r="C470" s="103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</row>
    <row r="471" spans="1:16" s="34" customFormat="1" x14ac:dyDescent="0.25">
      <c r="A471" s="88"/>
      <c r="B471" s="103"/>
      <c r="C471" s="103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</row>
    <row r="472" spans="1:16" s="34" customFormat="1" x14ac:dyDescent="0.25">
      <c r="A472" s="88"/>
      <c r="B472" s="103"/>
      <c r="C472" s="103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</row>
    <row r="473" spans="1:16" s="34" customFormat="1" x14ac:dyDescent="0.25">
      <c r="A473" s="88"/>
      <c r="B473" s="103"/>
      <c r="C473" s="103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</row>
    <row r="474" spans="1:16" s="34" customFormat="1" x14ac:dyDescent="0.25">
      <c r="A474" s="88"/>
      <c r="B474" s="103"/>
      <c r="C474" s="103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</row>
    <row r="475" spans="1:16" s="34" customFormat="1" x14ac:dyDescent="0.25">
      <c r="A475" s="88"/>
      <c r="B475" s="103"/>
      <c r="C475" s="103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</row>
    <row r="476" spans="1:16" s="34" customFormat="1" x14ac:dyDescent="0.25">
      <c r="A476" s="88"/>
      <c r="B476" s="103"/>
      <c r="C476" s="103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</row>
    <row r="477" spans="1:16" s="34" customFormat="1" x14ac:dyDescent="0.25">
      <c r="A477" s="88"/>
      <c r="B477" s="103"/>
      <c r="C477" s="103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</row>
    <row r="478" spans="1:16" s="34" customFormat="1" x14ac:dyDescent="0.25">
      <c r="A478" s="88"/>
      <c r="B478" s="103"/>
      <c r="C478" s="103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</row>
    <row r="479" spans="1:16" s="34" customFormat="1" x14ac:dyDescent="0.25">
      <c r="A479" s="88"/>
      <c r="B479" s="103"/>
      <c r="C479" s="103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</row>
    <row r="480" spans="1:16" s="34" customFormat="1" x14ac:dyDescent="0.25">
      <c r="A480" s="88"/>
      <c r="B480" s="103"/>
      <c r="C480" s="103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</row>
    <row r="481" spans="1:16" s="34" customFormat="1" x14ac:dyDescent="0.25">
      <c r="A481" s="88"/>
      <c r="B481" s="103"/>
      <c r="C481" s="103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</row>
    <row r="482" spans="1:16" s="34" customFormat="1" x14ac:dyDescent="0.25">
      <c r="A482" s="88"/>
      <c r="B482" s="103"/>
      <c r="C482" s="103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</row>
    <row r="483" spans="1:16" s="34" customFormat="1" x14ac:dyDescent="0.25">
      <c r="A483" s="88"/>
      <c r="B483" s="103"/>
      <c r="C483" s="103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</row>
    <row r="484" spans="1:16" s="34" customFormat="1" x14ac:dyDescent="0.25">
      <c r="A484" s="88"/>
      <c r="B484" s="103"/>
      <c r="C484" s="103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</row>
    <row r="485" spans="1:16" s="34" customFormat="1" x14ac:dyDescent="0.25">
      <c r="A485" s="88"/>
      <c r="B485" s="103"/>
      <c r="C485" s="103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</row>
    <row r="486" spans="1:16" s="34" customFormat="1" x14ac:dyDescent="0.25">
      <c r="A486" s="88"/>
      <c r="B486" s="103"/>
      <c r="C486" s="103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</row>
    <row r="487" spans="1:16" s="34" customFormat="1" x14ac:dyDescent="0.25">
      <c r="A487" s="88"/>
      <c r="B487" s="103"/>
      <c r="C487" s="103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</row>
    <row r="488" spans="1:16" s="34" customFormat="1" x14ac:dyDescent="0.25">
      <c r="A488" s="88"/>
      <c r="B488" s="103"/>
      <c r="C488" s="103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</row>
    <row r="489" spans="1:16" s="34" customFormat="1" x14ac:dyDescent="0.25">
      <c r="A489" s="88"/>
      <c r="B489" s="103"/>
      <c r="C489" s="103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</row>
    <row r="490" spans="1:16" s="34" customFormat="1" x14ac:dyDescent="0.25">
      <c r="A490" s="88"/>
      <c r="B490" s="103"/>
      <c r="C490" s="103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</row>
    <row r="491" spans="1:16" s="34" customFormat="1" x14ac:dyDescent="0.25">
      <c r="A491" s="88"/>
      <c r="B491" s="103"/>
      <c r="C491" s="103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</row>
    <row r="492" spans="1:16" s="34" customFormat="1" x14ac:dyDescent="0.25">
      <c r="A492" s="88"/>
      <c r="B492" s="103"/>
      <c r="C492" s="103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</row>
    <row r="493" spans="1:16" s="34" customFormat="1" x14ac:dyDescent="0.25">
      <c r="A493" s="88"/>
      <c r="B493" s="103"/>
      <c r="C493" s="103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</row>
    <row r="494" spans="1:16" s="34" customFormat="1" x14ac:dyDescent="0.25">
      <c r="A494" s="88"/>
      <c r="B494" s="103"/>
      <c r="C494" s="103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</row>
    <row r="495" spans="1:16" s="34" customFormat="1" x14ac:dyDescent="0.25">
      <c r="A495" s="88"/>
      <c r="B495" s="103"/>
      <c r="C495" s="103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</row>
    <row r="496" spans="1:16" s="34" customFormat="1" x14ac:dyDescent="0.25">
      <c r="A496" s="88"/>
      <c r="B496" s="103"/>
      <c r="C496" s="103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</row>
    <row r="497" spans="1:16" s="34" customFormat="1" x14ac:dyDescent="0.25">
      <c r="A497" s="88"/>
      <c r="B497" s="103"/>
      <c r="C497" s="103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</row>
    <row r="498" spans="1:16" s="34" customFormat="1" x14ac:dyDescent="0.25">
      <c r="A498" s="88"/>
      <c r="B498" s="103"/>
      <c r="C498" s="103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</row>
    <row r="499" spans="1:16" s="34" customFormat="1" x14ac:dyDescent="0.25">
      <c r="A499" s="88"/>
      <c r="B499" s="103"/>
      <c r="C499" s="103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</row>
    <row r="500" spans="1:16" s="34" customFormat="1" x14ac:dyDescent="0.25">
      <c r="A500" s="88"/>
      <c r="B500" s="103"/>
      <c r="C500" s="103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</row>
    <row r="501" spans="1:16" s="34" customFormat="1" x14ac:dyDescent="0.25">
      <c r="A501" s="88"/>
      <c r="B501" s="103"/>
      <c r="C501" s="103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</row>
    <row r="502" spans="1:16" s="34" customFormat="1" x14ac:dyDescent="0.25">
      <c r="A502" s="88"/>
      <c r="B502" s="103"/>
      <c r="C502" s="103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</row>
    <row r="503" spans="1:16" s="34" customFormat="1" x14ac:dyDescent="0.25">
      <c r="A503" s="88"/>
      <c r="B503" s="103"/>
      <c r="C503" s="103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</row>
    <row r="504" spans="1:16" s="34" customFormat="1" x14ac:dyDescent="0.25">
      <c r="A504" s="88"/>
      <c r="B504" s="103"/>
      <c r="C504" s="103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</row>
    <row r="505" spans="1:16" s="34" customFormat="1" x14ac:dyDescent="0.25">
      <c r="A505" s="88"/>
      <c r="B505" s="103"/>
      <c r="C505" s="103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</row>
    <row r="506" spans="1:16" s="34" customFormat="1" x14ac:dyDescent="0.25">
      <c r="A506" s="88"/>
      <c r="B506" s="103"/>
      <c r="C506" s="103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</row>
    <row r="507" spans="1:16" s="34" customFormat="1" x14ac:dyDescent="0.25">
      <c r="A507" s="88"/>
      <c r="B507" s="103"/>
      <c r="C507" s="103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</row>
    <row r="508" spans="1:16" s="34" customFormat="1" x14ac:dyDescent="0.25">
      <c r="A508" s="88"/>
      <c r="B508" s="103"/>
      <c r="C508" s="103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</row>
    <row r="509" spans="1:16" s="34" customFormat="1" x14ac:dyDescent="0.25">
      <c r="A509" s="88"/>
      <c r="B509" s="103"/>
      <c r="C509" s="103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</row>
    <row r="510" spans="1:16" s="34" customFormat="1" x14ac:dyDescent="0.25">
      <c r="A510" s="88"/>
      <c r="B510" s="103"/>
      <c r="C510" s="103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</row>
    <row r="511" spans="1:16" s="34" customFormat="1" x14ac:dyDescent="0.25">
      <c r="A511" s="88"/>
      <c r="B511" s="103"/>
      <c r="C511" s="103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</row>
    <row r="512" spans="1:16" s="34" customFormat="1" x14ac:dyDescent="0.25">
      <c r="A512" s="88"/>
      <c r="B512" s="103"/>
      <c r="C512" s="103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</row>
    <row r="513" spans="1:16" s="34" customFormat="1" x14ac:dyDescent="0.25">
      <c r="A513" s="88"/>
      <c r="B513" s="103"/>
      <c r="C513" s="103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</row>
    <row r="514" spans="1:16" s="34" customFormat="1" x14ac:dyDescent="0.25">
      <c r="A514" s="88"/>
      <c r="B514" s="103"/>
      <c r="C514" s="103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</row>
    <row r="515" spans="1:16" s="34" customFormat="1" x14ac:dyDescent="0.25">
      <c r="A515" s="88"/>
      <c r="B515" s="103"/>
      <c r="C515" s="103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</row>
    <row r="516" spans="1:16" s="34" customFormat="1" x14ac:dyDescent="0.25">
      <c r="A516" s="88"/>
      <c r="B516" s="103"/>
      <c r="C516" s="103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</row>
    <row r="517" spans="1:16" s="34" customFormat="1" x14ac:dyDescent="0.25">
      <c r="A517" s="88"/>
      <c r="B517" s="103"/>
      <c r="C517" s="103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</row>
    <row r="518" spans="1:16" s="34" customFormat="1" x14ac:dyDescent="0.25">
      <c r="A518" s="88"/>
      <c r="B518" s="103"/>
      <c r="C518" s="103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</row>
    <row r="519" spans="1:16" s="34" customFormat="1" x14ac:dyDescent="0.25">
      <c r="A519" s="88"/>
      <c r="B519" s="103"/>
      <c r="C519" s="103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</row>
    <row r="520" spans="1:16" s="34" customFormat="1" x14ac:dyDescent="0.25">
      <c r="A520" s="88"/>
      <c r="B520" s="103"/>
      <c r="C520" s="103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</row>
    <row r="521" spans="1:16" s="34" customFormat="1" x14ac:dyDescent="0.25">
      <c r="A521" s="88"/>
      <c r="B521" s="103"/>
      <c r="C521" s="103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</row>
    <row r="522" spans="1:16" s="34" customFormat="1" x14ac:dyDescent="0.25">
      <c r="A522" s="88"/>
      <c r="B522" s="103"/>
      <c r="C522" s="103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</row>
    <row r="523" spans="1:16" s="34" customFormat="1" x14ac:dyDescent="0.25">
      <c r="A523" s="88"/>
      <c r="B523" s="103"/>
      <c r="C523" s="103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</row>
    <row r="524" spans="1:16" s="34" customFormat="1" x14ac:dyDescent="0.25">
      <c r="A524" s="88"/>
      <c r="B524" s="103"/>
      <c r="C524" s="103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</row>
    <row r="525" spans="1:16" s="34" customFormat="1" x14ac:dyDescent="0.25">
      <c r="A525" s="88"/>
      <c r="B525" s="103"/>
      <c r="C525" s="103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</row>
    <row r="526" spans="1:16" s="34" customFormat="1" x14ac:dyDescent="0.25">
      <c r="A526" s="88"/>
      <c r="B526" s="103"/>
      <c r="C526" s="103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</row>
    <row r="527" spans="1:16" s="34" customFormat="1" x14ac:dyDescent="0.25">
      <c r="A527" s="88"/>
      <c r="B527" s="103"/>
      <c r="C527" s="103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</row>
    <row r="528" spans="1:16" s="34" customFormat="1" x14ac:dyDescent="0.25">
      <c r="A528" s="88"/>
      <c r="B528" s="103"/>
      <c r="C528" s="103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</row>
    <row r="529" spans="1:16" s="34" customFormat="1" x14ac:dyDescent="0.25">
      <c r="A529" s="88"/>
      <c r="B529" s="103"/>
      <c r="C529" s="103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</row>
    <row r="530" spans="1:16" s="34" customFormat="1" x14ac:dyDescent="0.25">
      <c r="A530" s="88"/>
      <c r="B530" s="103"/>
      <c r="C530" s="103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</row>
    <row r="531" spans="1:16" s="34" customFormat="1" x14ac:dyDescent="0.25">
      <c r="A531" s="88"/>
      <c r="B531" s="103"/>
      <c r="C531" s="103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</row>
    <row r="532" spans="1:16" s="34" customFormat="1" x14ac:dyDescent="0.25">
      <c r="A532" s="88"/>
      <c r="B532" s="103"/>
      <c r="C532" s="103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</row>
    <row r="533" spans="1:16" s="34" customFormat="1" x14ac:dyDescent="0.25">
      <c r="A533" s="88"/>
      <c r="B533" s="103"/>
      <c r="C533" s="103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</row>
    <row r="534" spans="1:16" s="34" customFormat="1" x14ac:dyDescent="0.25">
      <c r="A534" s="88"/>
      <c r="B534" s="103"/>
      <c r="C534" s="103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</row>
    <row r="535" spans="1:16" s="34" customFormat="1" x14ac:dyDescent="0.25">
      <c r="A535" s="88"/>
      <c r="B535" s="103"/>
      <c r="C535" s="103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</row>
    <row r="536" spans="1:16" s="34" customFormat="1" x14ac:dyDescent="0.25">
      <c r="A536" s="88"/>
      <c r="B536" s="103"/>
      <c r="C536" s="103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</row>
    <row r="537" spans="1:16" s="34" customFormat="1" x14ac:dyDescent="0.25">
      <c r="A537" s="88"/>
      <c r="B537" s="103"/>
      <c r="C537" s="103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</row>
    <row r="538" spans="1:16" s="34" customFormat="1" x14ac:dyDescent="0.25">
      <c r="A538" s="88"/>
      <c r="B538" s="103"/>
      <c r="C538" s="103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</row>
    <row r="539" spans="1:16" s="34" customFormat="1" x14ac:dyDescent="0.25">
      <c r="A539" s="88"/>
      <c r="B539" s="103"/>
      <c r="C539" s="103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</row>
    <row r="540" spans="1:16" s="34" customFormat="1" x14ac:dyDescent="0.25">
      <c r="A540" s="88"/>
      <c r="B540" s="103"/>
      <c r="C540" s="103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</row>
    <row r="541" spans="1:16" s="34" customFormat="1" x14ac:dyDescent="0.25">
      <c r="A541" s="88"/>
      <c r="B541" s="103"/>
      <c r="C541" s="103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</row>
    <row r="542" spans="1:16" s="34" customFormat="1" x14ac:dyDescent="0.25">
      <c r="A542" s="88"/>
      <c r="B542" s="103"/>
      <c r="C542" s="103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</row>
    <row r="543" spans="1:16" s="34" customFormat="1" x14ac:dyDescent="0.25">
      <c r="A543" s="88"/>
      <c r="B543" s="103"/>
      <c r="C543" s="103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</row>
    <row r="544" spans="1:16" s="34" customFormat="1" x14ac:dyDescent="0.25">
      <c r="A544" s="88"/>
      <c r="B544" s="103"/>
      <c r="C544" s="103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</row>
    <row r="545" spans="1:16" s="34" customFormat="1" x14ac:dyDescent="0.25">
      <c r="A545" s="88"/>
      <c r="B545" s="103"/>
      <c r="C545" s="103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</row>
    <row r="546" spans="1:16" s="34" customFormat="1" x14ac:dyDescent="0.25">
      <c r="A546" s="88"/>
      <c r="B546" s="103"/>
      <c r="C546" s="103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</row>
    <row r="547" spans="1:16" s="34" customFormat="1" x14ac:dyDescent="0.25">
      <c r="A547" s="88"/>
      <c r="B547" s="103"/>
      <c r="C547" s="103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</row>
    <row r="548" spans="1:16" s="34" customFormat="1" x14ac:dyDescent="0.25">
      <c r="A548" s="88"/>
      <c r="B548" s="103"/>
      <c r="C548" s="103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</row>
    <row r="549" spans="1:16" s="34" customFormat="1" x14ac:dyDescent="0.25">
      <c r="A549" s="88"/>
      <c r="B549" s="103"/>
      <c r="C549" s="103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</row>
    <row r="550" spans="1:16" s="34" customFormat="1" x14ac:dyDescent="0.25">
      <c r="A550" s="88"/>
      <c r="B550" s="103"/>
      <c r="C550" s="103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</row>
    <row r="551" spans="1:16" s="34" customFormat="1" x14ac:dyDescent="0.25">
      <c r="A551" s="88"/>
      <c r="B551" s="103"/>
      <c r="C551" s="103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</row>
    <row r="552" spans="1:16" s="34" customFormat="1" x14ac:dyDescent="0.25">
      <c r="A552" s="88"/>
      <c r="B552" s="103"/>
      <c r="C552" s="103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</row>
    <row r="553" spans="1:16" s="34" customFormat="1" x14ac:dyDescent="0.25">
      <c r="A553" s="88"/>
      <c r="B553" s="103"/>
      <c r="C553" s="103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</row>
    <row r="554" spans="1:16" s="34" customFormat="1" x14ac:dyDescent="0.25">
      <c r="A554" s="88"/>
      <c r="B554" s="103"/>
      <c r="C554" s="103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</row>
    <row r="555" spans="1:16" s="34" customFormat="1" x14ac:dyDescent="0.25">
      <c r="A555" s="88"/>
      <c r="B555" s="103"/>
      <c r="C555" s="103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</row>
    <row r="556" spans="1:16" s="34" customFormat="1" x14ac:dyDescent="0.25">
      <c r="A556" s="88"/>
      <c r="B556" s="103"/>
      <c r="C556" s="103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</row>
    <row r="557" spans="1:16" s="34" customFormat="1" x14ac:dyDescent="0.25">
      <c r="A557" s="88"/>
      <c r="B557" s="103"/>
      <c r="C557" s="103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</row>
    <row r="558" spans="1:16" s="34" customFormat="1" x14ac:dyDescent="0.25">
      <c r="A558" s="88"/>
      <c r="B558" s="103"/>
      <c r="C558" s="103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</row>
    <row r="559" spans="1:16" s="34" customFormat="1" x14ac:dyDescent="0.25">
      <c r="A559" s="88"/>
      <c r="B559" s="103"/>
      <c r="C559" s="103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</row>
    <row r="560" spans="1:16" s="34" customFormat="1" x14ac:dyDescent="0.25">
      <c r="A560" s="88"/>
      <c r="B560" s="103"/>
      <c r="C560" s="103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</row>
    <row r="561" spans="1:16" s="34" customFormat="1" x14ac:dyDescent="0.25">
      <c r="A561" s="88"/>
      <c r="B561" s="103"/>
      <c r="C561" s="103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</row>
    <row r="562" spans="1:16" s="34" customFormat="1" x14ac:dyDescent="0.25">
      <c r="A562" s="88"/>
      <c r="B562" s="103"/>
      <c r="C562" s="103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</row>
    <row r="563" spans="1:16" s="34" customFormat="1" x14ac:dyDescent="0.25">
      <c r="A563" s="88"/>
      <c r="B563" s="103"/>
      <c r="C563" s="103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</row>
    <row r="564" spans="1:16" s="34" customFormat="1" x14ac:dyDescent="0.25">
      <c r="A564" s="88"/>
      <c r="B564" s="103"/>
      <c r="C564" s="103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</row>
    <row r="565" spans="1:16" s="34" customFormat="1" x14ac:dyDescent="0.25">
      <c r="A565" s="88"/>
      <c r="B565" s="103"/>
      <c r="C565" s="103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</row>
    <row r="566" spans="1:16" s="34" customFormat="1" x14ac:dyDescent="0.25">
      <c r="A566" s="88"/>
      <c r="B566" s="103"/>
      <c r="C566" s="103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</row>
    <row r="567" spans="1:16" s="34" customFormat="1" x14ac:dyDescent="0.25">
      <c r="A567" s="88"/>
      <c r="B567" s="103"/>
      <c r="C567" s="103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</row>
    <row r="568" spans="1:16" s="34" customFormat="1" x14ac:dyDescent="0.25">
      <c r="A568" s="88"/>
      <c r="B568" s="103"/>
      <c r="C568" s="103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</row>
    <row r="569" spans="1:16" s="34" customFormat="1" x14ac:dyDescent="0.25">
      <c r="A569" s="88"/>
      <c r="B569" s="103"/>
      <c r="C569" s="103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</row>
    <row r="570" spans="1:16" s="34" customFormat="1" x14ac:dyDescent="0.25">
      <c r="A570" s="88"/>
      <c r="B570" s="103"/>
      <c r="C570" s="103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</row>
    <row r="571" spans="1:16" s="34" customFormat="1" x14ac:dyDescent="0.25">
      <c r="A571" s="88"/>
      <c r="B571" s="103"/>
      <c r="C571" s="103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</row>
    <row r="572" spans="1:16" s="34" customFormat="1" x14ac:dyDescent="0.25">
      <c r="A572" s="88"/>
      <c r="B572" s="103"/>
      <c r="C572" s="103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</row>
    <row r="573" spans="1:16" s="34" customFormat="1" x14ac:dyDescent="0.25">
      <c r="A573" s="88"/>
      <c r="B573" s="103"/>
      <c r="C573" s="103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</row>
    <row r="574" spans="1:16" s="34" customFormat="1" x14ac:dyDescent="0.25">
      <c r="A574" s="88"/>
      <c r="B574" s="103"/>
      <c r="C574" s="103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</row>
    <row r="575" spans="1:16" s="34" customFormat="1" x14ac:dyDescent="0.25">
      <c r="A575" s="88"/>
      <c r="B575" s="103"/>
      <c r="C575" s="103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</row>
    <row r="576" spans="1:16" s="34" customFormat="1" x14ac:dyDescent="0.25">
      <c r="A576" s="88"/>
      <c r="B576" s="103"/>
      <c r="C576" s="103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</row>
    <row r="577" spans="1:16" s="34" customFormat="1" x14ac:dyDescent="0.25">
      <c r="A577" s="88"/>
      <c r="B577" s="103"/>
      <c r="C577" s="103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</row>
    <row r="578" spans="1:16" s="34" customFormat="1" x14ac:dyDescent="0.25">
      <c r="A578" s="88"/>
      <c r="B578" s="103"/>
      <c r="C578" s="103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</row>
    <row r="579" spans="1:16" s="34" customFormat="1" x14ac:dyDescent="0.25">
      <c r="A579" s="88"/>
      <c r="B579" s="103"/>
      <c r="C579" s="103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</row>
    <row r="580" spans="1:16" s="34" customFormat="1" x14ac:dyDescent="0.25">
      <c r="A580" s="88"/>
      <c r="B580" s="103"/>
      <c r="C580" s="103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</row>
    <row r="581" spans="1:16" s="34" customFormat="1" x14ac:dyDescent="0.25">
      <c r="A581" s="88"/>
      <c r="B581" s="103"/>
      <c r="C581" s="103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</row>
    <row r="582" spans="1:16" s="34" customFormat="1" x14ac:dyDescent="0.25">
      <c r="A582" s="88"/>
      <c r="B582" s="103"/>
      <c r="C582" s="103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</row>
    <row r="583" spans="1:16" s="34" customFormat="1" x14ac:dyDescent="0.25">
      <c r="A583" s="88"/>
      <c r="B583" s="103"/>
      <c r="C583" s="103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</row>
    <row r="584" spans="1:16" s="34" customFormat="1" x14ac:dyDescent="0.25">
      <c r="A584" s="88"/>
      <c r="B584" s="103"/>
      <c r="C584" s="103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</row>
    <row r="585" spans="1:16" s="34" customFormat="1" x14ac:dyDescent="0.25">
      <c r="A585" s="88"/>
      <c r="B585" s="103"/>
      <c r="C585" s="103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</row>
    <row r="586" spans="1:16" s="34" customFormat="1" x14ac:dyDescent="0.25">
      <c r="A586" s="88"/>
      <c r="B586" s="103"/>
      <c r="C586" s="103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</row>
    <row r="587" spans="1:16" s="34" customFormat="1" x14ac:dyDescent="0.25">
      <c r="A587" s="88"/>
      <c r="B587" s="103"/>
      <c r="C587" s="103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</row>
    <row r="588" spans="1:16" s="34" customFormat="1" x14ac:dyDescent="0.25">
      <c r="A588" s="88"/>
      <c r="B588" s="103"/>
      <c r="C588" s="103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</row>
    <row r="589" spans="1:16" s="34" customFormat="1" x14ac:dyDescent="0.25">
      <c r="A589" s="88"/>
      <c r="B589" s="103"/>
      <c r="C589" s="103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</row>
    <row r="590" spans="1:16" s="34" customFormat="1" x14ac:dyDescent="0.25">
      <c r="A590" s="88"/>
      <c r="B590" s="103"/>
      <c r="C590" s="103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</row>
    <row r="591" spans="1:16" s="34" customFormat="1" x14ac:dyDescent="0.25">
      <c r="A591" s="88"/>
      <c r="B591" s="103"/>
      <c r="C591" s="103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</row>
    <row r="592" spans="1:16" s="34" customFormat="1" x14ac:dyDescent="0.25">
      <c r="A592" s="88"/>
      <c r="B592" s="103"/>
      <c r="C592" s="103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</row>
    <row r="593" spans="1:16" s="34" customFormat="1" x14ac:dyDescent="0.25">
      <c r="A593" s="88"/>
      <c r="B593" s="103"/>
      <c r="C593" s="103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</row>
    <row r="594" spans="1:16" s="34" customFormat="1" x14ac:dyDescent="0.25">
      <c r="A594" s="88"/>
      <c r="B594" s="103"/>
      <c r="C594" s="103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</row>
    <row r="595" spans="1:16" s="34" customFormat="1" x14ac:dyDescent="0.25">
      <c r="A595" s="88"/>
      <c r="B595" s="103"/>
      <c r="C595" s="103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</row>
    <row r="596" spans="1:16" s="34" customFormat="1" x14ac:dyDescent="0.25">
      <c r="A596" s="88"/>
      <c r="B596" s="103"/>
      <c r="C596" s="103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</row>
    <row r="597" spans="1:16" s="34" customFormat="1" x14ac:dyDescent="0.25">
      <c r="A597" s="88"/>
      <c r="B597" s="103"/>
      <c r="C597" s="103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</row>
    <row r="598" spans="1:16" s="34" customFormat="1" x14ac:dyDescent="0.25">
      <c r="A598" s="88"/>
      <c r="B598" s="103"/>
      <c r="C598" s="103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</row>
    <row r="599" spans="1:16" s="34" customFormat="1" x14ac:dyDescent="0.25">
      <c r="A599" s="88"/>
      <c r="B599" s="103"/>
      <c r="C599" s="103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</row>
    <row r="600" spans="1:16" s="34" customFormat="1" x14ac:dyDescent="0.25">
      <c r="A600" s="88"/>
      <c r="B600" s="103"/>
      <c r="C600" s="103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</row>
    <row r="601" spans="1:16" s="34" customFormat="1" x14ac:dyDescent="0.25">
      <c r="A601" s="88"/>
      <c r="B601" s="103"/>
      <c r="C601" s="103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</row>
    <row r="602" spans="1:16" s="34" customFormat="1" x14ac:dyDescent="0.25">
      <c r="A602" s="88"/>
      <c r="B602" s="103"/>
      <c r="C602" s="103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</row>
    <row r="603" spans="1:16" s="34" customFormat="1" x14ac:dyDescent="0.25">
      <c r="A603" s="88"/>
      <c r="B603" s="103"/>
      <c r="C603" s="103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</row>
    <row r="604" spans="1:16" s="34" customFormat="1" x14ac:dyDescent="0.25">
      <c r="A604" s="88"/>
      <c r="B604" s="103"/>
      <c r="C604" s="103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</row>
    <row r="605" spans="1:16" s="34" customFormat="1" x14ac:dyDescent="0.25">
      <c r="A605" s="88"/>
      <c r="B605" s="103"/>
      <c r="C605" s="103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</row>
    <row r="606" spans="1:16" s="34" customFormat="1" x14ac:dyDescent="0.25">
      <c r="A606" s="88"/>
      <c r="B606" s="103"/>
      <c r="C606" s="103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</row>
    <row r="607" spans="1:16" s="34" customFormat="1" x14ac:dyDescent="0.25">
      <c r="A607" s="88"/>
      <c r="B607" s="103"/>
      <c r="C607" s="103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</row>
    <row r="608" spans="1:16" s="34" customFormat="1" x14ac:dyDescent="0.25">
      <c r="A608" s="88"/>
      <c r="B608" s="103"/>
      <c r="C608" s="103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</row>
    <row r="609" spans="1:16" s="34" customFormat="1" x14ac:dyDescent="0.25">
      <c r="A609" s="88"/>
      <c r="B609" s="103"/>
      <c r="C609" s="103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</row>
    <row r="610" spans="1:16" s="34" customFormat="1" x14ac:dyDescent="0.25">
      <c r="A610" s="88"/>
      <c r="B610" s="103"/>
      <c r="C610" s="103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</row>
    <row r="611" spans="1:16" s="34" customFormat="1" x14ac:dyDescent="0.25">
      <c r="A611" s="88"/>
      <c r="B611" s="103"/>
      <c r="C611" s="103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</row>
    <row r="612" spans="1:16" s="34" customFormat="1" x14ac:dyDescent="0.25">
      <c r="A612" s="88"/>
      <c r="B612" s="103"/>
      <c r="C612" s="103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</row>
    <row r="613" spans="1:16" s="34" customFormat="1" x14ac:dyDescent="0.25">
      <c r="A613" s="88"/>
      <c r="B613" s="103"/>
      <c r="C613" s="103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</row>
    <row r="614" spans="1:16" s="34" customFormat="1" x14ac:dyDescent="0.25">
      <c r="A614" s="88"/>
      <c r="B614" s="103"/>
      <c r="C614" s="103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</row>
    <row r="615" spans="1:16" s="34" customFormat="1" x14ac:dyDescent="0.25">
      <c r="A615" s="88"/>
      <c r="B615" s="103"/>
      <c r="C615" s="103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</row>
    <row r="616" spans="1:16" s="34" customFormat="1" x14ac:dyDescent="0.25">
      <c r="A616" s="88"/>
      <c r="B616" s="103"/>
      <c r="C616" s="103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</row>
    <row r="617" spans="1:16" s="34" customFormat="1" x14ac:dyDescent="0.25">
      <c r="A617" s="88"/>
      <c r="B617" s="103"/>
      <c r="C617" s="103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</row>
    <row r="618" spans="1:16" s="34" customFormat="1" x14ac:dyDescent="0.25">
      <c r="A618" s="88"/>
      <c r="B618" s="103"/>
      <c r="C618" s="103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</row>
    <row r="619" spans="1:16" s="34" customFormat="1" x14ac:dyDescent="0.25">
      <c r="A619" s="88"/>
      <c r="B619" s="103"/>
      <c r="C619" s="103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</row>
    <row r="620" spans="1:16" s="34" customFormat="1" x14ac:dyDescent="0.25">
      <c r="A620" s="88"/>
      <c r="B620" s="103"/>
      <c r="C620" s="103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</row>
    <row r="621" spans="1:16" s="34" customFormat="1" x14ac:dyDescent="0.25">
      <c r="A621" s="88"/>
      <c r="B621" s="103"/>
      <c r="C621" s="103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</row>
    <row r="622" spans="1:16" s="34" customFormat="1" x14ac:dyDescent="0.25">
      <c r="A622" s="88"/>
      <c r="B622" s="103"/>
      <c r="C622" s="103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</row>
    <row r="623" spans="1:16" s="34" customFormat="1" x14ac:dyDescent="0.25">
      <c r="A623" s="88"/>
      <c r="B623" s="103"/>
      <c r="C623" s="103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</row>
    <row r="624" spans="1:16" s="34" customFormat="1" x14ac:dyDescent="0.25">
      <c r="A624" s="88"/>
      <c r="B624" s="103"/>
      <c r="C624" s="103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</row>
    <row r="625" spans="1:16" s="34" customFormat="1" x14ac:dyDescent="0.25">
      <c r="A625" s="88"/>
      <c r="B625" s="103"/>
      <c r="C625" s="103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</row>
    <row r="626" spans="1:16" s="34" customFormat="1" x14ac:dyDescent="0.25">
      <c r="A626" s="88"/>
      <c r="B626" s="103"/>
      <c r="C626" s="103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</row>
    <row r="627" spans="1:16" s="34" customFormat="1" x14ac:dyDescent="0.25">
      <c r="A627" s="88"/>
      <c r="B627" s="103"/>
      <c r="C627" s="103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</row>
    <row r="628" spans="1:16" s="34" customFormat="1" x14ac:dyDescent="0.25">
      <c r="A628" s="88"/>
      <c r="B628" s="103"/>
      <c r="C628" s="103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</row>
    <row r="629" spans="1:16" s="34" customFormat="1" x14ac:dyDescent="0.25">
      <c r="A629" s="88"/>
      <c r="B629" s="103"/>
      <c r="C629" s="103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</row>
    <row r="630" spans="1:16" s="34" customFormat="1" x14ac:dyDescent="0.25">
      <c r="A630" s="88"/>
      <c r="B630" s="103"/>
      <c r="C630" s="103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</row>
    <row r="631" spans="1:16" s="34" customFormat="1" x14ac:dyDescent="0.25">
      <c r="A631" s="88"/>
      <c r="B631" s="103"/>
      <c r="C631" s="103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</row>
    <row r="632" spans="1:16" s="34" customFormat="1" x14ac:dyDescent="0.25">
      <c r="A632" s="88"/>
      <c r="B632" s="103"/>
      <c r="C632" s="103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</row>
    <row r="633" spans="1:16" s="34" customFormat="1" x14ac:dyDescent="0.25">
      <c r="A633" s="88"/>
      <c r="B633" s="103"/>
      <c r="C633" s="103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</row>
    <row r="634" spans="1:16" s="34" customFormat="1" x14ac:dyDescent="0.25">
      <c r="A634" s="88"/>
      <c r="B634" s="103"/>
      <c r="C634" s="103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</row>
    <row r="635" spans="1:16" s="34" customFormat="1" x14ac:dyDescent="0.25">
      <c r="A635" s="88"/>
      <c r="B635" s="103"/>
      <c r="C635" s="103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</row>
    <row r="636" spans="1:16" s="34" customFormat="1" x14ac:dyDescent="0.25">
      <c r="A636" s="88"/>
      <c r="B636" s="103"/>
      <c r="C636" s="103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</row>
    <row r="637" spans="1:16" s="34" customFormat="1" x14ac:dyDescent="0.25">
      <c r="A637" s="88"/>
      <c r="B637" s="103"/>
      <c r="C637" s="103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</row>
    <row r="638" spans="1:16" s="34" customFormat="1" x14ac:dyDescent="0.25">
      <c r="A638" s="88"/>
      <c r="B638" s="103"/>
      <c r="C638" s="103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</row>
    <row r="639" spans="1:16" s="34" customFormat="1" x14ac:dyDescent="0.25">
      <c r="A639" s="88"/>
      <c r="B639" s="103"/>
      <c r="C639" s="103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</row>
    <row r="640" spans="1:16" s="34" customFormat="1" x14ac:dyDescent="0.25">
      <c r="A640" s="88"/>
      <c r="B640" s="103"/>
      <c r="C640" s="103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</row>
    <row r="641" spans="1:16" s="34" customFormat="1" x14ac:dyDescent="0.25">
      <c r="A641" s="88"/>
      <c r="B641" s="103"/>
      <c r="C641" s="103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</row>
    <row r="642" spans="1:16" s="34" customFormat="1" x14ac:dyDescent="0.25">
      <c r="A642" s="88"/>
      <c r="B642" s="103"/>
      <c r="C642" s="103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</row>
    <row r="643" spans="1:16" s="34" customFormat="1" x14ac:dyDescent="0.25">
      <c r="A643" s="88"/>
      <c r="B643" s="103"/>
      <c r="C643" s="103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</row>
    <row r="644" spans="1:16" s="34" customFormat="1" x14ac:dyDescent="0.25">
      <c r="A644" s="88"/>
      <c r="B644" s="103"/>
      <c r="C644" s="103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</row>
    <row r="645" spans="1:16" s="34" customFormat="1" x14ac:dyDescent="0.25">
      <c r="A645" s="88"/>
      <c r="B645" s="103"/>
      <c r="C645" s="103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</row>
    <row r="646" spans="1:16" s="34" customFormat="1" x14ac:dyDescent="0.25">
      <c r="A646" s="88"/>
      <c r="B646" s="103"/>
      <c r="C646" s="103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</row>
    <row r="647" spans="1:16" s="34" customFormat="1" x14ac:dyDescent="0.25">
      <c r="A647" s="88"/>
      <c r="B647" s="103"/>
      <c r="C647" s="103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</row>
    <row r="648" spans="1:16" s="34" customFormat="1" x14ac:dyDescent="0.25">
      <c r="A648" s="88"/>
      <c r="B648" s="103"/>
      <c r="C648" s="103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</row>
    <row r="649" spans="1:16" s="34" customFormat="1" x14ac:dyDescent="0.25">
      <c r="A649" s="88"/>
      <c r="B649" s="103"/>
      <c r="C649" s="103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</row>
    <row r="650" spans="1:16" s="34" customFormat="1" x14ac:dyDescent="0.25">
      <c r="A650" s="88"/>
      <c r="B650" s="103"/>
      <c r="C650" s="103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</row>
    <row r="651" spans="1:16" s="34" customFormat="1" x14ac:dyDescent="0.25">
      <c r="A651" s="88"/>
      <c r="B651" s="103"/>
      <c r="C651" s="103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</row>
    <row r="652" spans="1:16" s="34" customFormat="1" x14ac:dyDescent="0.25">
      <c r="A652" s="88"/>
      <c r="B652" s="103"/>
      <c r="C652" s="103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</row>
    <row r="653" spans="1:16" s="34" customFormat="1" x14ac:dyDescent="0.25">
      <c r="A653" s="88"/>
      <c r="B653" s="103"/>
      <c r="C653" s="103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</row>
    <row r="654" spans="1:16" s="34" customFormat="1" x14ac:dyDescent="0.25">
      <c r="A654" s="88"/>
      <c r="B654" s="103"/>
      <c r="C654" s="103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</row>
    <row r="655" spans="1:16" s="34" customFormat="1" x14ac:dyDescent="0.25">
      <c r="A655" s="88"/>
      <c r="B655" s="103"/>
      <c r="C655" s="103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</row>
    <row r="656" spans="1:16" s="34" customFormat="1" x14ac:dyDescent="0.25">
      <c r="A656" s="88"/>
      <c r="B656" s="103"/>
      <c r="C656" s="103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</row>
    <row r="657" spans="1:16" s="34" customFormat="1" x14ac:dyDescent="0.25">
      <c r="A657" s="88"/>
      <c r="B657" s="103"/>
      <c r="C657" s="103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</row>
    <row r="658" spans="1:16" s="34" customFormat="1" x14ac:dyDescent="0.25">
      <c r="A658" s="88"/>
      <c r="B658" s="103"/>
      <c r="C658" s="103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</row>
    <row r="659" spans="1:16" s="34" customFormat="1" x14ac:dyDescent="0.25">
      <c r="A659" s="88"/>
      <c r="B659" s="103"/>
      <c r="C659" s="103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</row>
    <row r="660" spans="1:16" s="34" customFormat="1" x14ac:dyDescent="0.25">
      <c r="A660" s="88"/>
      <c r="B660" s="103"/>
      <c r="C660" s="103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</row>
    <row r="661" spans="1:16" s="34" customFormat="1" x14ac:dyDescent="0.25">
      <c r="A661" s="88"/>
      <c r="B661" s="103"/>
      <c r="C661" s="103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</row>
    <row r="662" spans="1:16" s="34" customFormat="1" x14ac:dyDescent="0.25">
      <c r="A662" s="88"/>
      <c r="B662" s="103"/>
      <c r="C662" s="103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</row>
    <row r="663" spans="1:16" s="34" customFormat="1" x14ac:dyDescent="0.25">
      <c r="A663" s="88"/>
      <c r="B663" s="103"/>
      <c r="C663" s="103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</row>
    <row r="664" spans="1:16" s="34" customFormat="1" x14ac:dyDescent="0.25">
      <c r="A664" s="88"/>
      <c r="B664" s="103"/>
      <c r="C664" s="103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</row>
    <row r="665" spans="1:16" s="34" customFormat="1" x14ac:dyDescent="0.25">
      <c r="A665" s="88"/>
      <c r="B665" s="103"/>
      <c r="C665" s="103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</row>
    <row r="666" spans="1:16" s="34" customFormat="1" x14ac:dyDescent="0.25">
      <c r="A666" s="88"/>
      <c r="B666" s="103"/>
      <c r="C666" s="103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</row>
    <row r="667" spans="1:16" s="34" customFormat="1" x14ac:dyDescent="0.25">
      <c r="A667" s="88"/>
      <c r="B667" s="103"/>
      <c r="C667" s="103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</row>
    <row r="668" spans="1:16" s="34" customFormat="1" x14ac:dyDescent="0.25">
      <c r="A668" s="88"/>
      <c r="B668" s="103"/>
      <c r="C668" s="103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</row>
    <row r="669" spans="1:16" s="34" customFormat="1" x14ac:dyDescent="0.25">
      <c r="A669" s="88"/>
      <c r="B669" s="103"/>
      <c r="C669" s="103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</row>
    <row r="670" spans="1:16" s="34" customFormat="1" x14ac:dyDescent="0.25">
      <c r="A670" s="88"/>
      <c r="B670" s="103"/>
      <c r="C670" s="103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</row>
    <row r="671" spans="1:16" s="34" customFormat="1" x14ac:dyDescent="0.25">
      <c r="A671" s="88"/>
      <c r="B671" s="103"/>
      <c r="C671" s="103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</row>
    <row r="672" spans="1:16" s="34" customFormat="1" x14ac:dyDescent="0.25">
      <c r="A672" s="88"/>
      <c r="B672" s="103"/>
      <c r="C672" s="103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</row>
    <row r="673" spans="1:16" s="34" customFormat="1" x14ac:dyDescent="0.25">
      <c r="A673" s="88"/>
      <c r="B673" s="103"/>
      <c r="C673" s="103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</row>
    <row r="674" spans="1:16" s="34" customFormat="1" x14ac:dyDescent="0.25">
      <c r="A674" s="88"/>
      <c r="B674" s="103"/>
      <c r="C674" s="103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</row>
    <row r="675" spans="1:16" s="34" customFormat="1" x14ac:dyDescent="0.25">
      <c r="A675" s="88"/>
      <c r="B675" s="103"/>
      <c r="C675" s="103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</row>
    <row r="676" spans="1:16" s="34" customFormat="1" x14ac:dyDescent="0.25">
      <c r="A676" s="88"/>
      <c r="B676" s="103"/>
      <c r="C676" s="103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</row>
    <row r="677" spans="1:16" s="34" customFormat="1" x14ac:dyDescent="0.25">
      <c r="A677" s="88"/>
      <c r="B677" s="103"/>
      <c r="C677" s="103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</row>
    <row r="678" spans="1:16" s="34" customFormat="1" x14ac:dyDescent="0.25">
      <c r="A678" s="88"/>
      <c r="B678" s="103"/>
      <c r="C678" s="103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</row>
    <row r="679" spans="1:16" s="34" customFormat="1" x14ac:dyDescent="0.25">
      <c r="A679" s="88"/>
      <c r="B679" s="103"/>
      <c r="C679" s="103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</row>
    <row r="680" spans="1:16" s="34" customFormat="1" x14ac:dyDescent="0.25">
      <c r="A680" s="88"/>
      <c r="B680" s="103"/>
      <c r="C680" s="103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</row>
    <row r="681" spans="1:16" s="34" customFormat="1" x14ac:dyDescent="0.25">
      <c r="A681" s="88"/>
      <c r="B681" s="103"/>
      <c r="C681" s="103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</row>
    <row r="682" spans="1:16" s="34" customFormat="1" x14ac:dyDescent="0.25">
      <c r="A682" s="88"/>
      <c r="B682" s="103"/>
      <c r="C682" s="103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</row>
    <row r="683" spans="1:16" s="34" customFormat="1" x14ac:dyDescent="0.25">
      <c r="A683" s="88"/>
      <c r="B683" s="103"/>
      <c r="C683" s="103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</row>
    <row r="684" spans="1:16" s="34" customFormat="1" x14ac:dyDescent="0.25">
      <c r="A684" s="88"/>
      <c r="B684" s="103"/>
      <c r="C684" s="103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</row>
    <row r="685" spans="1:16" s="34" customFormat="1" x14ac:dyDescent="0.25">
      <c r="A685" s="88"/>
      <c r="B685" s="103"/>
      <c r="C685" s="103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</row>
    <row r="686" spans="1:16" s="34" customFormat="1" x14ac:dyDescent="0.25">
      <c r="A686" s="88"/>
      <c r="B686" s="103"/>
      <c r="C686" s="103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</row>
    <row r="687" spans="1:16" s="34" customFormat="1" x14ac:dyDescent="0.25">
      <c r="A687" s="88"/>
      <c r="B687" s="103"/>
      <c r="C687" s="103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</row>
    <row r="688" spans="1:16" s="34" customFormat="1" x14ac:dyDescent="0.25">
      <c r="A688" s="88"/>
      <c r="B688" s="103"/>
      <c r="C688" s="103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</row>
    <row r="689" spans="1:16" s="34" customFormat="1" x14ac:dyDescent="0.25">
      <c r="A689" s="88"/>
      <c r="B689" s="103"/>
      <c r="C689" s="103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</row>
    <row r="690" spans="1:16" s="34" customFormat="1" x14ac:dyDescent="0.25">
      <c r="A690" s="88"/>
      <c r="B690" s="103"/>
      <c r="C690" s="103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</row>
    <row r="691" spans="1:16" s="34" customFormat="1" x14ac:dyDescent="0.25">
      <c r="A691" s="88"/>
      <c r="B691" s="103"/>
      <c r="C691" s="103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</row>
    <row r="692" spans="1:16" s="34" customFormat="1" x14ac:dyDescent="0.25">
      <c r="A692" s="88"/>
      <c r="B692" s="103"/>
      <c r="C692" s="103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</row>
    <row r="693" spans="1:16" s="34" customFormat="1" x14ac:dyDescent="0.25">
      <c r="A693" s="88"/>
      <c r="B693" s="103"/>
      <c r="C693" s="103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</row>
    <row r="694" spans="1:16" s="34" customFormat="1" x14ac:dyDescent="0.25">
      <c r="A694" s="88"/>
      <c r="B694" s="103"/>
      <c r="C694" s="103"/>
      <c r="D694" s="4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60"/>
    </row>
    <row r="695" spans="1:16" s="34" customFormat="1" x14ac:dyDescent="0.25">
      <c r="A695" s="88"/>
      <c r="B695" s="103"/>
      <c r="C695" s="103"/>
      <c r="D695" s="4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60"/>
    </row>
    <row r="696" spans="1:16" s="34" customFormat="1" x14ac:dyDescent="0.25">
      <c r="A696" s="88"/>
      <c r="B696" s="103"/>
      <c r="C696" s="103"/>
      <c r="D696" s="4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60"/>
    </row>
    <row r="697" spans="1:16" s="34" customFormat="1" x14ac:dyDescent="0.25">
      <c r="A697" s="88"/>
      <c r="B697" s="103"/>
      <c r="C697" s="103"/>
      <c r="D697" s="4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60"/>
    </row>
    <row r="698" spans="1:16" s="34" customFormat="1" x14ac:dyDescent="0.25">
      <c r="A698" s="88"/>
      <c r="B698" s="103"/>
      <c r="C698" s="103"/>
      <c r="D698" s="4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60"/>
    </row>
    <row r="699" spans="1:16" s="34" customFormat="1" x14ac:dyDescent="0.25">
      <c r="A699" s="88"/>
      <c r="B699" s="103"/>
      <c r="C699" s="103"/>
      <c r="D699" s="4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60"/>
    </row>
    <row r="700" spans="1:16" s="34" customFormat="1" x14ac:dyDescent="0.25">
      <c r="A700" s="88"/>
      <c r="B700" s="103"/>
      <c r="C700" s="103"/>
      <c r="D700" s="41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60"/>
    </row>
    <row r="701" spans="1:16" s="34" customFormat="1" x14ac:dyDescent="0.25">
      <c r="A701" s="88"/>
      <c r="B701" s="103"/>
      <c r="C701" s="103"/>
      <c r="D701" s="41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60"/>
    </row>
    <row r="702" spans="1:16" s="34" customFormat="1" x14ac:dyDescent="0.25">
      <c r="A702" s="88"/>
      <c r="B702" s="103"/>
      <c r="C702" s="103"/>
      <c r="D702" s="41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60"/>
    </row>
    <row r="703" spans="1:16" s="34" customFormat="1" x14ac:dyDescent="0.25">
      <c r="A703" s="88"/>
      <c r="B703" s="103"/>
      <c r="C703" s="103"/>
      <c r="D703" s="41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60"/>
    </row>
    <row r="704" spans="1:16" s="34" customFormat="1" x14ac:dyDescent="0.25">
      <c r="A704" s="88"/>
      <c r="B704" s="103"/>
      <c r="C704" s="103"/>
      <c r="D704" s="41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60"/>
    </row>
    <row r="705" spans="1:16" s="34" customFormat="1" x14ac:dyDescent="0.25">
      <c r="A705" s="88"/>
      <c r="B705" s="103"/>
      <c r="C705" s="103"/>
      <c r="D705" s="41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60"/>
    </row>
    <row r="706" spans="1:16" s="34" customFormat="1" x14ac:dyDescent="0.25">
      <c r="A706" s="88"/>
      <c r="B706" s="103"/>
      <c r="C706" s="103"/>
      <c r="D706" s="41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60"/>
    </row>
    <row r="707" spans="1:16" s="34" customFormat="1" x14ac:dyDescent="0.25">
      <c r="A707" s="88"/>
      <c r="B707" s="103"/>
      <c r="C707" s="103"/>
      <c r="D707" s="41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60"/>
    </row>
    <row r="708" spans="1:16" s="34" customFormat="1" x14ac:dyDescent="0.25">
      <c r="A708" s="88"/>
      <c r="B708" s="103"/>
      <c r="C708" s="103"/>
      <c r="D708" s="41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60"/>
    </row>
    <row r="709" spans="1:16" s="34" customFormat="1" x14ac:dyDescent="0.25">
      <c r="A709" s="88"/>
      <c r="B709" s="103"/>
      <c r="C709" s="103"/>
      <c r="D709" s="41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60"/>
    </row>
    <row r="710" spans="1:16" s="34" customFormat="1" x14ac:dyDescent="0.25">
      <c r="A710" s="88"/>
      <c r="B710" s="103"/>
      <c r="C710" s="103"/>
      <c r="D710" s="41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60"/>
    </row>
    <row r="711" spans="1:16" s="34" customFormat="1" x14ac:dyDescent="0.25">
      <c r="A711" s="88"/>
      <c r="B711" s="103"/>
      <c r="C711" s="103"/>
      <c r="D711" s="41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60"/>
    </row>
    <row r="712" spans="1:16" s="34" customFormat="1" x14ac:dyDescent="0.25">
      <c r="A712" s="88"/>
      <c r="B712" s="103"/>
      <c r="C712" s="103"/>
      <c r="D712" s="41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60"/>
    </row>
    <row r="713" spans="1:16" s="34" customFormat="1" x14ac:dyDescent="0.25">
      <c r="A713" s="88"/>
      <c r="B713" s="103"/>
      <c r="C713" s="103"/>
      <c r="D713" s="41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60"/>
    </row>
    <row r="714" spans="1:16" s="34" customFormat="1" x14ac:dyDescent="0.25">
      <c r="A714" s="88"/>
      <c r="B714" s="103"/>
      <c r="C714" s="103"/>
      <c r="D714" s="41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60"/>
    </row>
    <row r="715" spans="1:16" s="34" customFormat="1" x14ac:dyDescent="0.25">
      <c r="A715" s="88"/>
      <c r="B715" s="103"/>
      <c r="C715" s="103"/>
      <c r="D715" s="41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60"/>
    </row>
    <row r="716" spans="1:16" s="34" customFormat="1" x14ac:dyDescent="0.25">
      <c r="A716" s="88"/>
      <c r="B716" s="103"/>
      <c r="C716" s="103"/>
      <c r="D716" s="41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60"/>
    </row>
    <row r="717" spans="1:16" s="34" customFormat="1" x14ac:dyDescent="0.25">
      <c r="A717" s="88"/>
      <c r="B717" s="103"/>
      <c r="C717" s="103"/>
      <c r="D717" s="41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60"/>
    </row>
    <row r="718" spans="1:16" s="34" customFormat="1" x14ac:dyDescent="0.25">
      <c r="A718" s="88"/>
      <c r="B718" s="103"/>
      <c r="C718" s="103"/>
      <c r="D718" s="41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60"/>
    </row>
    <row r="719" spans="1:16" s="34" customFormat="1" x14ac:dyDescent="0.25">
      <c r="A719" s="88"/>
      <c r="B719" s="103"/>
      <c r="C719" s="103"/>
      <c r="D719" s="41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60"/>
    </row>
    <row r="720" spans="1:16" s="34" customFormat="1" x14ac:dyDescent="0.25">
      <c r="A720" s="88"/>
      <c r="B720" s="103"/>
      <c r="C720" s="103"/>
      <c r="D720" s="41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60"/>
    </row>
    <row r="721" spans="1:16" s="34" customFormat="1" x14ac:dyDescent="0.25">
      <c r="A721" s="88"/>
      <c r="B721" s="103"/>
      <c r="C721" s="103"/>
      <c r="D721" s="41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60"/>
    </row>
    <row r="722" spans="1:16" s="34" customFormat="1" x14ac:dyDescent="0.25">
      <c r="A722" s="88"/>
      <c r="B722" s="103"/>
      <c r="C722" s="103"/>
      <c r="D722" s="41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60"/>
    </row>
    <row r="723" spans="1:16" s="34" customFormat="1" x14ac:dyDescent="0.25">
      <c r="A723" s="88"/>
      <c r="B723" s="103"/>
      <c r="C723" s="103"/>
      <c r="D723" s="41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60"/>
    </row>
    <row r="724" spans="1:16" s="34" customFormat="1" x14ac:dyDescent="0.25">
      <c r="A724" s="88"/>
      <c r="B724" s="103"/>
      <c r="C724" s="103"/>
      <c r="D724" s="41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60"/>
    </row>
    <row r="725" spans="1:16" s="34" customFormat="1" x14ac:dyDescent="0.25">
      <c r="A725" s="88"/>
      <c r="B725" s="103"/>
      <c r="C725" s="103"/>
      <c r="D725" s="41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60"/>
    </row>
    <row r="726" spans="1:16" s="34" customFormat="1" x14ac:dyDescent="0.25">
      <c r="A726" s="88"/>
      <c r="B726" s="103"/>
      <c r="C726" s="103"/>
      <c r="D726" s="41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60"/>
    </row>
    <row r="727" spans="1:16" s="34" customFormat="1" x14ac:dyDescent="0.25">
      <c r="A727" s="88"/>
      <c r="B727" s="103"/>
      <c r="C727" s="103"/>
      <c r="D727" s="41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60"/>
    </row>
    <row r="728" spans="1:16" s="34" customFormat="1" x14ac:dyDescent="0.25">
      <c r="A728" s="88"/>
      <c r="B728" s="103"/>
      <c r="C728" s="103"/>
      <c r="D728" s="41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60"/>
    </row>
    <row r="729" spans="1:16" s="34" customFormat="1" x14ac:dyDescent="0.25">
      <c r="A729" s="88"/>
      <c r="B729" s="103"/>
      <c r="C729" s="103"/>
      <c r="D729" s="41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60"/>
    </row>
    <row r="730" spans="1:16" s="34" customFormat="1" x14ac:dyDescent="0.25">
      <c r="A730" s="88"/>
      <c r="B730" s="103"/>
      <c r="C730" s="103"/>
      <c r="D730" s="41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60"/>
    </row>
    <row r="731" spans="1:16" s="34" customFormat="1" x14ac:dyDescent="0.25">
      <c r="A731" s="88"/>
      <c r="B731" s="103"/>
      <c r="C731" s="103"/>
      <c r="D731" s="41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60"/>
    </row>
    <row r="732" spans="1:16" s="34" customFormat="1" x14ac:dyDescent="0.25">
      <c r="A732" s="88"/>
      <c r="B732" s="103"/>
      <c r="C732" s="103"/>
      <c r="D732" s="41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60"/>
    </row>
    <row r="733" spans="1:16" s="34" customFormat="1" x14ac:dyDescent="0.25">
      <c r="A733" s="88"/>
      <c r="B733" s="103"/>
      <c r="C733" s="103"/>
      <c r="D733" s="41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60"/>
    </row>
    <row r="734" spans="1:16" s="34" customFormat="1" x14ac:dyDescent="0.25">
      <c r="A734" s="88"/>
      <c r="B734" s="103"/>
      <c r="C734" s="103"/>
      <c r="D734" s="41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60"/>
    </row>
    <row r="735" spans="1:16" s="34" customFormat="1" x14ac:dyDescent="0.25">
      <c r="A735" s="88"/>
      <c r="B735" s="103"/>
      <c r="C735" s="103"/>
      <c r="D735" s="41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60"/>
    </row>
    <row r="736" spans="1:16" s="34" customFormat="1" x14ac:dyDescent="0.25">
      <c r="A736" s="88"/>
      <c r="B736" s="103"/>
      <c r="C736" s="103"/>
      <c r="D736" s="41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60"/>
    </row>
    <row r="737" spans="1:16" s="34" customFormat="1" x14ac:dyDescent="0.25">
      <c r="A737" s="88"/>
      <c r="B737" s="103"/>
      <c r="C737" s="103"/>
      <c r="D737" s="41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60"/>
    </row>
    <row r="738" spans="1:16" s="34" customFormat="1" x14ac:dyDescent="0.25">
      <c r="A738" s="88"/>
      <c r="B738" s="103"/>
      <c r="C738" s="103"/>
      <c r="D738" s="41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60"/>
    </row>
    <row r="739" spans="1:16" s="34" customFormat="1" x14ac:dyDescent="0.25">
      <c r="A739" s="88"/>
      <c r="B739" s="103"/>
      <c r="C739" s="103"/>
      <c r="D739" s="41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60"/>
    </row>
    <row r="740" spans="1:16" s="34" customFormat="1" x14ac:dyDescent="0.25">
      <c r="A740" s="88"/>
      <c r="B740" s="103"/>
      <c r="C740" s="103"/>
      <c r="D740" s="41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60"/>
    </row>
    <row r="741" spans="1:16" s="34" customFormat="1" x14ac:dyDescent="0.25">
      <c r="A741" s="88"/>
      <c r="B741" s="103"/>
      <c r="C741" s="103"/>
      <c r="D741" s="41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60"/>
    </row>
    <row r="742" spans="1:16" s="34" customFormat="1" x14ac:dyDescent="0.25">
      <c r="A742" s="88"/>
      <c r="B742" s="103"/>
      <c r="C742" s="103"/>
      <c r="D742" s="41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60"/>
    </row>
    <row r="743" spans="1:16" s="34" customFormat="1" x14ac:dyDescent="0.25">
      <c r="A743" s="88"/>
      <c r="B743" s="103"/>
      <c r="C743" s="103"/>
      <c r="D743" s="41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60"/>
    </row>
    <row r="744" spans="1:16" s="34" customFormat="1" x14ac:dyDescent="0.25">
      <c r="A744" s="88"/>
      <c r="B744" s="103"/>
      <c r="C744" s="103"/>
      <c r="D744" s="41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60"/>
    </row>
    <row r="745" spans="1:16" s="34" customFormat="1" x14ac:dyDescent="0.25">
      <c r="A745" s="88"/>
      <c r="B745" s="103"/>
      <c r="C745" s="103"/>
      <c r="D745" s="41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60"/>
    </row>
    <row r="746" spans="1:16" s="34" customFormat="1" x14ac:dyDescent="0.25">
      <c r="A746" s="88"/>
      <c r="B746" s="103"/>
      <c r="C746" s="103"/>
      <c r="D746" s="41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60"/>
    </row>
    <row r="747" spans="1:16" s="34" customFormat="1" x14ac:dyDescent="0.25">
      <c r="A747" s="88"/>
      <c r="B747" s="103"/>
      <c r="C747" s="103"/>
      <c r="D747" s="41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60"/>
    </row>
    <row r="748" spans="1:16" s="34" customFormat="1" x14ac:dyDescent="0.25">
      <c r="A748" s="88"/>
      <c r="B748" s="103"/>
      <c r="C748" s="103"/>
      <c r="D748" s="41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60"/>
    </row>
    <row r="749" spans="1:16" s="34" customFormat="1" x14ac:dyDescent="0.25">
      <c r="A749" s="88"/>
      <c r="B749" s="103"/>
      <c r="C749" s="103"/>
      <c r="D749" s="41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60"/>
    </row>
    <row r="750" spans="1:16" s="34" customFormat="1" x14ac:dyDescent="0.25">
      <c r="A750" s="88"/>
      <c r="B750" s="103"/>
      <c r="C750" s="103"/>
      <c r="D750" s="41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60"/>
    </row>
    <row r="751" spans="1:16" s="34" customFormat="1" x14ac:dyDescent="0.25">
      <c r="A751" s="88"/>
      <c r="B751" s="103"/>
      <c r="C751" s="103"/>
      <c r="D751" s="41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60"/>
    </row>
    <row r="752" spans="1:16" s="34" customFormat="1" x14ac:dyDescent="0.25">
      <c r="A752" s="88"/>
      <c r="B752" s="103"/>
      <c r="C752" s="103"/>
      <c r="D752" s="41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60"/>
    </row>
  </sheetData>
  <mergeCells count="21">
    <mergeCell ref="J16:J17"/>
    <mergeCell ref="K16:K17"/>
    <mergeCell ref="E16:E17"/>
    <mergeCell ref="F16:F17"/>
    <mergeCell ref="E15:I15"/>
    <mergeCell ref="L1:O1"/>
    <mergeCell ref="L4:P4"/>
    <mergeCell ref="L3:P3"/>
    <mergeCell ref="N258:P258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50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showGridLines="0" showZeros="0" view="pageBreakPreview" topLeftCell="A152" zoomScale="86" zoomScaleNormal="65" zoomScaleSheetLayoutView="86" workbookViewId="0">
      <selection activeCell="C153" sqref="C153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2.5" style="4" customWidth="1"/>
    <col min="15" max="15" width="22" style="4" customWidth="1"/>
    <col min="16" max="16384" width="9.1640625" style="4"/>
  </cols>
  <sheetData>
    <row r="1" spans="1:16" ht="31.5" x14ac:dyDescent="0.25">
      <c r="J1" s="121"/>
      <c r="K1" s="182" t="s">
        <v>512</v>
      </c>
      <c r="L1" s="182"/>
      <c r="M1" s="182"/>
      <c r="N1" s="182"/>
      <c r="O1" s="153"/>
    </row>
    <row r="2" spans="1:16" ht="31.5" x14ac:dyDescent="0.25">
      <c r="J2" s="121"/>
      <c r="K2" s="153" t="s">
        <v>422</v>
      </c>
      <c r="L2" s="153"/>
      <c r="M2" s="153"/>
      <c r="N2" s="153"/>
      <c r="O2" s="91"/>
      <c r="P2" s="34"/>
    </row>
    <row r="3" spans="1:16" ht="31.5" x14ac:dyDescent="0.25">
      <c r="J3" s="121"/>
      <c r="K3" s="184" t="s">
        <v>423</v>
      </c>
      <c r="L3" s="184"/>
      <c r="M3" s="184"/>
      <c r="N3" s="184"/>
      <c r="O3" s="184"/>
      <c r="P3" s="34"/>
    </row>
    <row r="4" spans="1:16" ht="31.5" x14ac:dyDescent="0.25">
      <c r="J4" s="121"/>
      <c r="K4" s="183" t="s">
        <v>424</v>
      </c>
      <c r="L4" s="183"/>
      <c r="M4" s="183"/>
      <c r="N4" s="183"/>
      <c r="O4" s="183"/>
      <c r="P4" s="34"/>
    </row>
    <row r="5" spans="1:16" ht="31.5" x14ac:dyDescent="0.25">
      <c r="J5" s="121"/>
      <c r="K5" s="153" t="s">
        <v>443</v>
      </c>
      <c r="L5" s="153"/>
      <c r="M5" s="153"/>
      <c r="N5" s="153"/>
      <c r="O5" s="153"/>
      <c r="P5" s="34"/>
    </row>
    <row r="6" spans="1:16" ht="31.5" x14ac:dyDescent="0.25">
      <c r="J6" s="121"/>
      <c r="K6" s="153" t="s">
        <v>430</v>
      </c>
      <c r="L6" s="153"/>
      <c r="M6" s="153"/>
      <c r="N6" s="153"/>
      <c r="O6" s="153"/>
      <c r="P6" s="34"/>
    </row>
    <row r="7" spans="1:16" ht="31.5" x14ac:dyDescent="0.25">
      <c r="J7" s="121"/>
      <c r="K7" s="153" t="s">
        <v>438</v>
      </c>
      <c r="L7" s="153"/>
      <c r="M7" s="153"/>
      <c r="N7" s="153"/>
      <c r="O7" s="153"/>
      <c r="P7" s="34"/>
    </row>
    <row r="8" spans="1:16" ht="31.5" x14ac:dyDescent="0.25">
      <c r="J8" s="121"/>
      <c r="K8" s="153" t="s">
        <v>429</v>
      </c>
      <c r="L8" s="153"/>
      <c r="M8" s="153"/>
      <c r="N8" s="153"/>
      <c r="O8" s="153"/>
      <c r="P8" s="34"/>
    </row>
    <row r="9" spans="1:16" ht="26.25" customHeight="1" x14ac:dyDescent="0.4">
      <c r="J9" s="122"/>
      <c r="K9" s="108" t="s">
        <v>507</v>
      </c>
      <c r="L9" s="108"/>
      <c r="M9" s="108"/>
      <c r="N9" s="108"/>
      <c r="O9" s="108"/>
      <c r="P9" s="154"/>
    </row>
    <row r="10" spans="1:16" ht="26.25" customHeight="1" x14ac:dyDescent="0.25">
      <c r="J10" s="154"/>
      <c r="K10" s="154"/>
      <c r="L10" s="154"/>
      <c r="M10" s="154"/>
      <c r="N10" s="154"/>
      <c r="O10" s="154"/>
      <c r="P10" s="154"/>
    </row>
    <row r="11" spans="1:16" ht="29.25" customHeight="1" x14ac:dyDescent="0.4">
      <c r="J11" s="153"/>
      <c r="K11" s="108"/>
      <c r="L11" s="108"/>
      <c r="M11" s="108"/>
      <c r="N11" s="108"/>
      <c r="O11" s="109"/>
      <c r="P11" s="34"/>
    </row>
    <row r="12" spans="1:16" ht="65.25" customHeight="1" x14ac:dyDescent="0.25">
      <c r="A12" s="189" t="s">
        <v>407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6" ht="31.5" customHeight="1" x14ac:dyDescent="0.25">
      <c r="A13" s="191" t="s">
        <v>398</v>
      </c>
      <c r="B13" s="191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6" ht="21" customHeight="1" x14ac:dyDescent="0.25">
      <c r="A14" s="192" t="s">
        <v>415</v>
      </c>
      <c r="B14" s="1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6" s="17" customFormat="1" ht="24" customHeight="1" x14ac:dyDescent="0.3">
      <c r="A15" s="14"/>
      <c r="B15" s="15"/>
      <c r="C15" s="16"/>
      <c r="O15" s="113" t="s">
        <v>394</v>
      </c>
    </row>
    <row r="16" spans="1:16" s="79" customFormat="1" ht="21.75" customHeight="1" x14ac:dyDescent="0.25">
      <c r="A16" s="190" t="s">
        <v>372</v>
      </c>
      <c r="B16" s="190" t="s">
        <v>359</v>
      </c>
      <c r="C16" s="190" t="s">
        <v>374</v>
      </c>
      <c r="D16" s="186" t="s">
        <v>245</v>
      </c>
      <c r="E16" s="186"/>
      <c r="F16" s="186"/>
      <c r="G16" s="186"/>
      <c r="H16" s="186"/>
      <c r="I16" s="186" t="s">
        <v>246</v>
      </c>
      <c r="J16" s="186"/>
      <c r="K16" s="186"/>
      <c r="L16" s="186"/>
      <c r="M16" s="186"/>
      <c r="N16" s="186"/>
      <c r="O16" s="186" t="s">
        <v>247</v>
      </c>
    </row>
    <row r="17" spans="1:15" s="79" customFormat="1" ht="29.25" customHeight="1" x14ac:dyDescent="0.25">
      <c r="A17" s="190"/>
      <c r="B17" s="190"/>
      <c r="C17" s="190"/>
      <c r="D17" s="186" t="s">
        <v>360</v>
      </c>
      <c r="E17" s="186" t="s">
        <v>248</v>
      </c>
      <c r="F17" s="186"/>
      <c r="G17" s="186"/>
      <c r="H17" s="186" t="s">
        <v>250</v>
      </c>
      <c r="I17" s="186" t="s">
        <v>360</v>
      </c>
      <c r="J17" s="186" t="s">
        <v>361</v>
      </c>
      <c r="K17" s="186" t="s">
        <v>248</v>
      </c>
      <c r="L17" s="186" t="s">
        <v>249</v>
      </c>
      <c r="M17" s="186"/>
      <c r="N17" s="186" t="s">
        <v>250</v>
      </c>
      <c r="O17" s="186"/>
    </row>
    <row r="18" spans="1:15" s="79" customFormat="1" ht="75.75" customHeight="1" x14ac:dyDescent="0.25">
      <c r="A18" s="190"/>
      <c r="B18" s="190"/>
      <c r="C18" s="190"/>
      <c r="D18" s="186"/>
      <c r="E18" s="186"/>
      <c r="F18" s="155" t="s">
        <v>251</v>
      </c>
      <c r="G18" s="155" t="s">
        <v>252</v>
      </c>
      <c r="H18" s="186"/>
      <c r="I18" s="186"/>
      <c r="J18" s="186"/>
      <c r="K18" s="186"/>
      <c r="L18" s="155" t="s">
        <v>251</v>
      </c>
      <c r="M18" s="155" t="s">
        <v>252</v>
      </c>
      <c r="N18" s="186"/>
      <c r="O18" s="186"/>
    </row>
    <row r="19" spans="1:15" s="79" customFormat="1" ht="27.75" customHeight="1" x14ac:dyDescent="0.25">
      <c r="A19" s="7" t="s">
        <v>47</v>
      </c>
      <c r="B19" s="8"/>
      <c r="C19" s="9" t="s">
        <v>48</v>
      </c>
      <c r="D19" s="61">
        <f t="shared" ref="D19:O19" si="0">D20+D21</f>
        <v>236940700</v>
      </c>
      <c r="E19" s="61">
        <f t="shared" si="0"/>
        <v>236940700</v>
      </c>
      <c r="F19" s="61">
        <f t="shared" si="0"/>
        <v>179411600</v>
      </c>
      <c r="G19" s="61">
        <f t="shared" si="0"/>
        <v>4317900</v>
      </c>
      <c r="H19" s="61">
        <f t="shared" si="0"/>
        <v>0</v>
      </c>
      <c r="I19" s="61">
        <f t="shared" si="0"/>
        <v>3385000</v>
      </c>
      <c r="J19" s="61">
        <f t="shared" si="0"/>
        <v>185000</v>
      </c>
      <c r="K19" s="61">
        <f t="shared" si="0"/>
        <v>3200000</v>
      </c>
      <c r="L19" s="61">
        <f t="shared" si="0"/>
        <v>2348000</v>
      </c>
      <c r="M19" s="61">
        <f t="shared" si="0"/>
        <v>90600</v>
      </c>
      <c r="N19" s="61">
        <f t="shared" si="0"/>
        <v>185000</v>
      </c>
      <c r="O19" s="61">
        <f t="shared" si="0"/>
        <v>240325700</v>
      </c>
    </row>
    <row r="20" spans="1:15" ht="57.75" customHeight="1" x14ac:dyDescent="0.25">
      <c r="A20" s="46" t="s">
        <v>127</v>
      </c>
      <c r="B20" s="46" t="s">
        <v>50</v>
      </c>
      <c r="C20" s="6" t="s">
        <v>128</v>
      </c>
      <c r="D20" s="62">
        <f>'дод 3'!E21+'дод 3'!E66+'дод 3'!E106+'дод 3'!E130+'дод 3'!E159+'дод 3'!E164+'дод 3'!E176+'дод 3'!E203+'дод 3'!E207+'дод 3'!E222+'дод 3'!E227+'дод 3'!E230+'дод 3'!E238</f>
        <v>236510400</v>
      </c>
      <c r="E20" s="62">
        <f>'дод 3'!F21+'дод 3'!F66+'дод 3'!F106+'дод 3'!F130+'дод 3'!F159+'дод 3'!F164+'дод 3'!F176+'дод 3'!F203+'дод 3'!F207+'дод 3'!F222+'дод 3'!F227+'дод 3'!F230+'дод 3'!F238</f>
        <v>236510400</v>
      </c>
      <c r="F20" s="62">
        <f>'дод 3'!G21+'дод 3'!G66+'дод 3'!G106+'дод 3'!G130+'дод 3'!G159+'дод 3'!G164+'дод 3'!G176+'дод 3'!G203+'дод 3'!G207+'дод 3'!G222+'дод 3'!G227+'дод 3'!G230+'дод 3'!G238</f>
        <v>179411600</v>
      </c>
      <c r="G20" s="62">
        <f>'дод 3'!H21+'дод 3'!H66+'дод 3'!H106+'дод 3'!H130+'дод 3'!H159+'дод 3'!H164+'дод 3'!H176+'дод 3'!H203+'дод 3'!H207+'дод 3'!H222+'дод 3'!H227+'дод 3'!H230+'дод 3'!H238</f>
        <v>4317900</v>
      </c>
      <c r="H20" s="62">
        <f>'дод 3'!I21+'дод 3'!I66+'дод 3'!I106+'дод 3'!I130+'дод 3'!I159+'дод 3'!I164+'дод 3'!I176+'дод 3'!I203+'дод 3'!I207+'дод 3'!I222+'дод 3'!I227+'дод 3'!I230+'дод 3'!I238</f>
        <v>0</v>
      </c>
      <c r="I20" s="62">
        <f>'дод 3'!J21+'дод 3'!J66+'дод 3'!J106+'дод 3'!J130+'дод 3'!J159+'дод 3'!J164+'дод 3'!J176+'дод 3'!J203+'дод 3'!J207+'дод 3'!J222+'дод 3'!J227+'дод 3'!J230+'дод 3'!J238</f>
        <v>3385000</v>
      </c>
      <c r="J20" s="62">
        <f>'дод 3'!K21+'дод 3'!K66+'дод 3'!K106+'дод 3'!K130+'дод 3'!K159+'дод 3'!K164+'дод 3'!K176+'дод 3'!K203+'дод 3'!K207+'дод 3'!K222+'дод 3'!K227+'дод 3'!K230+'дод 3'!K238</f>
        <v>185000</v>
      </c>
      <c r="K20" s="62">
        <f>'дод 3'!L21+'дод 3'!L66+'дод 3'!L106+'дод 3'!L130+'дод 3'!L159+'дод 3'!L164+'дод 3'!L176+'дод 3'!L203+'дод 3'!L207+'дод 3'!L222+'дод 3'!L227+'дод 3'!L230+'дод 3'!L238</f>
        <v>3200000</v>
      </c>
      <c r="L20" s="62">
        <f>'дод 3'!M21+'дод 3'!M66+'дод 3'!M106+'дод 3'!M130+'дод 3'!M159+'дод 3'!M164+'дод 3'!M176+'дод 3'!M203+'дод 3'!M207+'дод 3'!M222+'дод 3'!M227+'дод 3'!M230+'дод 3'!M238</f>
        <v>2348000</v>
      </c>
      <c r="M20" s="62">
        <f>'дод 3'!N21+'дод 3'!N66+'дод 3'!N106+'дод 3'!N130+'дод 3'!N159+'дод 3'!N164+'дод 3'!N176+'дод 3'!N203+'дод 3'!N207+'дод 3'!N222+'дод 3'!N227+'дод 3'!N230+'дод 3'!N238</f>
        <v>90600</v>
      </c>
      <c r="N20" s="62">
        <f>'дод 3'!O21+'дод 3'!O66+'дод 3'!O106+'дод 3'!O130+'дод 3'!O159+'дод 3'!O164+'дод 3'!O176+'дод 3'!O203+'дод 3'!O207+'дод 3'!O222+'дод 3'!O227+'дод 3'!O230+'дод 3'!O238</f>
        <v>185000</v>
      </c>
      <c r="O20" s="62">
        <f>'дод 3'!P21+'дод 3'!P66+'дод 3'!P106+'дод 3'!P130+'дод 3'!P159+'дод 3'!P164+'дод 3'!P176+'дод 3'!P203+'дод 3'!P207+'дод 3'!P222+'дод 3'!P227+'дод 3'!P230+'дод 3'!P238</f>
        <v>239895400</v>
      </c>
    </row>
    <row r="21" spans="1:15" ht="27" customHeight="1" x14ac:dyDescent="0.25">
      <c r="A21" s="46" t="s">
        <v>49</v>
      </c>
      <c r="B21" s="46" t="s">
        <v>100</v>
      </c>
      <c r="C21" s="6" t="s">
        <v>264</v>
      </c>
      <c r="D21" s="62">
        <f>'дод 3'!E22</f>
        <v>430300</v>
      </c>
      <c r="E21" s="62">
        <f>'дод 3'!F22</f>
        <v>430300</v>
      </c>
      <c r="F21" s="62">
        <f>'дод 3'!G22</f>
        <v>0</v>
      </c>
      <c r="G21" s="62">
        <f>'дод 3'!H22</f>
        <v>0</v>
      </c>
      <c r="H21" s="62">
        <f>'дод 3'!I22</f>
        <v>0</v>
      </c>
      <c r="I21" s="62">
        <f>'дод 3'!J22</f>
        <v>0</v>
      </c>
      <c r="J21" s="62">
        <f>'дод 3'!K22</f>
        <v>0</v>
      </c>
      <c r="K21" s="62">
        <f>'дод 3'!L22</f>
        <v>0</v>
      </c>
      <c r="L21" s="62">
        <f>'дод 3'!M22</f>
        <v>0</v>
      </c>
      <c r="M21" s="62">
        <f>'дод 3'!N22</f>
        <v>0</v>
      </c>
      <c r="N21" s="62">
        <f>'дод 3'!O22</f>
        <v>0</v>
      </c>
      <c r="O21" s="62">
        <f>'дод 3'!P22</f>
        <v>430300</v>
      </c>
    </row>
    <row r="22" spans="1:15" s="79" customFormat="1" ht="24" customHeight="1" x14ac:dyDescent="0.25">
      <c r="A22" s="47" t="s">
        <v>51</v>
      </c>
      <c r="B22" s="48"/>
      <c r="C22" s="9" t="s">
        <v>469</v>
      </c>
      <c r="D22" s="61">
        <f t="shared" ref="D22:O22" si="1">D29+D31+D38+D41+D42+D43+D45+D46+D47+D48</f>
        <v>952594310</v>
      </c>
      <c r="E22" s="61">
        <f t="shared" si="1"/>
        <v>952594310</v>
      </c>
      <c r="F22" s="61">
        <f t="shared" si="1"/>
        <v>657978136</v>
      </c>
      <c r="G22" s="61">
        <f t="shared" si="1"/>
        <v>71459612</v>
      </c>
      <c r="H22" s="61">
        <f t="shared" si="1"/>
        <v>0</v>
      </c>
      <c r="I22" s="61">
        <f t="shared" si="1"/>
        <v>63873970.640000001</v>
      </c>
      <c r="J22" s="61">
        <f t="shared" si="1"/>
        <v>7777822.6400000006</v>
      </c>
      <c r="K22" s="61">
        <f t="shared" si="1"/>
        <v>55986428</v>
      </c>
      <c r="L22" s="61">
        <f t="shared" si="1"/>
        <v>6476192</v>
      </c>
      <c r="M22" s="61">
        <f t="shared" si="1"/>
        <v>3124191</v>
      </c>
      <c r="N22" s="61">
        <f t="shared" si="1"/>
        <v>7887542.6400000006</v>
      </c>
      <c r="O22" s="61">
        <f t="shared" si="1"/>
        <v>1016468280.64</v>
      </c>
    </row>
    <row r="23" spans="1:15" s="80" customFormat="1" ht="31.5" x14ac:dyDescent="0.25">
      <c r="A23" s="149"/>
      <c r="B23" s="168"/>
      <c r="C23" s="169" t="s">
        <v>453</v>
      </c>
      <c r="D23" s="170">
        <f t="shared" ref="D23:O23" si="2">D36+D39+D44</f>
        <v>361396746</v>
      </c>
      <c r="E23" s="170">
        <f t="shared" si="2"/>
        <v>361396746</v>
      </c>
      <c r="F23" s="170">
        <f t="shared" si="2"/>
        <v>296702414</v>
      </c>
      <c r="G23" s="170">
        <f t="shared" si="2"/>
        <v>0</v>
      </c>
      <c r="H23" s="170">
        <f t="shared" si="2"/>
        <v>0</v>
      </c>
      <c r="I23" s="170">
        <f t="shared" si="2"/>
        <v>0</v>
      </c>
      <c r="J23" s="170">
        <f t="shared" si="2"/>
        <v>0</v>
      </c>
      <c r="K23" s="170">
        <f t="shared" si="2"/>
        <v>0</v>
      </c>
      <c r="L23" s="170">
        <f t="shared" si="2"/>
        <v>0</v>
      </c>
      <c r="M23" s="170">
        <f t="shared" si="2"/>
        <v>0</v>
      </c>
      <c r="N23" s="170">
        <f t="shared" si="2"/>
        <v>0</v>
      </c>
      <c r="O23" s="170">
        <f t="shared" si="2"/>
        <v>361396746</v>
      </c>
    </row>
    <row r="24" spans="1:15" s="80" customFormat="1" ht="78.75" x14ac:dyDescent="0.25">
      <c r="A24" s="149"/>
      <c r="B24" s="168"/>
      <c r="C24" s="169" t="s">
        <v>451</v>
      </c>
      <c r="D24" s="170">
        <f>D32</f>
        <v>2739700</v>
      </c>
      <c r="E24" s="170">
        <f t="shared" ref="E24:O24" si="3">E32</f>
        <v>2739700</v>
      </c>
      <c r="F24" s="170">
        <f t="shared" si="3"/>
        <v>2249257</v>
      </c>
      <c r="G24" s="170">
        <f t="shared" si="3"/>
        <v>0</v>
      </c>
      <c r="H24" s="170">
        <f t="shared" si="3"/>
        <v>0</v>
      </c>
      <c r="I24" s="170">
        <f t="shared" si="3"/>
        <v>0</v>
      </c>
      <c r="J24" s="170">
        <f t="shared" si="3"/>
        <v>0</v>
      </c>
      <c r="K24" s="170">
        <f t="shared" si="3"/>
        <v>0</v>
      </c>
      <c r="L24" s="170">
        <f t="shared" si="3"/>
        <v>0</v>
      </c>
      <c r="M24" s="170">
        <f t="shared" si="3"/>
        <v>0</v>
      </c>
      <c r="N24" s="170">
        <f t="shared" si="3"/>
        <v>0</v>
      </c>
      <c r="O24" s="170">
        <f t="shared" si="3"/>
        <v>2739700</v>
      </c>
    </row>
    <row r="25" spans="1:15" s="80" customFormat="1" ht="47.25" x14ac:dyDescent="0.25">
      <c r="A25" s="149"/>
      <c r="B25" s="168"/>
      <c r="C25" s="169" t="s">
        <v>448</v>
      </c>
      <c r="D25" s="170">
        <f>D33+D49</f>
        <v>3303370</v>
      </c>
      <c r="E25" s="170">
        <f t="shared" ref="E25:O25" si="4">E33+E49</f>
        <v>3303370</v>
      </c>
      <c r="F25" s="170">
        <f t="shared" si="4"/>
        <v>1013420</v>
      </c>
      <c r="G25" s="170">
        <f t="shared" si="4"/>
        <v>0</v>
      </c>
      <c r="H25" s="170">
        <f t="shared" si="4"/>
        <v>0</v>
      </c>
      <c r="I25" s="170">
        <f t="shared" si="4"/>
        <v>0</v>
      </c>
      <c r="J25" s="170">
        <f t="shared" si="4"/>
        <v>0</v>
      </c>
      <c r="K25" s="170">
        <f t="shared" si="4"/>
        <v>0</v>
      </c>
      <c r="L25" s="170">
        <f t="shared" si="4"/>
        <v>0</v>
      </c>
      <c r="M25" s="170">
        <f t="shared" si="4"/>
        <v>0</v>
      </c>
      <c r="N25" s="170">
        <f t="shared" si="4"/>
        <v>0</v>
      </c>
      <c r="O25" s="170">
        <f t="shared" si="4"/>
        <v>3303370</v>
      </c>
    </row>
    <row r="26" spans="1:15" s="80" customFormat="1" ht="47.25" x14ac:dyDescent="0.25">
      <c r="A26" s="149"/>
      <c r="B26" s="168"/>
      <c r="C26" s="169" t="s">
        <v>450</v>
      </c>
      <c r="D26" s="170">
        <f>D34</f>
        <v>182274</v>
      </c>
      <c r="E26" s="170">
        <f t="shared" ref="E26:O26" si="5">E34</f>
        <v>182274</v>
      </c>
      <c r="F26" s="170">
        <f t="shared" si="5"/>
        <v>0</v>
      </c>
      <c r="G26" s="170">
        <f t="shared" si="5"/>
        <v>0</v>
      </c>
      <c r="H26" s="170">
        <f t="shared" si="5"/>
        <v>0</v>
      </c>
      <c r="I26" s="170">
        <f t="shared" si="5"/>
        <v>621926</v>
      </c>
      <c r="J26" s="170">
        <f t="shared" si="5"/>
        <v>621926</v>
      </c>
      <c r="K26" s="170">
        <f t="shared" si="5"/>
        <v>0</v>
      </c>
      <c r="L26" s="170">
        <f t="shared" si="5"/>
        <v>0</v>
      </c>
      <c r="M26" s="170">
        <f t="shared" si="5"/>
        <v>0</v>
      </c>
      <c r="N26" s="170">
        <f t="shared" si="5"/>
        <v>621926</v>
      </c>
      <c r="O26" s="170">
        <f t="shared" si="5"/>
        <v>804200</v>
      </c>
    </row>
    <row r="27" spans="1:15" s="80" customFormat="1" ht="63" x14ac:dyDescent="0.25">
      <c r="A27" s="149"/>
      <c r="B27" s="168"/>
      <c r="C27" s="171" t="s">
        <v>447</v>
      </c>
      <c r="D27" s="170">
        <f>D30+D35</f>
        <v>1767879</v>
      </c>
      <c r="E27" s="170">
        <f t="shared" ref="E27:O27" si="6">E30+E35</f>
        <v>1767879</v>
      </c>
      <c r="F27" s="170">
        <f t="shared" si="6"/>
        <v>1449080</v>
      </c>
      <c r="G27" s="170">
        <f t="shared" si="6"/>
        <v>0</v>
      </c>
      <c r="H27" s="170">
        <f t="shared" si="6"/>
        <v>0</v>
      </c>
      <c r="I27" s="170">
        <f t="shared" si="6"/>
        <v>744000</v>
      </c>
      <c r="J27" s="170">
        <f t="shared" si="6"/>
        <v>744000</v>
      </c>
      <c r="K27" s="170">
        <f t="shared" si="6"/>
        <v>0</v>
      </c>
      <c r="L27" s="170">
        <f t="shared" si="6"/>
        <v>0</v>
      </c>
      <c r="M27" s="170">
        <f t="shared" si="6"/>
        <v>0</v>
      </c>
      <c r="N27" s="170">
        <f t="shared" si="6"/>
        <v>744000</v>
      </c>
      <c r="O27" s="170">
        <f t="shared" si="6"/>
        <v>2511879</v>
      </c>
    </row>
    <row r="28" spans="1:15" s="80" customFormat="1" ht="63" x14ac:dyDescent="0.25">
      <c r="A28" s="149"/>
      <c r="B28" s="168"/>
      <c r="C28" s="169" t="s">
        <v>449</v>
      </c>
      <c r="D28" s="170">
        <f>D37+D40</f>
        <v>4807997</v>
      </c>
      <c r="E28" s="170">
        <f t="shared" ref="E28:O28" si="7">E37+E40</f>
        <v>4807997</v>
      </c>
      <c r="F28" s="170">
        <f t="shared" si="7"/>
        <v>0</v>
      </c>
      <c r="G28" s="170">
        <f t="shared" si="7"/>
        <v>0</v>
      </c>
      <c r="H28" s="170">
        <f t="shared" si="7"/>
        <v>0</v>
      </c>
      <c r="I28" s="170">
        <f t="shared" si="7"/>
        <v>742539</v>
      </c>
      <c r="J28" s="170">
        <f t="shared" si="7"/>
        <v>742539</v>
      </c>
      <c r="K28" s="170">
        <f t="shared" si="7"/>
        <v>0</v>
      </c>
      <c r="L28" s="170">
        <f t="shared" si="7"/>
        <v>0</v>
      </c>
      <c r="M28" s="170">
        <f t="shared" si="7"/>
        <v>0</v>
      </c>
      <c r="N28" s="170">
        <f t="shared" si="7"/>
        <v>742539</v>
      </c>
      <c r="O28" s="170">
        <f t="shared" si="7"/>
        <v>5550536</v>
      </c>
    </row>
    <row r="29" spans="1:15" ht="27" customHeight="1" x14ac:dyDescent="0.25">
      <c r="A29" s="46" t="s">
        <v>52</v>
      </c>
      <c r="B29" s="46" t="s">
        <v>53</v>
      </c>
      <c r="C29" s="6" t="s">
        <v>470</v>
      </c>
      <c r="D29" s="62">
        <f>'дод 3'!E67</f>
        <v>237673232</v>
      </c>
      <c r="E29" s="62">
        <f>'дод 3'!F67</f>
        <v>237673232</v>
      </c>
      <c r="F29" s="62">
        <f>'дод 3'!G67</f>
        <v>159483510</v>
      </c>
      <c r="G29" s="62">
        <f>'дод 3'!H67</f>
        <v>23534440</v>
      </c>
      <c r="H29" s="62">
        <f>'дод 3'!I67</f>
        <v>0</v>
      </c>
      <c r="I29" s="62">
        <f>'дод 3'!J67</f>
        <v>17977603</v>
      </c>
      <c r="J29" s="62">
        <f>'дод 3'!K67</f>
        <v>1651947</v>
      </c>
      <c r="K29" s="62">
        <f>'дод 3'!L67</f>
        <v>16325656</v>
      </c>
      <c r="L29" s="62">
        <f>'дод 3'!M67</f>
        <v>0</v>
      </c>
      <c r="M29" s="62">
        <f>'дод 3'!N67</f>
        <v>0</v>
      </c>
      <c r="N29" s="62">
        <f>'дод 3'!O67</f>
        <v>1651947</v>
      </c>
      <c r="O29" s="62">
        <f>'дод 3'!P67</f>
        <v>255650835</v>
      </c>
    </row>
    <row r="30" spans="1:15" s="81" customFormat="1" ht="47.25" x14ac:dyDescent="0.25">
      <c r="A30" s="172"/>
      <c r="B30" s="172"/>
      <c r="C30" s="173" t="s">
        <v>447</v>
      </c>
      <c r="D30" s="174">
        <f>'дод 3'!E68</f>
        <v>162879</v>
      </c>
      <c r="E30" s="174">
        <f>'дод 3'!F68</f>
        <v>162879</v>
      </c>
      <c r="F30" s="174">
        <f>'дод 3'!G68</f>
        <v>133510</v>
      </c>
      <c r="G30" s="174">
        <f>'дод 3'!H68</f>
        <v>0</v>
      </c>
      <c r="H30" s="174">
        <f>'дод 3'!I68</f>
        <v>0</v>
      </c>
      <c r="I30" s="174">
        <f>'дод 3'!J68</f>
        <v>80600</v>
      </c>
      <c r="J30" s="174">
        <f>'дод 3'!K68</f>
        <v>80600</v>
      </c>
      <c r="K30" s="174">
        <f>'дод 3'!L68</f>
        <v>0</v>
      </c>
      <c r="L30" s="174">
        <f>'дод 3'!M68</f>
        <v>0</v>
      </c>
      <c r="M30" s="174">
        <f>'дод 3'!N68</f>
        <v>0</v>
      </c>
      <c r="N30" s="174">
        <f>'дод 3'!O68</f>
        <v>80600</v>
      </c>
      <c r="O30" s="174">
        <f>'дод 3'!P68</f>
        <v>243479</v>
      </c>
    </row>
    <row r="31" spans="1:15" ht="55.5" customHeight="1" x14ac:dyDescent="0.25">
      <c r="A31" s="46" t="s">
        <v>54</v>
      </c>
      <c r="B31" s="46" t="s">
        <v>55</v>
      </c>
      <c r="C31" s="6" t="s">
        <v>472</v>
      </c>
      <c r="D31" s="62">
        <f>'дод 3'!E69</f>
        <v>536744807</v>
      </c>
      <c r="E31" s="62">
        <f>'дод 3'!F69</f>
        <v>536744807</v>
      </c>
      <c r="F31" s="62">
        <f>'дод 3'!G69</f>
        <v>378056547</v>
      </c>
      <c r="G31" s="62">
        <f>'дод 3'!H69</f>
        <v>35376857</v>
      </c>
      <c r="H31" s="62">
        <f>'дод 3'!I69</f>
        <v>0</v>
      </c>
      <c r="I31" s="62">
        <f>'дод 3'!J69</f>
        <v>34281295.640000001</v>
      </c>
      <c r="J31" s="62">
        <f>'дод 3'!K69</f>
        <v>5369548.6400000006</v>
      </c>
      <c r="K31" s="62">
        <f>'дод 3'!L69</f>
        <v>28911747</v>
      </c>
      <c r="L31" s="62">
        <f>'дод 3'!M69</f>
        <v>1713303</v>
      </c>
      <c r="M31" s="62">
        <f>'дод 3'!N69</f>
        <v>147329</v>
      </c>
      <c r="N31" s="62">
        <f>'дод 3'!O69</f>
        <v>5369548.6400000006</v>
      </c>
      <c r="O31" s="62">
        <f>'дод 3'!P69</f>
        <v>571026102.63999999</v>
      </c>
    </row>
    <row r="32" spans="1:15" s="81" customFormat="1" ht="63" x14ac:dyDescent="0.25">
      <c r="A32" s="172"/>
      <c r="B32" s="172"/>
      <c r="C32" s="173" t="s">
        <v>451</v>
      </c>
      <c r="D32" s="174">
        <f>'дод 3'!E70</f>
        <v>2739700</v>
      </c>
      <c r="E32" s="174">
        <f>'дод 3'!F70</f>
        <v>2739700</v>
      </c>
      <c r="F32" s="174">
        <f>'дод 3'!G70</f>
        <v>2249257</v>
      </c>
      <c r="G32" s="174">
        <f>'дод 3'!H70</f>
        <v>0</v>
      </c>
      <c r="H32" s="174">
        <f>'дод 3'!I70</f>
        <v>0</v>
      </c>
      <c r="I32" s="174">
        <f>'дод 3'!J70</f>
        <v>0</v>
      </c>
      <c r="J32" s="174">
        <f>'дод 3'!K70</f>
        <v>0</v>
      </c>
      <c r="K32" s="174">
        <f>'дод 3'!L70</f>
        <v>0</v>
      </c>
      <c r="L32" s="174">
        <f>'дод 3'!M70</f>
        <v>0</v>
      </c>
      <c r="M32" s="174">
        <f>'дод 3'!N70</f>
        <v>0</v>
      </c>
      <c r="N32" s="174">
        <f>'дод 3'!O70</f>
        <v>0</v>
      </c>
      <c r="O32" s="174">
        <f>'дод 3'!P70</f>
        <v>2739700</v>
      </c>
    </row>
    <row r="33" spans="1:15" s="81" customFormat="1" ht="47.25" x14ac:dyDescent="0.25">
      <c r="A33" s="172"/>
      <c r="B33" s="172"/>
      <c r="C33" s="173" t="s">
        <v>448</v>
      </c>
      <c r="D33" s="174">
        <f>'дод 3'!E71</f>
        <v>2067000</v>
      </c>
      <c r="E33" s="174">
        <f>'дод 3'!F71</f>
        <v>2067000</v>
      </c>
      <c r="F33" s="174">
        <f>'дод 3'!G71</f>
        <v>0</v>
      </c>
      <c r="G33" s="174">
        <f>'дод 3'!H71</f>
        <v>0</v>
      </c>
      <c r="H33" s="174">
        <f>'дод 3'!I71</f>
        <v>0</v>
      </c>
      <c r="I33" s="174">
        <f>'дод 3'!J71</f>
        <v>0</v>
      </c>
      <c r="J33" s="174">
        <f>'дод 3'!K71</f>
        <v>0</v>
      </c>
      <c r="K33" s="174">
        <f>'дод 3'!L71</f>
        <v>0</v>
      </c>
      <c r="L33" s="174">
        <f>'дод 3'!M71</f>
        <v>0</v>
      </c>
      <c r="M33" s="174">
        <f>'дод 3'!N71</f>
        <v>0</v>
      </c>
      <c r="N33" s="174">
        <f>'дод 3'!O71</f>
        <v>0</v>
      </c>
      <c r="O33" s="174">
        <f>'дод 3'!P71</f>
        <v>2067000</v>
      </c>
    </row>
    <row r="34" spans="1:15" s="81" customFormat="1" ht="47.25" x14ac:dyDescent="0.25">
      <c r="A34" s="172"/>
      <c r="B34" s="172"/>
      <c r="C34" s="173" t="s">
        <v>450</v>
      </c>
      <c r="D34" s="174">
        <f>'дод 3'!E72</f>
        <v>182274</v>
      </c>
      <c r="E34" s="174">
        <f>'дод 3'!F72</f>
        <v>182274</v>
      </c>
      <c r="F34" s="174">
        <f>'дод 3'!G72</f>
        <v>0</v>
      </c>
      <c r="G34" s="174">
        <f>'дод 3'!H72</f>
        <v>0</v>
      </c>
      <c r="H34" s="174">
        <f>'дод 3'!I72</f>
        <v>0</v>
      </c>
      <c r="I34" s="174">
        <f>'дод 3'!J72</f>
        <v>621926</v>
      </c>
      <c r="J34" s="174">
        <f>'дод 3'!K72</f>
        <v>621926</v>
      </c>
      <c r="K34" s="174">
        <f>'дод 3'!L72</f>
        <v>0</v>
      </c>
      <c r="L34" s="174">
        <f>'дод 3'!M72</f>
        <v>0</v>
      </c>
      <c r="M34" s="174">
        <f>'дод 3'!N72</f>
        <v>0</v>
      </c>
      <c r="N34" s="174">
        <f>'дод 3'!O72</f>
        <v>621926</v>
      </c>
      <c r="O34" s="174">
        <f>'дод 3'!P72</f>
        <v>804200</v>
      </c>
    </row>
    <row r="35" spans="1:15" s="81" customFormat="1" ht="47.25" x14ac:dyDescent="0.25">
      <c r="A35" s="172"/>
      <c r="B35" s="172"/>
      <c r="C35" s="173" t="s">
        <v>447</v>
      </c>
      <c r="D35" s="174">
        <f>'дод 3'!E73</f>
        <v>1605000</v>
      </c>
      <c r="E35" s="174">
        <f>'дод 3'!F73</f>
        <v>1605000</v>
      </c>
      <c r="F35" s="174">
        <f>'дод 3'!G73</f>
        <v>1315570</v>
      </c>
      <c r="G35" s="174">
        <f>'дод 3'!H73</f>
        <v>0</v>
      </c>
      <c r="H35" s="174">
        <f>'дод 3'!I73</f>
        <v>0</v>
      </c>
      <c r="I35" s="174">
        <f>'дод 3'!J73</f>
        <v>663400</v>
      </c>
      <c r="J35" s="174">
        <f>'дод 3'!K73</f>
        <v>663400</v>
      </c>
      <c r="K35" s="174">
        <f>'дод 3'!L73</f>
        <v>0</v>
      </c>
      <c r="L35" s="174">
        <f>'дод 3'!M73</f>
        <v>0</v>
      </c>
      <c r="M35" s="174">
        <f>'дод 3'!N73</f>
        <v>0</v>
      </c>
      <c r="N35" s="174">
        <f>'дод 3'!O73</f>
        <v>663400</v>
      </c>
      <c r="O35" s="174">
        <f>'дод 3'!P73</f>
        <v>2268400</v>
      </c>
    </row>
    <row r="36" spans="1:15" s="81" customFormat="1" ht="31.5" x14ac:dyDescent="0.25">
      <c r="A36" s="172"/>
      <c r="B36" s="172"/>
      <c r="C36" s="173" t="s">
        <v>453</v>
      </c>
      <c r="D36" s="174">
        <f>'дод 3'!E74</f>
        <v>347149400</v>
      </c>
      <c r="E36" s="174">
        <f>'дод 3'!F74</f>
        <v>347149400</v>
      </c>
      <c r="F36" s="174">
        <f>'дод 3'!G74</f>
        <v>285015950</v>
      </c>
      <c r="G36" s="174">
        <f>'дод 3'!H74</f>
        <v>0</v>
      </c>
      <c r="H36" s="174">
        <f>'дод 3'!I74</f>
        <v>0</v>
      </c>
      <c r="I36" s="174">
        <f>'дод 3'!J74</f>
        <v>0</v>
      </c>
      <c r="J36" s="174">
        <f>'дод 3'!K74</f>
        <v>0</v>
      </c>
      <c r="K36" s="174">
        <f>'дод 3'!L74</f>
        <v>0</v>
      </c>
      <c r="L36" s="174">
        <f>'дод 3'!M74</f>
        <v>0</v>
      </c>
      <c r="M36" s="174">
        <f>'дод 3'!N74</f>
        <v>0</v>
      </c>
      <c r="N36" s="174">
        <f>'дод 3'!O74</f>
        <v>0</v>
      </c>
      <c r="O36" s="174">
        <f>'дод 3'!P74</f>
        <v>347149400</v>
      </c>
    </row>
    <row r="37" spans="1:15" s="81" customFormat="1" ht="63" x14ac:dyDescent="0.25">
      <c r="A37" s="172"/>
      <c r="B37" s="172"/>
      <c r="C37" s="173" t="s">
        <v>449</v>
      </c>
      <c r="D37" s="174">
        <f>'дод 3'!E75</f>
        <v>4782158</v>
      </c>
      <c r="E37" s="174">
        <f>'дод 3'!F75</f>
        <v>4782158</v>
      </c>
      <c r="F37" s="174">
        <f>'дод 3'!G75</f>
        <v>0</v>
      </c>
      <c r="G37" s="174">
        <f>'дод 3'!H75</f>
        <v>0</v>
      </c>
      <c r="H37" s="174">
        <f>'дод 3'!I75</f>
        <v>0</v>
      </c>
      <c r="I37" s="174">
        <f>'дод 3'!J75</f>
        <v>721310</v>
      </c>
      <c r="J37" s="174">
        <f>'дод 3'!K75</f>
        <v>721310</v>
      </c>
      <c r="K37" s="174">
        <f>'дод 3'!L75</f>
        <v>0</v>
      </c>
      <c r="L37" s="174">
        <f>'дод 3'!M75</f>
        <v>0</v>
      </c>
      <c r="M37" s="174">
        <f>'дод 3'!N75</f>
        <v>0</v>
      </c>
      <c r="N37" s="174">
        <f>'дод 3'!O75</f>
        <v>721310</v>
      </c>
      <c r="O37" s="174">
        <f>'дод 3'!P75</f>
        <v>5503468</v>
      </c>
    </row>
    <row r="38" spans="1:15" ht="70.5" customHeight="1" x14ac:dyDescent="0.25">
      <c r="A38" s="46">
        <v>1030</v>
      </c>
      <c r="B38" s="46" t="s">
        <v>59</v>
      </c>
      <c r="C38" s="6" t="s">
        <v>471</v>
      </c>
      <c r="D38" s="62">
        <f>'дод 3'!E76</f>
        <v>9244995</v>
      </c>
      <c r="E38" s="62">
        <f>'дод 3'!F76</f>
        <v>9244995</v>
      </c>
      <c r="F38" s="62">
        <f>'дод 3'!G76</f>
        <v>6532300</v>
      </c>
      <c r="G38" s="62">
        <f>'дод 3'!H76</f>
        <v>649270</v>
      </c>
      <c r="H38" s="62">
        <f>'дод 3'!I76</f>
        <v>0</v>
      </c>
      <c r="I38" s="62">
        <f>'дод 3'!J76</f>
        <v>52327</v>
      </c>
      <c r="J38" s="62">
        <f>'дод 3'!K76</f>
        <v>52327</v>
      </c>
      <c r="K38" s="62">
        <f>'дод 3'!L76</f>
        <v>0</v>
      </c>
      <c r="L38" s="62">
        <f>'дод 3'!M76</f>
        <v>0</v>
      </c>
      <c r="M38" s="62">
        <f>'дод 3'!N76</f>
        <v>0</v>
      </c>
      <c r="N38" s="62">
        <f>'дод 3'!O76</f>
        <v>52327</v>
      </c>
      <c r="O38" s="62">
        <f>'дод 3'!P76</f>
        <v>9297322</v>
      </c>
    </row>
    <row r="39" spans="1:15" s="81" customFormat="1" ht="31.5" x14ac:dyDescent="0.25">
      <c r="A39" s="172"/>
      <c r="B39" s="172"/>
      <c r="C39" s="173" t="s">
        <v>453</v>
      </c>
      <c r="D39" s="174">
        <f>'дод 3'!E77</f>
        <v>6214300</v>
      </c>
      <c r="E39" s="174">
        <f>'дод 3'!F77</f>
        <v>6214300</v>
      </c>
      <c r="F39" s="174">
        <f>'дод 3'!G77</f>
        <v>5102000</v>
      </c>
      <c r="G39" s="174">
        <f>'дод 3'!H77</f>
        <v>0</v>
      </c>
      <c r="H39" s="174">
        <f>'дод 3'!I77</f>
        <v>0</v>
      </c>
      <c r="I39" s="174">
        <f>'дод 3'!J77</f>
        <v>0</v>
      </c>
      <c r="J39" s="174">
        <f>'дод 3'!K77</f>
        <v>0</v>
      </c>
      <c r="K39" s="174">
        <f>'дод 3'!L77</f>
        <v>0</v>
      </c>
      <c r="L39" s="174">
        <f>'дод 3'!M77</f>
        <v>0</v>
      </c>
      <c r="M39" s="174">
        <f>'дод 3'!N77</f>
        <v>0</v>
      </c>
      <c r="N39" s="174">
        <f>'дод 3'!O77</f>
        <v>0</v>
      </c>
      <c r="O39" s="174">
        <f>'дод 3'!P77</f>
        <v>6214300</v>
      </c>
    </row>
    <row r="40" spans="1:15" s="81" customFormat="1" ht="63" x14ac:dyDescent="0.25">
      <c r="A40" s="172"/>
      <c r="B40" s="172"/>
      <c r="C40" s="173" t="s">
        <v>449</v>
      </c>
      <c r="D40" s="174">
        <f>'дод 3'!E78</f>
        <v>25839</v>
      </c>
      <c r="E40" s="174">
        <f>'дод 3'!F78</f>
        <v>25839</v>
      </c>
      <c r="F40" s="174">
        <f>'дод 3'!G78</f>
        <v>0</v>
      </c>
      <c r="G40" s="174">
        <f>'дод 3'!H78</f>
        <v>0</v>
      </c>
      <c r="H40" s="174">
        <f>'дод 3'!I78</f>
        <v>0</v>
      </c>
      <c r="I40" s="174">
        <f>'дод 3'!J78</f>
        <v>21229</v>
      </c>
      <c r="J40" s="174">
        <f>'дод 3'!K78</f>
        <v>21229</v>
      </c>
      <c r="K40" s="174">
        <f>'дод 3'!L78</f>
        <v>0</v>
      </c>
      <c r="L40" s="174">
        <f>'дод 3'!M78</f>
        <v>0</v>
      </c>
      <c r="M40" s="174">
        <f>'дод 3'!N78</f>
        <v>0</v>
      </c>
      <c r="N40" s="174">
        <f>'дод 3'!O78</f>
        <v>21229</v>
      </c>
      <c r="O40" s="174">
        <f>'дод 3'!P78</f>
        <v>47068</v>
      </c>
    </row>
    <row r="41" spans="1:15" ht="38.25" customHeight="1" x14ac:dyDescent="0.25">
      <c r="A41" s="46" t="s">
        <v>60</v>
      </c>
      <c r="B41" s="46" t="s">
        <v>61</v>
      </c>
      <c r="C41" s="6" t="s">
        <v>404</v>
      </c>
      <c r="D41" s="62">
        <f>'дод 3'!E79</f>
        <v>27668440</v>
      </c>
      <c r="E41" s="62">
        <f>'дод 3'!F79</f>
        <v>27668440</v>
      </c>
      <c r="F41" s="62">
        <f>'дод 3'!G79</f>
        <v>19715700</v>
      </c>
      <c r="G41" s="62">
        <f>'дод 3'!H79</f>
        <v>2978190</v>
      </c>
      <c r="H41" s="62">
        <f>'дод 3'!I79</f>
        <v>0</v>
      </c>
      <c r="I41" s="62">
        <f>'дод 3'!J79</f>
        <v>15000</v>
      </c>
      <c r="J41" s="62">
        <f>'дод 3'!K79</f>
        <v>15000</v>
      </c>
      <c r="K41" s="62">
        <f>'дод 3'!L79</f>
        <v>0</v>
      </c>
      <c r="L41" s="62">
        <f>'дод 3'!M79</f>
        <v>0</v>
      </c>
      <c r="M41" s="62">
        <f>'дод 3'!N79</f>
        <v>0</v>
      </c>
      <c r="N41" s="62">
        <f>'дод 3'!O79</f>
        <v>15000</v>
      </c>
      <c r="O41" s="62">
        <f>'дод 3'!P79</f>
        <v>27683440</v>
      </c>
    </row>
    <row r="42" spans="1:15" ht="26.25" customHeight="1" x14ac:dyDescent="0.25">
      <c r="A42" s="46" t="s">
        <v>62</v>
      </c>
      <c r="B42" s="46" t="s">
        <v>61</v>
      </c>
      <c r="C42" s="6" t="s">
        <v>405</v>
      </c>
      <c r="D42" s="62">
        <f>'дод 3'!E165</f>
        <v>39034600</v>
      </c>
      <c r="E42" s="62">
        <f>'дод 3'!F165</f>
        <v>39034600</v>
      </c>
      <c r="F42" s="62">
        <f>'дод 3'!G165</f>
        <v>30830000</v>
      </c>
      <c r="G42" s="62">
        <f>'дод 3'!H165</f>
        <v>713600</v>
      </c>
      <c r="H42" s="62">
        <f>'дод 3'!I165</f>
        <v>0</v>
      </c>
      <c r="I42" s="62">
        <f>'дод 3'!J165</f>
        <v>3336640</v>
      </c>
      <c r="J42" s="62">
        <f>'дод 3'!K165</f>
        <v>557000</v>
      </c>
      <c r="K42" s="62">
        <f>'дод 3'!L165</f>
        <v>2774920</v>
      </c>
      <c r="L42" s="62">
        <f>'дод 3'!M165</f>
        <v>2267316</v>
      </c>
      <c r="M42" s="62">
        <f>'дод 3'!N165</f>
        <v>0</v>
      </c>
      <c r="N42" s="62">
        <f>'дод 3'!O165</f>
        <v>561720</v>
      </c>
      <c r="O42" s="62">
        <f>'дод 3'!P165</f>
        <v>42371240</v>
      </c>
    </row>
    <row r="43" spans="1:15" ht="48.75" customHeight="1" x14ac:dyDescent="0.25">
      <c r="A43" s="46" t="s">
        <v>241</v>
      </c>
      <c r="B43" s="46" t="s">
        <v>63</v>
      </c>
      <c r="C43" s="6" t="s">
        <v>473</v>
      </c>
      <c r="D43" s="62">
        <f>'дод 3'!E80</f>
        <v>88301846</v>
      </c>
      <c r="E43" s="62">
        <f>'дод 3'!F80</f>
        <v>88301846</v>
      </c>
      <c r="F43" s="62">
        <f>'дод 3'!G80</f>
        <v>53115709</v>
      </c>
      <c r="G43" s="62">
        <f>'дод 3'!H80</f>
        <v>7498105</v>
      </c>
      <c r="H43" s="62">
        <f>'дод 3'!I80</f>
        <v>0</v>
      </c>
      <c r="I43" s="62">
        <f>'дод 3'!J80</f>
        <v>8079105</v>
      </c>
      <c r="J43" s="62">
        <f>'дод 3'!K80</f>
        <v>0</v>
      </c>
      <c r="K43" s="62">
        <f>'дод 3'!L80</f>
        <v>7974105</v>
      </c>
      <c r="L43" s="62">
        <f>'дод 3'!M80</f>
        <v>2495573</v>
      </c>
      <c r="M43" s="62">
        <f>'дод 3'!N80</f>
        <v>2976862</v>
      </c>
      <c r="N43" s="62">
        <f>'дод 3'!O80</f>
        <v>105000</v>
      </c>
      <c r="O43" s="62">
        <f>'дод 3'!P80</f>
        <v>96380951</v>
      </c>
    </row>
    <row r="44" spans="1:15" s="81" customFormat="1" ht="31.5" x14ac:dyDescent="0.25">
      <c r="A44" s="172"/>
      <c r="B44" s="172"/>
      <c r="C44" s="173" t="s">
        <v>453</v>
      </c>
      <c r="D44" s="174">
        <f>'дод 3'!E81</f>
        <v>8033046</v>
      </c>
      <c r="E44" s="174">
        <f>'дод 3'!F81</f>
        <v>8033046</v>
      </c>
      <c r="F44" s="174">
        <f>'дод 3'!G81</f>
        <v>6584464</v>
      </c>
      <c r="G44" s="174">
        <f>'дод 3'!H81</f>
        <v>0</v>
      </c>
      <c r="H44" s="174">
        <f>'дод 3'!I81</f>
        <v>0</v>
      </c>
      <c r="I44" s="174">
        <f>'дод 3'!J81</f>
        <v>0</v>
      </c>
      <c r="J44" s="174">
        <f>'дод 3'!K81</f>
        <v>0</v>
      </c>
      <c r="K44" s="174">
        <f>'дод 3'!L81</f>
        <v>0</v>
      </c>
      <c r="L44" s="174">
        <f>'дод 3'!M81</f>
        <v>0</v>
      </c>
      <c r="M44" s="174">
        <f>'дод 3'!N81</f>
        <v>0</v>
      </c>
      <c r="N44" s="174">
        <f>'дод 3'!O81</f>
        <v>0</v>
      </c>
      <c r="O44" s="174">
        <f>'дод 3'!P81</f>
        <v>8033046</v>
      </c>
    </row>
    <row r="45" spans="1:15" ht="23.25" customHeight="1" x14ac:dyDescent="0.25">
      <c r="A45" s="46" t="s">
        <v>129</v>
      </c>
      <c r="B45" s="46" t="s">
        <v>64</v>
      </c>
      <c r="C45" s="6" t="s">
        <v>406</v>
      </c>
      <c r="D45" s="62">
        <f>'дод 3'!E82</f>
        <v>2878530</v>
      </c>
      <c r="E45" s="62">
        <f>'дод 3'!F82</f>
        <v>2878530</v>
      </c>
      <c r="F45" s="62">
        <f>'дод 3'!G82</f>
        <v>2237500</v>
      </c>
      <c r="G45" s="62">
        <f>'дод 3'!H82</f>
        <v>90180</v>
      </c>
      <c r="H45" s="62">
        <f>'дод 3'!I82</f>
        <v>0</v>
      </c>
      <c r="I45" s="62">
        <f>'дод 3'!J82</f>
        <v>0</v>
      </c>
      <c r="J45" s="62">
        <f>'дод 3'!K82</f>
        <v>0</v>
      </c>
      <c r="K45" s="62">
        <f>'дод 3'!L82</f>
        <v>0</v>
      </c>
      <c r="L45" s="62">
        <f>'дод 3'!M82</f>
        <v>0</v>
      </c>
      <c r="M45" s="62">
        <f>'дод 3'!N82</f>
        <v>0</v>
      </c>
      <c r="N45" s="62">
        <f>'дод 3'!O82</f>
        <v>0</v>
      </c>
      <c r="O45" s="62">
        <f>'дод 3'!P82</f>
        <v>2878530</v>
      </c>
    </row>
    <row r="46" spans="1:15" ht="28.5" customHeight="1" x14ac:dyDescent="0.25">
      <c r="A46" s="46" t="s">
        <v>306</v>
      </c>
      <c r="B46" s="46" t="s">
        <v>64</v>
      </c>
      <c r="C46" s="6" t="s">
        <v>308</v>
      </c>
      <c r="D46" s="62">
        <f>'дод 3'!E83</f>
        <v>9312520</v>
      </c>
      <c r="E46" s="62">
        <f>'дод 3'!F83</f>
        <v>9312520</v>
      </c>
      <c r="F46" s="62">
        <f>'дод 3'!G83</f>
        <v>6782550</v>
      </c>
      <c r="G46" s="62">
        <f>'дод 3'!H83</f>
        <v>537500</v>
      </c>
      <c r="H46" s="62">
        <f>'дод 3'!I83</f>
        <v>0</v>
      </c>
      <c r="I46" s="62">
        <f>'дод 3'!J83</f>
        <v>132000</v>
      </c>
      <c r="J46" s="62">
        <f>'дод 3'!K83</f>
        <v>132000</v>
      </c>
      <c r="K46" s="62">
        <f>'дод 3'!L83</f>
        <v>0</v>
      </c>
      <c r="L46" s="62">
        <f>'дод 3'!M83</f>
        <v>0</v>
      </c>
      <c r="M46" s="62">
        <f>'дод 3'!N83</f>
        <v>0</v>
      </c>
      <c r="N46" s="62">
        <f>'дод 3'!O83</f>
        <v>132000</v>
      </c>
      <c r="O46" s="62">
        <f>'дод 3'!P83</f>
        <v>9444520</v>
      </c>
    </row>
    <row r="47" spans="1:15" ht="25.5" customHeight="1" x14ac:dyDescent="0.25">
      <c r="A47" s="46" t="s">
        <v>307</v>
      </c>
      <c r="B47" s="46" t="s">
        <v>64</v>
      </c>
      <c r="C47" s="6" t="s">
        <v>309</v>
      </c>
      <c r="D47" s="62">
        <f>'дод 3'!E84</f>
        <v>107400</v>
      </c>
      <c r="E47" s="62">
        <f>'дод 3'!F84</f>
        <v>107400</v>
      </c>
      <c r="F47" s="62">
        <f>'дод 3'!G84</f>
        <v>0</v>
      </c>
      <c r="G47" s="62">
        <f>'дод 3'!H84</f>
        <v>0</v>
      </c>
      <c r="H47" s="62">
        <f>'дод 3'!I84</f>
        <v>0</v>
      </c>
      <c r="I47" s="62">
        <f>'дод 3'!J84</f>
        <v>0</v>
      </c>
      <c r="J47" s="62">
        <f>'дод 3'!K84</f>
        <v>0</v>
      </c>
      <c r="K47" s="62">
        <f>'дод 3'!L84</f>
        <v>0</v>
      </c>
      <c r="L47" s="62">
        <f>'дод 3'!M84</f>
        <v>0</v>
      </c>
      <c r="M47" s="62">
        <f>'дод 3'!N84</f>
        <v>0</v>
      </c>
      <c r="N47" s="62">
        <f>'дод 3'!O84</f>
        <v>0</v>
      </c>
      <c r="O47" s="62">
        <f>'дод 3'!P84</f>
        <v>107400</v>
      </c>
    </row>
    <row r="48" spans="1:15" ht="36" customHeight="1" x14ac:dyDescent="0.25">
      <c r="A48" s="46" t="s">
        <v>365</v>
      </c>
      <c r="B48" s="46" t="s">
        <v>64</v>
      </c>
      <c r="C48" s="42" t="s">
        <v>474</v>
      </c>
      <c r="D48" s="62">
        <f>SUM('дод 3'!E85)</f>
        <v>1627940</v>
      </c>
      <c r="E48" s="62">
        <f>SUM('дод 3'!F85)</f>
        <v>1627940</v>
      </c>
      <c r="F48" s="62">
        <f>SUM('дод 3'!G85)</f>
        <v>1224320</v>
      </c>
      <c r="G48" s="62">
        <f>SUM('дод 3'!H85)</f>
        <v>81470</v>
      </c>
      <c r="H48" s="62">
        <f>SUM('дод 3'!I85)</f>
        <v>0</v>
      </c>
      <c r="I48" s="62">
        <f>SUM('дод 3'!J85)</f>
        <v>0</v>
      </c>
      <c r="J48" s="62">
        <f>SUM('дод 3'!K85)</f>
        <v>0</v>
      </c>
      <c r="K48" s="62">
        <f>SUM('дод 3'!L85)</f>
        <v>0</v>
      </c>
      <c r="L48" s="62">
        <f>SUM('дод 3'!M85)</f>
        <v>0</v>
      </c>
      <c r="M48" s="62">
        <f>SUM('дод 3'!N85)</f>
        <v>0</v>
      </c>
      <c r="N48" s="62">
        <f>SUM('дод 3'!O85)</f>
        <v>0</v>
      </c>
      <c r="O48" s="62">
        <f>SUM('дод 3'!P85)</f>
        <v>1627940</v>
      </c>
    </row>
    <row r="49" spans="1:15" s="81" customFormat="1" ht="50.25" customHeight="1" x14ac:dyDescent="0.25">
      <c r="A49" s="172"/>
      <c r="B49" s="172"/>
      <c r="C49" s="173" t="s">
        <v>448</v>
      </c>
      <c r="D49" s="174">
        <f>'дод 3'!E86</f>
        <v>1236370</v>
      </c>
      <c r="E49" s="174">
        <f>'дод 3'!F86</f>
        <v>1236370</v>
      </c>
      <c r="F49" s="174">
        <f>'дод 3'!G86</f>
        <v>1013420</v>
      </c>
      <c r="G49" s="174">
        <f>'дод 3'!H86</f>
        <v>0</v>
      </c>
      <c r="H49" s="174">
        <f>'дод 3'!I86</f>
        <v>0</v>
      </c>
      <c r="I49" s="174">
        <f>'дод 3'!J86</f>
        <v>0</v>
      </c>
      <c r="J49" s="174">
        <f>'дод 3'!K86</f>
        <v>0</v>
      </c>
      <c r="K49" s="174">
        <f>'дод 3'!L86</f>
        <v>0</v>
      </c>
      <c r="L49" s="174">
        <f>'дод 3'!M86</f>
        <v>0</v>
      </c>
      <c r="M49" s="174">
        <f>'дод 3'!N86</f>
        <v>0</v>
      </c>
      <c r="N49" s="174">
        <f>'дод 3'!O86</f>
        <v>0</v>
      </c>
      <c r="O49" s="174">
        <f>'дод 3'!P86</f>
        <v>1236370</v>
      </c>
    </row>
    <row r="50" spans="1:15" s="79" customFormat="1" ht="19.5" customHeight="1" x14ac:dyDescent="0.25">
      <c r="A50" s="47" t="s">
        <v>65</v>
      </c>
      <c r="B50" s="48"/>
      <c r="C50" s="9" t="s">
        <v>475</v>
      </c>
      <c r="D50" s="61">
        <f t="shared" ref="D50:O50" si="8">D55+D59+D61+D63+D65+D68+D69</f>
        <v>186658115.61000001</v>
      </c>
      <c r="E50" s="61">
        <f t="shared" si="8"/>
        <v>186658115.61000001</v>
      </c>
      <c r="F50" s="61">
        <f t="shared" si="8"/>
        <v>0</v>
      </c>
      <c r="G50" s="61">
        <f t="shared" si="8"/>
        <v>0</v>
      </c>
      <c r="H50" s="61">
        <f t="shared" si="8"/>
        <v>0</v>
      </c>
      <c r="I50" s="61">
        <f t="shared" si="8"/>
        <v>56157600</v>
      </c>
      <c r="J50" s="61">
        <f t="shared" si="8"/>
        <v>56157600</v>
      </c>
      <c r="K50" s="61">
        <f t="shared" si="8"/>
        <v>0</v>
      </c>
      <c r="L50" s="61">
        <f t="shared" si="8"/>
        <v>0</v>
      </c>
      <c r="M50" s="61">
        <f t="shared" si="8"/>
        <v>0</v>
      </c>
      <c r="N50" s="61">
        <f t="shared" si="8"/>
        <v>56157600</v>
      </c>
      <c r="O50" s="61">
        <f t="shared" si="8"/>
        <v>242815715.61000001</v>
      </c>
    </row>
    <row r="51" spans="1:15" s="80" customFormat="1" ht="31.5" x14ac:dyDescent="0.25">
      <c r="A51" s="149"/>
      <c r="B51" s="168"/>
      <c r="C51" s="169" t="s">
        <v>454</v>
      </c>
      <c r="D51" s="170">
        <f>D56+D60+D62</f>
        <v>52689700</v>
      </c>
      <c r="E51" s="170">
        <f t="shared" ref="E51:O51" si="9">E56+E60+E62</f>
        <v>52689700</v>
      </c>
      <c r="F51" s="170">
        <f t="shared" si="9"/>
        <v>0</v>
      </c>
      <c r="G51" s="170">
        <f t="shared" si="9"/>
        <v>0</v>
      </c>
      <c r="H51" s="170">
        <f t="shared" si="9"/>
        <v>0</v>
      </c>
      <c r="I51" s="170">
        <f t="shared" si="9"/>
        <v>0</v>
      </c>
      <c r="J51" s="170">
        <f t="shared" si="9"/>
        <v>0</v>
      </c>
      <c r="K51" s="170">
        <f t="shared" si="9"/>
        <v>0</v>
      </c>
      <c r="L51" s="170">
        <f t="shared" si="9"/>
        <v>0</v>
      </c>
      <c r="M51" s="170">
        <f t="shared" si="9"/>
        <v>0</v>
      </c>
      <c r="N51" s="170">
        <f t="shared" si="9"/>
        <v>0</v>
      </c>
      <c r="O51" s="170">
        <f t="shared" si="9"/>
        <v>52689700</v>
      </c>
    </row>
    <row r="52" spans="1:15" s="80" customFormat="1" ht="47.25" x14ac:dyDescent="0.25">
      <c r="A52" s="149"/>
      <c r="B52" s="168"/>
      <c r="C52" s="169" t="s">
        <v>455</v>
      </c>
      <c r="D52" s="170">
        <f>D57+D66</f>
        <v>4468078.6099999994</v>
      </c>
      <c r="E52" s="170">
        <f t="shared" ref="E52:O52" si="10">E57+E66</f>
        <v>4468078.6099999994</v>
      </c>
      <c r="F52" s="170">
        <f t="shared" si="10"/>
        <v>0</v>
      </c>
      <c r="G52" s="170">
        <f t="shared" si="10"/>
        <v>0</v>
      </c>
      <c r="H52" s="170">
        <f t="shared" si="10"/>
        <v>0</v>
      </c>
      <c r="I52" s="170">
        <f t="shared" si="10"/>
        <v>0</v>
      </c>
      <c r="J52" s="170">
        <f t="shared" si="10"/>
        <v>0</v>
      </c>
      <c r="K52" s="170">
        <f t="shared" si="10"/>
        <v>0</v>
      </c>
      <c r="L52" s="170">
        <f t="shared" si="10"/>
        <v>0</v>
      </c>
      <c r="M52" s="170">
        <f t="shared" si="10"/>
        <v>0</v>
      </c>
      <c r="N52" s="170">
        <f t="shared" si="10"/>
        <v>0</v>
      </c>
      <c r="O52" s="170">
        <f t="shared" si="10"/>
        <v>4468078.6099999994</v>
      </c>
    </row>
    <row r="53" spans="1:15" s="80" customFormat="1" ht="63" x14ac:dyDescent="0.25">
      <c r="A53" s="149"/>
      <c r="B53" s="168"/>
      <c r="C53" s="169" t="s">
        <v>456</v>
      </c>
      <c r="D53" s="170">
        <f>D64+D67</f>
        <v>4345037</v>
      </c>
      <c r="E53" s="170">
        <f t="shared" ref="E53:O53" si="11">E64+E67</f>
        <v>4345037</v>
      </c>
      <c r="F53" s="170">
        <f t="shared" si="11"/>
        <v>0</v>
      </c>
      <c r="G53" s="170">
        <f t="shared" si="11"/>
        <v>0</v>
      </c>
      <c r="H53" s="170">
        <f t="shared" si="11"/>
        <v>0</v>
      </c>
      <c r="I53" s="170">
        <f t="shared" si="11"/>
        <v>0</v>
      </c>
      <c r="J53" s="170">
        <f t="shared" si="11"/>
        <v>0</v>
      </c>
      <c r="K53" s="170">
        <f t="shared" si="11"/>
        <v>0</v>
      </c>
      <c r="L53" s="170">
        <f t="shared" si="11"/>
        <v>0</v>
      </c>
      <c r="M53" s="170">
        <f t="shared" si="11"/>
        <v>0</v>
      </c>
      <c r="N53" s="170">
        <f t="shared" si="11"/>
        <v>0</v>
      </c>
      <c r="O53" s="170">
        <f t="shared" si="11"/>
        <v>4345037</v>
      </c>
    </row>
    <row r="54" spans="1:15" s="80" customFormat="1" x14ac:dyDescent="0.25">
      <c r="A54" s="149"/>
      <c r="B54" s="168"/>
      <c r="C54" s="169" t="s">
        <v>457</v>
      </c>
      <c r="D54" s="170">
        <f>D58</f>
        <v>60000</v>
      </c>
      <c r="E54" s="170">
        <f t="shared" ref="E54:O54" si="12">E58</f>
        <v>60000</v>
      </c>
      <c r="F54" s="170">
        <f t="shared" si="12"/>
        <v>0</v>
      </c>
      <c r="G54" s="170">
        <f t="shared" si="12"/>
        <v>0</v>
      </c>
      <c r="H54" s="170">
        <f t="shared" si="12"/>
        <v>0</v>
      </c>
      <c r="I54" s="170">
        <f t="shared" si="12"/>
        <v>0</v>
      </c>
      <c r="J54" s="170">
        <f t="shared" si="12"/>
        <v>0</v>
      </c>
      <c r="K54" s="170">
        <f t="shared" si="12"/>
        <v>0</v>
      </c>
      <c r="L54" s="170">
        <f t="shared" si="12"/>
        <v>0</v>
      </c>
      <c r="M54" s="170">
        <f t="shared" si="12"/>
        <v>0</v>
      </c>
      <c r="N54" s="170">
        <f t="shared" si="12"/>
        <v>0</v>
      </c>
      <c r="O54" s="170">
        <f t="shared" si="12"/>
        <v>60000</v>
      </c>
    </row>
    <row r="55" spans="1:15" ht="31.5" x14ac:dyDescent="0.25">
      <c r="A55" s="46" t="s">
        <v>66</v>
      </c>
      <c r="B55" s="46" t="s">
        <v>67</v>
      </c>
      <c r="C55" s="6" t="s">
        <v>476</v>
      </c>
      <c r="D55" s="62">
        <f>'дод 3'!E107</f>
        <v>118388525.61</v>
      </c>
      <c r="E55" s="62">
        <f>'дод 3'!F107</f>
        <v>118388525.61</v>
      </c>
      <c r="F55" s="62">
        <f>'дод 3'!G107</f>
        <v>0</v>
      </c>
      <c r="G55" s="62">
        <f>'дод 3'!H107</f>
        <v>0</v>
      </c>
      <c r="H55" s="62">
        <f>'дод 3'!I107</f>
        <v>0</v>
      </c>
      <c r="I55" s="62">
        <f>'дод 3'!J107</f>
        <v>33864300</v>
      </c>
      <c r="J55" s="62">
        <f>'дод 3'!K107</f>
        <v>33864300</v>
      </c>
      <c r="K55" s="62">
        <f>'дод 3'!L107</f>
        <v>0</v>
      </c>
      <c r="L55" s="62">
        <f>'дод 3'!M107</f>
        <v>0</v>
      </c>
      <c r="M55" s="62">
        <f>'дод 3'!N107</f>
        <v>0</v>
      </c>
      <c r="N55" s="62">
        <f>'дод 3'!O107</f>
        <v>33864300</v>
      </c>
      <c r="O55" s="62">
        <f>'дод 3'!P107</f>
        <v>152252825.61000001</v>
      </c>
    </row>
    <row r="56" spans="1:15" s="81" customFormat="1" ht="31.5" x14ac:dyDescent="0.25">
      <c r="A56" s="172"/>
      <c r="B56" s="172"/>
      <c r="C56" s="173" t="s">
        <v>454</v>
      </c>
      <c r="D56" s="174">
        <f>'дод 3'!E108</f>
        <v>45209900</v>
      </c>
      <c r="E56" s="174">
        <f>'дод 3'!F108</f>
        <v>45209900</v>
      </c>
      <c r="F56" s="174">
        <f>'дод 3'!G108</f>
        <v>0</v>
      </c>
      <c r="G56" s="174">
        <f>'дод 3'!H108</f>
        <v>0</v>
      </c>
      <c r="H56" s="174">
        <f>'дод 3'!I108</f>
        <v>0</v>
      </c>
      <c r="I56" s="174">
        <f>'дод 3'!J108</f>
        <v>0</v>
      </c>
      <c r="J56" s="174">
        <f>'дод 3'!K108</f>
        <v>0</v>
      </c>
      <c r="K56" s="174">
        <f>'дод 3'!L108</f>
        <v>0</v>
      </c>
      <c r="L56" s="174">
        <f>'дод 3'!M108</f>
        <v>0</v>
      </c>
      <c r="M56" s="174">
        <f>'дод 3'!N108</f>
        <v>0</v>
      </c>
      <c r="N56" s="174">
        <f>'дод 3'!O108</f>
        <v>0</v>
      </c>
      <c r="O56" s="174">
        <f>'дод 3'!P108</f>
        <v>45209900</v>
      </c>
    </row>
    <row r="57" spans="1:15" s="81" customFormat="1" ht="47.25" x14ac:dyDescent="0.25">
      <c r="A57" s="172"/>
      <c r="B57" s="172"/>
      <c r="C57" s="173" t="s">
        <v>455</v>
      </c>
      <c r="D57" s="174">
        <f>'дод 3'!E109</f>
        <v>2977938.61</v>
      </c>
      <c r="E57" s="174">
        <f>'дод 3'!F109</f>
        <v>2977938.61</v>
      </c>
      <c r="F57" s="174">
        <f>'дод 3'!G109</f>
        <v>0</v>
      </c>
      <c r="G57" s="174">
        <f>'дод 3'!H109</f>
        <v>0</v>
      </c>
      <c r="H57" s="174">
        <f>'дод 3'!I109</f>
        <v>0</v>
      </c>
      <c r="I57" s="174">
        <f>'дод 3'!J109</f>
        <v>0</v>
      </c>
      <c r="J57" s="174">
        <f>'дод 3'!K109</f>
        <v>0</v>
      </c>
      <c r="K57" s="174">
        <f>'дод 3'!L109</f>
        <v>0</v>
      </c>
      <c r="L57" s="174">
        <f>'дод 3'!M109</f>
        <v>0</v>
      </c>
      <c r="M57" s="174">
        <f>'дод 3'!N109</f>
        <v>0</v>
      </c>
      <c r="N57" s="174">
        <f>'дод 3'!O109</f>
        <v>0</v>
      </c>
      <c r="O57" s="174">
        <f>'дод 3'!P109</f>
        <v>2977938.61</v>
      </c>
    </row>
    <row r="58" spans="1:15" s="81" customFormat="1" x14ac:dyDescent="0.25">
      <c r="A58" s="172"/>
      <c r="B58" s="172"/>
      <c r="C58" s="173" t="s">
        <v>457</v>
      </c>
      <c r="D58" s="174">
        <f>'дод 3'!E110</f>
        <v>60000</v>
      </c>
      <c r="E58" s="174">
        <f>'дод 3'!F110</f>
        <v>60000</v>
      </c>
      <c r="F58" s="174">
        <f>'дод 3'!G110</f>
        <v>0</v>
      </c>
      <c r="G58" s="174">
        <f>'дод 3'!H110</f>
        <v>0</v>
      </c>
      <c r="H58" s="174">
        <f>'дод 3'!I110</f>
        <v>0</v>
      </c>
      <c r="I58" s="174">
        <f>'дод 3'!J110</f>
        <v>0</v>
      </c>
      <c r="J58" s="174">
        <f>'дод 3'!K110</f>
        <v>0</v>
      </c>
      <c r="K58" s="174">
        <f>'дод 3'!L110</f>
        <v>0</v>
      </c>
      <c r="L58" s="174">
        <f>'дод 3'!M110</f>
        <v>0</v>
      </c>
      <c r="M58" s="174">
        <f>'дод 3'!N110</f>
        <v>0</v>
      </c>
      <c r="N58" s="174">
        <f>'дод 3'!O110</f>
        <v>0</v>
      </c>
      <c r="O58" s="174">
        <f>'дод 3'!P110</f>
        <v>60000</v>
      </c>
    </row>
    <row r="59" spans="1:15" ht="42.75" customHeight="1" x14ac:dyDescent="0.25">
      <c r="A59" s="46" t="s">
        <v>130</v>
      </c>
      <c r="B59" s="46" t="s">
        <v>68</v>
      </c>
      <c r="C59" s="6" t="s">
        <v>477</v>
      </c>
      <c r="D59" s="62">
        <f>'дод 3'!E111</f>
        <v>14740473</v>
      </c>
      <c r="E59" s="62">
        <f>'дод 3'!F111</f>
        <v>14740473</v>
      </c>
      <c r="F59" s="62">
        <f>'дод 3'!G111</f>
        <v>0</v>
      </c>
      <c r="G59" s="62">
        <f>'дод 3'!H111</f>
        <v>0</v>
      </c>
      <c r="H59" s="62">
        <f>'дод 3'!I111</f>
        <v>0</v>
      </c>
      <c r="I59" s="62">
        <f>'дод 3'!J111</f>
        <v>6800000</v>
      </c>
      <c r="J59" s="62">
        <f>'дод 3'!K111</f>
        <v>6800000</v>
      </c>
      <c r="K59" s="62">
        <f>'дод 3'!L111</f>
        <v>0</v>
      </c>
      <c r="L59" s="62">
        <f>'дод 3'!M111</f>
        <v>0</v>
      </c>
      <c r="M59" s="62">
        <f>'дод 3'!N111</f>
        <v>0</v>
      </c>
      <c r="N59" s="62">
        <f>'дод 3'!O111</f>
        <v>6800000</v>
      </c>
      <c r="O59" s="62">
        <f>'дод 3'!P111</f>
        <v>21540473</v>
      </c>
    </row>
    <row r="60" spans="1:15" s="81" customFormat="1" ht="31.5" x14ac:dyDescent="0.25">
      <c r="A60" s="172"/>
      <c r="B60" s="172"/>
      <c r="C60" s="173" t="s">
        <v>454</v>
      </c>
      <c r="D60" s="174">
        <f>'дод 3'!E112</f>
        <v>6347600</v>
      </c>
      <c r="E60" s="174">
        <f>'дод 3'!F112</f>
        <v>6347600</v>
      </c>
      <c r="F60" s="174">
        <f>'дод 3'!G112</f>
        <v>0</v>
      </c>
      <c r="G60" s="174">
        <f>'дод 3'!H112</f>
        <v>0</v>
      </c>
      <c r="H60" s="174">
        <f>'дод 3'!I112</f>
        <v>0</v>
      </c>
      <c r="I60" s="174">
        <f>'дод 3'!J112</f>
        <v>0</v>
      </c>
      <c r="J60" s="174">
        <f>'дод 3'!K112</f>
        <v>0</v>
      </c>
      <c r="K60" s="174">
        <f>'дод 3'!L112</f>
        <v>0</v>
      </c>
      <c r="L60" s="174">
        <f>'дод 3'!M112</f>
        <v>0</v>
      </c>
      <c r="M60" s="174">
        <f>'дод 3'!N112</f>
        <v>0</v>
      </c>
      <c r="N60" s="174">
        <f>'дод 3'!O112</f>
        <v>0</v>
      </c>
      <c r="O60" s="174">
        <f>'дод 3'!P112</f>
        <v>6347600</v>
      </c>
    </row>
    <row r="61" spans="1:15" ht="25.5" customHeight="1" x14ac:dyDescent="0.25">
      <c r="A61" s="46" t="s">
        <v>131</v>
      </c>
      <c r="B61" s="46" t="s">
        <v>69</v>
      </c>
      <c r="C61" s="6" t="s">
        <v>478</v>
      </c>
      <c r="D61" s="62">
        <f>'дод 3'!E113</f>
        <v>6663426</v>
      </c>
      <c r="E61" s="62">
        <f>'дод 3'!F113</f>
        <v>6663426</v>
      </c>
      <c r="F61" s="62">
        <f>'дод 3'!G113</f>
        <v>0</v>
      </c>
      <c r="G61" s="62">
        <f>'дод 3'!H113</f>
        <v>0</v>
      </c>
      <c r="H61" s="62">
        <f>'дод 3'!I113</f>
        <v>0</v>
      </c>
      <c r="I61" s="62">
        <f>'дод 3'!J113</f>
        <v>570000</v>
      </c>
      <c r="J61" s="62">
        <f>'дод 3'!K113</f>
        <v>570000</v>
      </c>
      <c r="K61" s="62">
        <f>'дод 3'!L113</f>
        <v>0</v>
      </c>
      <c r="L61" s="62">
        <f>'дод 3'!M113</f>
        <v>0</v>
      </c>
      <c r="M61" s="62">
        <f>'дод 3'!N113</f>
        <v>0</v>
      </c>
      <c r="N61" s="62">
        <f>'дод 3'!O113</f>
        <v>570000</v>
      </c>
      <c r="O61" s="62">
        <f>'дод 3'!P113</f>
        <v>7233426</v>
      </c>
    </row>
    <row r="62" spans="1:15" s="81" customFormat="1" ht="31.5" x14ac:dyDescent="0.25">
      <c r="A62" s="172"/>
      <c r="B62" s="172"/>
      <c r="C62" s="173" t="s">
        <v>454</v>
      </c>
      <c r="D62" s="174">
        <f>'дод 3'!E114</f>
        <v>1132200</v>
      </c>
      <c r="E62" s="174">
        <f>'дод 3'!F114</f>
        <v>1132200</v>
      </c>
      <c r="F62" s="174">
        <f>'дод 3'!G114</f>
        <v>0</v>
      </c>
      <c r="G62" s="174">
        <f>'дод 3'!H114</f>
        <v>0</v>
      </c>
      <c r="H62" s="174">
        <f>'дод 3'!I114</f>
        <v>0</v>
      </c>
      <c r="I62" s="174">
        <f>'дод 3'!J114</f>
        <v>0</v>
      </c>
      <c r="J62" s="174">
        <f>'дод 3'!K114</f>
        <v>0</v>
      </c>
      <c r="K62" s="174">
        <f>'дод 3'!L114</f>
        <v>0</v>
      </c>
      <c r="L62" s="174">
        <f>'дод 3'!M114</f>
        <v>0</v>
      </c>
      <c r="M62" s="174">
        <f>'дод 3'!N114</f>
        <v>0</v>
      </c>
      <c r="N62" s="174">
        <f>'дод 3'!O114</f>
        <v>0</v>
      </c>
      <c r="O62" s="174">
        <f>'дод 3'!P114</f>
        <v>1132200</v>
      </c>
    </row>
    <row r="63" spans="1:15" ht="54" customHeight="1" x14ac:dyDescent="0.25">
      <c r="A63" s="46" t="s">
        <v>132</v>
      </c>
      <c r="B63" s="46" t="s">
        <v>343</v>
      </c>
      <c r="C63" s="6" t="s">
        <v>479</v>
      </c>
      <c r="D63" s="62">
        <f>'дод 3'!E115</f>
        <v>1984936</v>
      </c>
      <c r="E63" s="62">
        <f>'дод 3'!F115</f>
        <v>1984936</v>
      </c>
      <c r="F63" s="62">
        <f>'дод 3'!G115</f>
        <v>0</v>
      </c>
      <c r="G63" s="62">
        <f>'дод 3'!H115</f>
        <v>0</v>
      </c>
      <c r="H63" s="62">
        <f>'дод 3'!I115</f>
        <v>0</v>
      </c>
      <c r="I63" s="62">
        <f>'дод 3'!J115</f>
        <v>0</v>
      </c>
      <c r="J63" s="62">
        <f>'дод 3'!K115</f>
        <v>0</v>
      </c>
      <c r="K63" s="62">
        <f>'дод 3'!L115</f>
        <v>0</v>
      </c>
      <c r="L63" s="62">
        <f>'дод 3'!M115</f>
        <v>0</v>
      </c>
      <c r="M63" s="62">
        <f>'дод 3'!N115</f>
        <v>0</v>
      </c>
      <c r="N63" s="62">
        <f>'дод 3'!O115</f>
        <v>0</v>
      </c>
      <c r="O63" s="62">
        <f>'дод 3'!P115</f>
        <v>1984936</v>
      </c>
    </row>
    <row r="64" spans="1:15" s="81" customFormat="1" ht="47.25" x14ac:dyDescent="0.25">
      <c r="A64" s="172"/>
      <c r="B64" s="172"/>
      <c r="C64" s="175" t="s">
        <v>456</v>
      </c>
      <c r="D64" s="174">
        <f>'дод 3'!E116</f>
        <v>2468</v>
      </c>
      <c r="E64" s="174">
        <f>'дод 3'!F116</f>
        <v>2468</v>
      </c>
      <c r="F64" s="174">
        <f>'дод 3'!G116</f>
        <v>0</v>
      </c>
      <c r="G64" s="174">
        <f>'дод 3'!H116</f>
        <v>0</v>
      </c>
      <c r="H64" s="174">
        <f>'дод 3'!I116</f>
        <v>0</v>
      </c>
      <c r="I64" s="174">
        <f>'дод 3'!J116</f>
        <v>0</v>
      </c>
      <c r="J64" s="174">
        <f>'дод 3'!K116</f>
        <v>0</v>
      </c>
      <c r="K64" s="174">
        <f>'дод 3'!L116</f>
        <v>0</v>
      </c>
      <c r="L64" s="174">
        <f>'дод 3'!M116</f>
        <v>0</v>
      </c>
      <c r="M64" s="174">
        <f>'дод 3'!N116</f>
        <v>0</v>
      </c>
      <c r="N64" s="174">
        <f>'дод 3'!O116</f>
        <v>0</v>
      </c>
      <c r="O64" s="174">
        <f>'дод 3'!P116</f>
        <v>2468</v>
      </c>
    </row>
    <row r="65" spans="1:15" ht="36.75" customHeight="1" x14ac:dyDescent="0.25">
      <c r="A65" s="49">
        <v>2144</v>
      </c>
      <c r="B65" s="46" t="s">
        <v>70</v>
      </c>
      <c r="C65" s="6" t="s">
        <v>480</v>
      </c>
      <c r="D65" s="62">
        <f>'дод 3'!E117</f>
        <v>7432709</v>
      </c>
      <c r="E65" s="62">
        <f>'дод 3'!F117</f>
        <v>7432709</v>
      </c>
      <c r="F65" s="62">
        <f>'дод 3'!G117</f>
        <v>0</v>
      </c>
      <c r="G65" s="62">
        <f>'дод 3'!H117</f>
        <v>0</v>
      </c>
      <c r="H65" s="62">
        <f>'дод 3'!I117</f>
        <v>0</v>
      </c>
      <c r="I65" s="62">
        <f>'дод 3'!J117</f>
        <v>0</v>
      </c>
      <c r="J65" s="62">
        <f>'дод 3'!K117</f>
        <v>0</v>
      </c>
      <c r="K65" s="62">
        <f>'дод 3'!L117</f>
        <v>0</v>
      </c>
      <c r="L65" s="62">
        <f>'дод 3'!M117</f>
        <v>0</v>
      </c>
      <c r="M65" s="62">
        <f>'дод 3'!N117</f>
        <v>0</v>
      </c>
      <c r="N65" s="62">
        <f>'дод 3'!O117</f>
        <v>0</v>
      </c>
      <c r="O65" s="62">
        <f>'дод 3'!P117</f>
        <v>7432709</v>
      </c>
    </row>
    <row r="66" spans="1:15" s="81" customFormat="1" ht="47.25" x14ac:dyDescent="0.25">
      <c r="A66" s="176"/>
      <c r="B66" s="172"/>
      <c r="C66" s="173" t="s">
        <v>455</v>
      </c>
      <c r="D66" s="174">
        <f>'дод 3'!E118</f>
        <v>1490140</v>
      </c>
      <c r="E66" s="174">
        <f>'дод 3'!F118</f>
        <v>1490140</v>
      </c>
      <c r="F66" s="174">
        <f>'дод 3'!G118</f>
        <v>0</v>
      </c>
      <c r="G66" s="174">
        <f>'дод 3'!H118</f>
        <v>0</v>
      </c>
      <c r="H66" s="174">
        <f>'дод 3'!I118</f>
        <v>0</v>
      </c>
      <c r="I66" s="174">
        <f>'дод 3'!J118</f>
        <v>0</v>
      </c>
      <c r="J66" s="174">
        <f>'дод 3'!K118</f>
        <v>0</v>
      </c>
      <c r="K66" s="174">
        <f>'дод 3'!L118</f>
        <v>0</v>
      </c>
      <c r="L66" s="174">
        <f>'дод 3'!M118</f>
        <v>0</v>
      </c>
      <c r="M66" s="174">
        <f>'дод 3'!N118</f>
        <v>0</v>
      </c>
      <c r="N66" s="174">
        <f>'дод 3'!O118</f>
        <v>0</v>
      </c>
      <c r="O66" s="174">
        <f>'дод 3'!P118</f>
        <v>1490140</v>
      </c>
    </row>
    <row r="67" spans="1:15" s="81" customFormat="1" ht="47.25" x14ac:dyDescent="0.25">
      <c r="A67" s="176"/>
      <c r="B67" s="172"/>
      <c r="C67" s="173" t="s">
        <v>456</v>
      </c>
      <c r="D67" s="174">
        <f>'дод 3'!E119</f>
        <v>4342569</v>
      </c>
      <c r="E67" s="174">
        <f>'дод 3'!F119</f>
        <v>4342569</v>
      </c>
      <c r="F67" s="174">
        <f>'дод 3'!G119</f>
        <v>0</v>
      </c>
      <c r="G67" s="174">
        <f>'дод 3'!H119</f>
        <v>0</v>
      </c>
      <c r="H67" s="174">
        <f>'дод 3'!I119</f>
        <v>0</v>
      </c>
      <c r="I67" s="174">
        <f>'дод 3'!J119</f>
        <v>0</v>
      </c>
      <c r="J67" s="174">
        <f>'дод 3'!K119</f>
        <v>0</v>
      </c>
      <c r="K67" s="174">
        <f>'дод 3'!L119</f>
        <v>0</v>
      </c>
      <c r="L67" s="174">
        <f>'дод 3'!M119</f>
        <v>0</v>
      </c>
      <c r="M67" s="174">
        <f>'дод 3'!N119</f>
        <v>0</v>
      </c>
      <c r="N67" s="174">
        <f>'дод 3'!O119</f>
        <v>0</v>
      </c>
      <c r="O67" s="174">
        <f>'дод 3'!P119</f>
        <v>4342569</v>
      </c>
    </row>
    <row r="68" spans="1:15" ht="37.5" customHeight="1" x14ac:dyDescent="0.25">
      <c r="A68" s="46" t="s">
        <v>310</v>
      </c>
      <c r="B68" s="46" t="s">
        <v>70</v>
      </c>
      <c r="C68" s="3" t="s">
        <v>312</v>
      </c>
      <c r="D68" s="62">
        <f>'дод 3'!E120</f>
        <v>2894213</v>
      </c>
      <c r="E68" s="62">
        <f>'дод 3'!F120</f>
        <v>2894213</v>
      </c>
      <c r="F68" s="62">
        <f>'дод 3'!G120</f>
        <v>0</v>
      </c>
      <c r="G68" s="62">
        <f>'дод 3'!H120</f>
        <v>0</v>
      </c>
      <c r="H68" s="62">
        <f>'дод 3'!I120</f>
        <v>0</v>
      </c>
      <c r="I68" s="62">
        <f>'дод 3'!J120</f>
        <v>0</v>
      </c>
      <c r="J68" s="62">
        <f>'дод 3'!K120</f>
        <v>0</v>
      </c>
      <c r="K68" s="62">
        <f>'дод 3'!L120</f>
        <v>0</v>
      </c>
      <c r="L68" s="62">
        <f>'дод 3'!M120</f>
        <v>0</v>
      </c>
      <c r="M68" s="62">
        <f>'дод 3'!N120</f>
        <v>0</v>
      </c>
      <c r="N68" s="62">
        <f>'дод 3'!O120</f>
        <v>0</v>
      </c>
      <c r="O68" s="62">
        <f>'дод 3'!P120</f>
        <v>2894213</v>
      </c>
    </row>
    <row r="69" spans="1:15" ht="21.75" customHeight="1" x14ac:dyDescent="0.25">
      <c r="A69" s="46" t="s">
        <v>311</v>
      </c>
      <c r="B69" s="46" t="s">
        <v>70</v>
      </c>
      <c r="C69" s="3" t="s">
        <v>313</v>
      </c>
      <c r="D69" s="62">
        <f>'дод 3'!E121</f>
        <v>34553833</v>
      </c>
      <c r="E69" s="62">
        <f>'дод 3'!F121</f>
        <v>34553833</v>
      </c>
      <c r="F69" s="62">
        <f>'дод 3'!G121</f>
        <v>0</v>
      </c>
      <c r="G69" s="62">
        <f>'дод 3'!H121</f>
        <v>0</v>
      </c>
      <c r="H69" s="62">
        <f>'дод 3'!I121</f>
        <v>0</v>
      </c>
      <c r="I69" s="62">
        <f>'дод 3'!J121</f>
        <v>14923300</v>
      </c>
      <c r="J69" s="62">
        <f>'дод 3'!K121</f>
        <v>14923300</v>
      </c>
      <c r="K69" s="62">
        <f>'дод 3'!L121</f>
        <v>0</v>
      </c>
      <c r="L69" s="62">
        <f>'дод 3'!M121</f>
        <v>0</v>
      </c>
      <c r="M69" s="62">
        <f>'дод 3'!N121</f>
        <v>0</v>
      </c>
      <c r="N69" s="62">
        <f>'дод 3'!O121</f>
        <v>14923300</v>
      </c>
      <c r="O69" s="62">
        <f>'дод 3'!P121</f>
        <v>49477133</v>
      </c>
    </row>
    <row r="70" spans="1:15" s="79" customFormat="1" ht="34.5" customHeight="1" x14ac:dyDescent="0.25">
      <c r="A70" s="47" t="s">
        <v>71</v>
      </c>
      <c r="B70" s="50"/>
      <c r="C70" s="2" t="s">
        <v>481</v>
      </c>
      <c r="D70" s="61">
        <f>SUM(D72+D73+D74+D76+D77+D78+D80+D82+D83+D84+D85+D86+D87+D88+D89+D91+D93+D94+D95+D96+D97+D98+D99)</f>
        <v>123964781.63</v>
      </c>
      <c r="E70" s="61">
        <f t="shared" ref="E70:O70" si="13">SUM(E72+E73+E74+E76+E77+E78+E80+E82+E83+E84+E85+E86+E87+E88+E89+E91+E93+E94+E95+E96+E97+E98+E99)</f>
        <v>123964781.63</v>
      </c>
      <c r="F70" s="61">
        <f t="shared" si="13"/>
        <v>16632985</v>
      </c>
      <c r="G70" s="61">
        <f t="shared" si="13"/>
        <v>887160</v>
      </c>
      <c r="H70" s="61">
        <f t="shared" si="13"/>
        <v>0</v>
      </c>
      <c r="I70" s="61">
        <f t="shared" si="13"/>
        <v>1087640</v>
      </c>
      <c r="J70" s="61">
        <f t="shared" si="13"/>
        <v>979540</v>
      </c>
      <c r="K70" s="61">
        <f t="shared" si="13"/>
        <v>108100</v>
      </c>
      <c r="L70" s="61">
        <f t="shared" si="13"/>
        <v>85100</v>
      </c>
      <c r="M70" s="61">
        <f t="shared" si="13"/>
        <v>0</v>
      </c>
      <c r="N70" s="61">
        <f t="shared" si="13"/>
        <v>979540</v>
      </c>
      <c r="O70" s="61">
        <f t="shared" si="13"/>
        <v>125052421.63</v>
      </c>
    </row>
    <row r="71" spans="1:15" s="80" customFormat="1" x14ac:dyDescent="0.25">
      <c r="A71" s="149"/>
      <c r="B71" s="150"/>
      <c r="C71" s="169" t="s">
        <v>459</v>
      </c>
      <c r="D71" s="170">
        <f>D75+D79+D81+D90+D92+D100</f>
        <v>3992148.13</v>
      </c>
      <c r="E71" s="170">
        <f t="shared" ref="E71:O71" si="14">E75+E79+E81+E90+E92+E100</f>
        <v>3992148.13</v>
      </c>
      <c r="F71" s="170">
        <f t="shared" si="14"/>
        <v>0</v>
      </c>
      <c r="G71" s="170">
        <f t="shared" si="14"/>
        <v>0</v>
      </c>
      <c r="H71" s="170">
        <f t="shared" si="14"/>
        <v>0</v>
      </c>
      <c r="I71" s="170">
        <f t="shared" si="14"/>
        <v>0</v>
      </c>
      <c r="J71" s="170">
        <f t="shared" si="14"/>
        <v>0</v>
      </c>
      <c r="K71" s="170">
        <f t="shared" si="14"/>
        <v>0</v>
      </c>
      <c r="L71" s="170">
        <f t="shared" si="14"/>
        <v>0</v>
      </c>
      <c r="M71" s="170">
        <f t="shared" si="14"/>
        <v>0</v>
      </c>
      <c r="N71" s="170">
        <f t="shared" si="14"/>
        <v>0</v>
      </c>
      <c r="O71" s="170">
        <f t="shared" si="14"/>
        <v>3992148.13</v>
      </c>
    </row>
    <row r="72" spans="1:15" ht="45" customHeight="1" x14ac:dyDescent="0.25">
      <c r="A72" s="46" t="s">
        <v>105</v>
      </c>
      <c r="B72" s="46" t="s">
        <v>56</v>
      </c>
      <c r="C72" s="3" t="s">
        <v>133</v>
      </c>
      <c r="D72" s="62">
        <f>'дод 3'!E131</f>
        <v>582400</v>
      </c>
      <c r="E72" s="62">
        <f>'дод 3'!F131</f>
        <v>582400</v>
      </c>
      <c r="F72" s="62">
        <f>'дод 3'!G131</f>
        <v>0</v>
      </c>
      <c r="G72" s="62">
        <f>'дод 3'!H131</f>
        <v>0</v>
      </c>
      <c r="H72" s="62">
        <f>'дод 3'!I131</f>
        <v>0</v>
      </c>
      <c r="I72" s="62">
        <f>'дод 3'!J131</f>
        <v>0</v>
      </c>
      <c r="J72" s="62">
        <f>'дод 3'!K131</f>
        <v>0</v>
      </c>
      <c r="K72" s="62">
        <f>'дод 3'!L131</f>
        <v>0</v>
      </c>
      <c r="L72" s="62">
        <f>'дод 3'!M131</f>
        <v>0</v>
      </c>
      <c r="M72" s="62">
        <f>'дод 3'!N131</f>
        <v>0</v>
      </c>
      <c r="N72" s="62">
        <f>'дод 3'!O131</f>
        <v>0</v>
      </c>
      <c r="O72" s="62">
        <f>'дод 3'!P131</f>
        <v>582400</v>
      </c>
    </row>
    <row r="73" spans="1:15" ht="41.25" customHeight="1" x14ac:dyDescent="0.25">
      <c r="A73" s="46" t="s">
        <v>134</v>
      </c>
      <c r="B73" s="46" t="s">
        <v>58</v>
      </c>
      <c r="C73" s="3" t="s">
        <v>397</v>
      </c>
      <c r="D73" s="62">
        <f>'дод 3'!E132</f>
        <v>1259894</v>
      </c>
      <c r="E73" s="62">
        <f>'дод 3'!F132</f>
        <v>1259894</v>
      </c>
      <c r="F73" s="62">
        <f>'дод 3'!G132</f>
        <v>0</v>
      </c>
      <c r="G73" s="62">
        <f>'дод 3'!H132</f>
        <v>0</v>
      </c>
      <c r="H73" s="62">
        <f>'дод 3'!I132</f>
        <v>0</v>
      </c>
      <c r="I73" s="62">
        <f>'дод 3'!J132</f>
        <v>0</v>
      </c>
      <c r="J73" s="62">
        <f>'дод 3'!K132</f>
        <v>0</v>
      </c>
      <c r="K73" s="62">
        <f>'дод 3'!L132</f>
        <v>0</v>
      </c>
      <c r="L73" s="62">
        <f>'дод 3'!M132</f>
        <v>0</v>
      </c>
      <c r="M73" s="62">
        <f>'дод 3'!N132</f>
        <v>0</v>
      </c>
      <c r="N73" s="62">
        <f>'дод 3'!O132</f>
        <v>0</v>
      </c>
      <c r="O73" s="62">
        <f>'дод 3'!P132</f>
        <v>1259894</v>
      </c>
    </row>
    <row r="74" spans="1:15" ht="54.75" customHeight="1" x14ac:dyDescent="0.25">
      <c r="A74" s="46" t="s">
        <v>106</v>
      </c>
      <c r="B74" s="46" t="s">
        <v>58</v>
      </c>
      <c r="C74" s="3" t="s">
        <v>490</v>
      </c>
      <c r="D74" s="62">
        <f>'дод 3'!E133+'дод 3'!E23</f>
        <v>24145963.129999999</v>
      </c>
      <c r="E74" s="62">
        <f>'дод 3'!F133+'дод 3'!F23</f>
        <v>24145963.129999999</v>
      </c>
      <c r="F74" s="62">
        <f>'дод 3'!G133+'дод 3'!G23</f>
        <v>0</v>
      </c>
      <c r="G74" s="62">
        <f>'дод 3'!H133+'дод 3'!H23</f>
        <v>0</v>
      </c>
      <c r="H74" s="62">
        <f>'дод 3'!I133+'дод 3'!I23</f>
        <v>0</v>
      </c>
      <c r="I74" s="62">
        <f>'дод 3'!J133+'дод 3'!J23</f>
        <v>0</v>
      </c>
      <c r="J74" s="62">
        <f>'дод 3'!K133+'дод 3'!K23</f>
        <v>0</v>
      </c>
      <c r="K74" s="62">
        <f>'дод 3'!L133+'дод 3'!L23</f>
        <v>0</v>
      </c>
      <c r="L74" s="62">
        <f>'дод 3'!M133+'дод 3'!M23</f>
        <v>0</v>
      </c>
      <c r="M74" s="62">
        <f>'дод 3'!N133+'дод 3'!N23</f>
        <v>0</v>
      </c>
      <c r="N74" s="62">
        <f>'дод 3'!O133+'дод 3'!O23</f>
        <v>0</v>
      </c>
      <c r="O74" s="62">
        <f>'дод 3'!P133+'дод 3'!P23</f>
        <v>24145963.129999999</v>
      </c>
    </row>
    <row r="75" spans="1:15" s="81" customFormat="1" x14ac:dyDescent="0.25">
      <c r="A75" s="172"/>
      <c r="B75" s="172"/>
      <c r="C75" s="173" t="s">
        <v>457</v>
      </c>
      <c r="D75" s="174">
        <f>'дод 3'!E134</f>
        <v>2321763.13</v>
      </c>
      <c r="E75" s="174">
        <f>'дод 3'!F134</f>
        <v>2321763.13</v>
      </c>
      <c r="F75" s="174">
        <f>'дод 3'!G134</f>
        <v>0</v>
      </c>
      <c r="G75" s="174">
        <f>'дод 3'!H134</f>
        <v>0</v>
      </c>
      <c r="H75" s="174">
        <f>'дод 3'!I134</f>
        <v>0</v>
      </c>
      <c r="I75" s="174">
        <f>'дод 3'!J134</f>
        <v>0</v>
      </c>
      <c r="J75" s="174">
        <f>'дод 3'!K134</f>
        <v>0</v>
      </c>
      <c r="K75" s="174">
        <f>'дод 3'!L134</f>
        <v>0</v>
      </c>
      <c r="L75" s="174">
        <f>'дод 3'!M134</f>
        <v>0</v>
      </c>
      <c r="M75" s="174">
        <f>'дод 3'!N134</f>
        <v>0</v>
      </c>
      <c r="N75" s="174">
        <f>'дод 3'!O134</f>
        <v>0</v>
      </c>
      <c r="O75" s="174">
        <f>'дод 3'!P134</f>
        <v>2321763.13</v>
      </c>
    </row>
    <row r="76" spans="1:15" ht="46.5" customHeight="1" x14ac:dyDescent="0.25">
      <c r="A76" s="46" t="s">
        <v>355</v>
      </c>
      <c r="B76" s="46" t="s">
        <v>58</v>
      </c>
      <c r="C76" s="3" t="s">
        <v>354</v>
      </c>
      <c r="D76" s="62">
        <f>'дод 3'!E135</f>
        <v>1000000</v>
      </c>
      <c r="E76" s="62">
        <f>'дод 3'!F135</f>
        <v>1000000</v>
      </c>
      <c r="F76" s="62">
        <f>'дод 3'!G135</f>
        <v>0</v>
      </c>
      <c r="G76" s="62">
        <f>'дод 3'!H135</f>
        <v>0</v>
      </c>
      <c r="H76" s="62">
        <f>'дод 3'!I135</f>
        <v>0</v>
      </c>
      <c r="I76" s="62">
        <f>'дод 3'!J135</f>
        <v>0</v>
      </c>
      <c r="J76" s="62">
        <f>'дод 3'!K135</f>
        <v>0</v>
      </c>
      <c r="K76" s="62">
        <f>'дод 3'!L135</f>
        <v>0</v>
      </c>
      <c r="L76" s="62">
        <f>'дод 3'!M135</f>
        <v>0</v>
      </c>
      <c r="M76" s="62">
        <f>'дод 3'!N135</f>
        <v>0</v>
      </c>
      <c r="N76" s="62">
        <f>'дод 3'!O135</f>
        <v>0</v>
      </c>
      <c r="O76" s="62">
        <f>'дод 3'!P135</f>
        <v>1000000</v>
      </c>
    </row>
    <row r="77" spans="1:15" ht="45" customHeight="1" x14ac:dyDescent="0.25">
      <c r="A77" s="46" t="s">
        <v>135</v>
      </c>
      <c r="B77" s="46" t="s">
        <v>58</v>
      </c>
      <c r="C77" s="3" t="s">
        <v>20</v>
      </c>
      <c r="D77" s="62">
        <f>'дод 3'!E136+'дод 3'!E24</f>
        <v>26348280.5</v>
      </c>
      <c r="E77" s="62">
        <f>'дод 3'!F136+'дод 3'!F24</f>
        <v>26348280.5</v>
      </c>
      <c r="F77" s="62">
        <f>'дод 3'!G136+'дод 3'!G24</f>
        <v>0</v>
      </c>
      <c r="G77" s="62">
        <f>'дод 3'!H136+'дод 3'!H24</f>
        <v>0</v>
      </c>
      <c r="H77" s="62">
        <f>'дод 3'!I136+'дод 3'!I24</f>
        <v>0</v>
      </c>
      <c r="I77" s="62">
        <f>'дод 3'!J136+'дод 3'!J24</f>
        <v>0</v>
      </c>
      <c r="J77" s="62">
        <f>'дод 3'!K136+'дод 3'!K24</f>
        <v>0</v>
      </c>
      <c r="K77" s="62">
        <f>'дод 3'!L136+'дод 3'!L24</f>
        <v>0</v>
      </c>
      <c r="L77" s="62">
        <f>'дод 3'!M136+'дод 3'!M24</f>
        <v>0</v>
      </c>
      <c r="M77" s="62">
        <f>'дод 3'!N136+'дод 3'!N24</f>
        <v>0</v>
      </c>
      <c r="N77" s="62">
        <f>'дод 3'!O136+'дод 3'!O24</f>
        <v>0</v>
      </c>
      <c r="O77" s="62">
        <f>'дод 3'!P136+'дод 3'!P24</f>
        <v>26348280.5</v>
      </c>
    </row>
    <row r="78" spans="1:15" ht="40.5" customHeight="1" x14ac:dyDescent="0.25">
      <c r="A78" s="46" t="s">
        <v>108</v>
      </c>
      <c r="B78" s="46" t="s">
        <v>58</v>
      </c>
      <c r="C78" s="3" t="s">
        <v>491</v>
      </c>
      <c r="D78" s="62">
        <f>'дод 3'!E137</f>
        <v>853000</v>
      </c>
      <c r="E78" s="62">
        <f>'дод 3'!F137</f>
        <v>853000</v>
      </c>
      <c r="F78" s="62">
        <f>'дод 3'!G137</f>
        <v>0</v>
      </c>
      <c r="G78" s="62">
        <f>'дод 3'!H137</f>
        <v>0</v>
      </c>
      <c r="H78" s="62">
        <f>'дод 3'!I137</f>
        <v>0</v>
      </c>
      <c r="I78" s="62">
        <f>'дод 3'!J137</f>
        <v>0</v>
      </c>
      <c r="J78" s="62">
        <f>'дод 3'!K137</f>
        <v>0</v>
      </c>
      <c r="K78" s="62">
        <f>'дод 3'!L137</f>
        <v>0</v>
      </c>
      <c r="L78" s="62">
        <f>'дод 3'!M137</f>
        <v>0</v>
      </c>
      <c r="M78" s="62">
        <f>'дод 3'!N137</f>
        <v>0</v>
      </c>
      <c r="N78" s="62">
        <f>'дод 3'!O137</f>
        <v>0</v>
      </c>
      <c r="O78" s="62">
        <f>'дод 3'!P137</f>
        <v>853000</v>
      </c>
    </row>
    <row r="79" spans="1:15" s="81" customFormat="1" x14ac:dyDescent="0.25">
      <c r="A79" s="172"/>
      <c r="B79" s="172"/>
      <c r="C79" s="173" t="s">
        <v>457</v>
      </c>
      <c r="D79" s="174">
        <f>'дод 3'!E138</f>
        <v>853000</v>
      </c>
      <c r="E79" s="174">
        <f>'дод 3'!F138</f>
        <v>853000</v>
      </c>
      <c r="F79" s="174">
        <f>'дод 3'!G138</f>
        <v>0</v>
      </c>
      <c r="G79" s="174">
        <f>'дод 3'!H138</f>
        <v>0</v>
      </c>
      <c r="H79" s="174">
        <f>'дод 3'!I138</f>
        <v>0</v>
      </c>
      <c r="I79" s="174">
        <f>'дод 3'!J138</f>
        <v>0</v>
      </c>
      <c r="J79" s="174">
        <f>'дод 3'!K138</f>
        <v>0</v>
      </c>
      <c r="K79" s="174">
        <f>'дод 3'!L138</f>
        <v>0</v>
      </c>
      <c r="L79" s="174">
        <f>'дод 3'!M138</f>
        <v>0</v>
      </c>
      <c r="M79" s="174">
        <f>'дод 3'!N138</f>
        <v>0</v>
      </c>
      <c r="N79" s="174">
        <f>'дод 3'!O138</f>
        <v>0</v>
      </c>
      <c r="O79" s="174">
        <f>'дод 3'!P138</f>
        <v>853000</v>
      </c>
    </row>
    <row r="80" spans="1:15" ht="40.5" customHeight="1" x14ac:dyDescent="0.25">
      <c r="A80" s="46" t="s">
        <v>346</v>
      </c>
      <c r="B80" s="46" t="s">
        <v>56</v>
      </c>
      <c r="C80" s="3" t="s">
        <v>492</v>
      </c>
      <c r="D80" s="62">
        <f>'дод 3'!E139</f>
        <v>228400</v>
      </c>
      <c r="E80" s="62">
        <f>'дод 3'!F139</f>
        <v>228400</v>
      </c>
      <c r="F80" s="62">
        <f>'дод 3'!G139</f>
        <v>0</v>
      </c>
      <c r="G80" s="62">
        <f>'дод 3'!H139</f>
        <v>0</v>
      </c>
      <c r="H80" s="62">
        <f>'дод 3'!I139</f>
        <v>0</v>
      </c>
      <c r="I80" s="62">
        <f>'дод 3'!J139</f>
        <v>0</v>
      </c>
      <c r="J80" s="62">
        <f>'дод 3'!K139</f>
        <v>0</v>
      </c>
      <c r="K80" s="62">
        <f>'дод 3'!L139</f>
        <v>0</v>
      </c>
      <c r="L80" s="62">
        <f>'дод 3'!M139</f>
        <v>0</v>
      </c>
      <c r="M80" s="62">
        <f>'дод 3'!N139</f>
        <v>0</v>
      </c>
      <c r="N80" s="62">
        <f>'дод 3'!O139</f>
        <v>0</v>
      </c>
      <c r="O80" s="62">
        <f>'дод 3'!P139</f>
        <v>228400</v>
      </c>
    </row>
    <row r="81" spans="1:15" s="81" customFormat="1" x14ac:dyDescent="0.25">
      <c r="A81" s="172"/>
      <c r="B81" s="172"/>
      <c r="C81" s="173" t="s">
        <v>457</v>
      </c>
      <c r="D81" s="174">
        <f>'дод 3'!E140</f>
        <v>228400</v>
      </c>
      <c r="E81" s="174">
        <f>'дод 3'!F140</f>
        <v>228400</v>
      </c>
      <c r="F81" s="174">
        <f>'дод 3'!G140</f>
        <v>0</v>
      </c>
      <c r="G81" s="174">
        <f>'дод 3'!H140</f>
        <v>0</v>
      </c>
      <c r="H81" s="174">
        <f>'дод 3'!I140</f>
        <v>0</v>
      </c>
      <c r="I81" s="174">
        <f>'дод 3'!J140</f>
        <v>0</v>
      </c>
      <c r="J81" s="174">
        <f>'дод 3'!K140</f>
        <v>0</v>
      </c>
      <c r="K81" s="174">
        <f>'дод 3'!L140</f>
        <v>0</v>
      </c>
      <c r="L81" s="174">
        <f>'дод 3'!M140</f>
        <v>0</v>
      </c>
      <c r="M81" s="174">
        <f>'дод 3'!N140</f>
        <v>0</v>
      </c>
      <c r="N81" s="174">
        <f>'дод 3'!O140</f>
        <v>0</v>
      </c>
      <c r="O81" s="174">
        <f>'дод 3'!P140</f>
        <v>228400</v>
      </c>
    </row>
    <row r="82" spans="1:15" ht="74.25" customHeight="1" x14ac:dyDescent="0.25">
      <c r="A82" s="46" t="s">
        <v>109</v>
      </c>
      <c r="B82" s="46" t="s">
        <v>54</v>
      </c>
      <c r="C82" s="3" t="s">
        <v>34</v>
      </c>
      <c r="D82" s="62">
        <f>'дод 3'!E141</f>
        <v>13559330</v>
      </c>
      <c r="E82" s="62">
        <f>'дод 3'!F141</f>
        <v>13559330</v>
      </c>
      <c r="F82" s="62">
        <f>'дод 3'!G141</f>
        <v>10389550</v>
      </c>
      <c r="G82" s="62">
        <f>'дод 3'!H141</f>
        <v>230060</v>
      </c>
      <c r="H82" s="62">
        <f>'дод 3'!I141</f>
        <v>0</v>
      </c>
      <c r="I82" s="62">
        <f>'дод 3'!J141</f>
        <v>471000</v>
      </c>
      <c r="J82" s="62">
        <f>'дод 3'!K141</f>
        <v>362900</v>
      </c>
      <c r="K82" s="62">
        <f>'дод 3'!L141</f>
        <v>108100</v>
      </c>
      <c r="L82" s="62">
        <f>'дод 3'!M141</f>
        <v>85100</v>
      </c>
      <c r="M82" s="62">
        <f>'дод 3'!N141</f>
        <v>0</v>
      </c>
      <c r="N82" s="62">
        <f>'дод 3'!O141</f>
        <v>362900</v>
      </c>
      <c r="O82" s="62">
        <f>'дод 3'!P141</f>
        <v>14030330</v>
      </c>
    </row>
    <row r="83" spans="1:15" ht="69.75" customHeight="1" x14ac:dyDescent="0.25">
      <c r="A83" s="46" t="s">
        <v>366</v>
      </c>
      <c r="B83" s="46" t="s">
        <v>107</v>
      </c>
      <c r="C83" s="42" t="s">
        <v>367</v>
      </c>
      <c r="D83" s="62">
        <f>SUM('дод 3'!E160)</f>
        <v>0</v>
      </c>
      <c r="E83" s="62">
        <f>SUM('дод 3'!F160)</f>
        <v>0</v>
      </c>
      <c r="F83" s="62">
        <f>SUM('дод 3'!G160)</f>
        <v>0</v>
      </c>
      <c r="G83" s="62">
        <f>SUM('дод 3'!H160)</f>
        <v>0</v>
      </c>
      <c r="H83" s="62">
        <f>SUM('дод 3'!I160)</f>
        <v>0</v>
      </c>
      <c r="I83" s="62">
        <f>SUM('дод 3'!J160)</f>
        <v>20000</v>
      </c>
      <c r="J83" s="62">
        <f>SUM('дод 3'!K160)</f>
        <v>20000</v>
      </c>
      <c r="K83" s="62">
        <f>SUM('дод 3'!L160)</f>
        <v>0</v>
      </c>
      <c r="L83" s="62">
        <f>SUM('дод 3'!M160)</f>
        <v>0</v>
      </c>
      <c r="M83" s="62">
        <f>SUM('дод 3'!N160)</f>
        <v>0</v>
      </c>
      <c r="N83" s="62">
        <f>SUM('дод 3'!O160)</f>
        <v>20000</v>
      </c>
      <c r="O83" s="62">
        <f>SUM('дод 3'!P160)</f>
        <v>20000</v>
      </c>
    </row>
    <row r="84" spans="1:15" s="81" customFormat="1" ht="43.5" customHeight="1" x14ac:dyDescent="0.25">
      <c r="A84" s="46" t="s">
        <v>110</v>
      </c>
      <c r="B84" s="46" t="s">
        <v>107</v>
      </c>
      <c r="C84" s="3" t="s">
        <v>35</v>
      </c>
      <c r="D84" s="62">
        <f>'дод 3'!E161</f>
        <v>90500</v>
      </c>
      <c r="E84" s="62">
        <f>'дод 3'!F161</f>
        <v>90500</v>
      </c>
      <c r="F84" s="62">
        <f>'дод 3'!G161</f>
        <v>0</v>
      </c>
      <c r="G84" s="62">
        <f>'дод 3'!H161</f>
        <v>0</v>
      </c>
      <c r="H84" s="62">
        <f>'дод 3'!I161</f>
        <v>0</v>
      </c>
      <c r="I84" s="62">
        <f>'дод 3'!J161</f>
        <v>0</v>
      </c>
      <c r="J84" s="62">
        <f>'дод 3'!K161</f>
        <v>0</v>
      </c>
      <c r="K84" s="62">
        <f>'дод 3'!L161</f>
        <v>0</v>
      </c>
      <c r="L84" s="62">
        <f>'дод 3'!M161</f>
        <v>0</v>
      </c>
      <c r="M84" s="62">
        <f>'дод 3'!N161</f>
        <v>0</v>
      </c>
      <c r="N84" s="62">
        <f>'дод 3'!O161</f>
        <v>0</v>
      </c>
      <c r="O84" s="62">
        <f>'дод 3'!P161</f>
        <v>90500</v>
      </c>
    </row>
    <row r="85" spans="1:15" s="81" customFormat="1" ht="38.25" customHeight="1" x14ac:dyDescent="0.25">
      <c r="A85" s="46" t="s">
        <v>136</v>
      </c>
      <c r="B85" s="46" t="s">
        <v>107</v>
      </c>
      <c r="C85" s="3" t="s">
        <v>137</v>
      </c>
      <c r="D85" s="62">
        <f>'дод 3'!E25</f>
        <v>2529735</v>
      </c>
      <c r="E85" s="62">
        <f>'дод 3'!F25</f>
        <v>2529735</v>
      </c>
      <c r="F85" s="62">
        <f>'дод 3'!G25</f>
        <v>1883250</v>
      </c>
      <c r="G85" s="62">
        <f>'дод 3'!H25</f>
        <v>50170</v>
      </c>
      <c r="H85" s="62">
        <f>'дод 3'!I25</f>
        <v>0</v>
      </c>
      <c r="I85" s="62">
        <f>'дод 3'!J25</f>
        <v>0</v>
      </c>
      <c r="J85" s="62">
        <f>'дод 3'!K25</f>
        <v>0</v>
      </c>
      <c r="K85" s="62">
        <f>'дод 3'!L25</f>
        <v>0</v>
      </c>
      <c r="L85" s="62">
        <f>'дод 3'!M25</f>
        <v>0</v>
      </c>
      <c r="M85" s="62">
        <f>'дод 3'!N25</f>
        <v>0</v>
      </c>
      <c r="N85" s="62">
        <f>'дод 3'!O25</f>
        <v>0</v>
      </c>
      <c r="O85" s="62">
        <f>'дод 3'!P25</f>
        <v>2529735</v>
      </c>
    </row>
    <row r="86" spans="1:15" s="81" customFormat="1" ht="46.5" customHeight="1" x14ac:dyDescent="0.25">
      <c r="A86" s="49" t="s">
        <v>114</v>
      </c>
      <c r="B86" s="49" t="s">
        <v>107</v>
      </c>
      <c r="C86" s="3" t="s">
        <v>375</v>
      </c>
      <c r="D86" s="62">
        <f>'дод 3'!E26</f>
        <v>867000</v>
      </c>
      <c r="E86" s="62">
        <f>'дод 3'!F26</f>
        <v>867000</v>
      </c>
      <c r="F86" s="62">
        <f>'дод 3'!G26</f>
        <v>0</v>
      </c>
      <c r="G86" s="62">
        <f>'дод 3'!H26</f>
        <v>0</v>
      </c>
      <c r="H86" s="62">
        <f>'дод 3'!I26</f>
        <v>0</v>
      </c>
      <c r="I86" s="62">
        <f>'дод 3'!J26</f>
        <v>0</v>
      </c>
      <c r="J86" s="62">
        <f>'дод 3'!K26</f>
        <v>0</v>
      </c>
      <c r="K86" s="62">
        <f>'дод 3'!L26</f>
        <v>0</v>
      </c>
      <c r="L86" s="62">
        <f>'дод 3'!M26</f>
        <v>0</v>
      </c>
      <c r="M86" s="62">
        <f>'дод 3'!N26</f>
        <v>0</v>
      </c>
      <c r="N86" s="62">
        <f>'дод 3'!O26</f>
        <v>0</v>
      </c>
      <c r="O86" s="62">
        <f>'дод 3'!P26</f>
        <v>867000</v>
      </c>
    </row>
    <row r="87" spans="1:15" ht="69" customHeight="1" x14ac:dyDescent="0.25">
      <c r="A87" s="46" t="s">
        <v>115</v>
      </c>
      <c r="B87" s="46" t="s">
        <v>107</v>
      </c>
      <c r="C87" s="6" t="s">
        <v>22</v>
      </c>
      <c r="D87" s="62">
        <f>'дод 3'!E87+'дод 3'!E27</f>
        <v>2301500</v>
      </c>
      <c r="E87" s="62">
        <f>'дод 3'!F87+'дод 3'!F27</f>
        <v>2301500</v>
      </c>
      <c r="F87" s="62">
        <f>'дод 3'!G87+'дод 3'!G27</f>
        <v>0</v>
      </c>
      <c r="G87" s="62">
        <f>'дод 3'!H87+'дод 3'!H27</f>
        <v>0</v>
      </c>
      <c r="H87" s="62">
        <f>'дод 3'!I87+'дод 3'!I27</f>
        <v>0</v>
      </c>
      <c r="I87" s="62">
        <f>'дод 3'!J87+'дод 3'!J27</f>
        <v>0</v>
      </c>
      <c r="J87" s="62">
        <f>'дод 3'!K87+'дод 3'!K27</f>
        <v>0</v>
      </c>
      <c r="K87" s="62">
        <f>'дод 3'!L87+'дод 3'!L27</f>
        <v>0</v>
      </c>
      <c r="L87" s="62">
        <f>'дод 3'!M87+'дод 3'!M27</f>
        <v>0</v>
      </c>
      <c r="M87" s="62">
        <f>'дод 3'!N87+'дод 3'!N27</f>
        <v>0</v>
      </c>
      <c r="N87" s="62">
        <f>'дод 3'!O87+'дод 3'!O27</f>
        <v>0</v>
      </c>
      <c r="O87" s="62">
        <f>'дод 3'!P87+'дод 3'!P27</f>
        <v>2301500</v>
      </c>
    </row>
    <row r="88" spans="1:15" ht="76.5" customHeight="1" x14ac:dyDescent="0.25">
      <c r="A88" s="46" t="s">
        <v>116</v>
      </c>
      <c r="B88" s="46">
        <v>1010</v>
      </c>
      <c r="C88" s="3" t="s">
        <v>314</v>
      </c>
      <c r="D88" s="62">
        <f>'дод 3'!E142</f>
        <v>1884220</v>
      </c>
      <c r="E88" s="62">
        <f>'дод 3'!F142</f>
        <v>1884220</v>
      </c>
      <c r="F88" s="62">
        <f>'дод 3'!G142</f>
        <v>0</v>
      </c>
      <c r="G88" s="62">
        <f>'дод 3'!H142</f>
        <v>0</v>
      </c>
      <c r="H88" s="62">
        <f>'дод 3'!I142</f>
        <v>0</v>
      </c>
      <c r="I88" s="62">
        <f>'дод 3'!J142</f>
        <v>0</v>
      </c>
      <c r="J88" s="62">
        <f>'дод 3'!K142</f>
        <v>0</v>
      </c>
      <c r="K88" s="62">
        <f>'дод 3'!L142</f>
        <v>0</v>
      </c>
      <c r="L88" s="62">
        <f>'дод 3'!M142</f>
        <v>0</v>
      </c>
      <c r="M88" s="62">
        <f>'дод 3'!N142</f>
        <v>0</v>
      </c>
      <c r="N88" s="62">
        <f>'дод 3'!O142</f>
        <v>0</v>
      </c>
      <c r="O88" s="62">
        <f>'дод 3'!P142</f>
        <v>1884220</v>
      </c>
    </row>
    <row r="89" spans="1:15" s="81" customFormat="1" ht="70.5" customHeight="1" x14ac:dyDescent="0.25">
      <c r="A89" s="46" t="s">
        <v>347</v>
      </c>
      <c r="B89" s="46">
        <v>1010</v>
      </c>
      <c r="C89" s="3" t="s">
        <v>482</v>
      </c>
      <c r="D89" s="62">
        <f>'дод 3'!E143</f>
        <v>228095</v>
      </c>
      <c r="E89" s="62">
        <f>'дод 3'!F143</f>
        <v>228095</v>
      </c>
      <c r="F89" s="62">
        <f>'дод 3'!G143</f>
        <v>0</v>
      </c>
      <c r="G89" s="62">
        <f>'дод 3'!H143</f>
        <v>0</v>
      </c>
      <c r="H89" s="62">
        <f>'дод 3'!I143</f>
        <v>0</v>
      </c>
      <c r="I89" s="62">
        <f>'дод 3'!J143</f>
        <v>0</v>
      </c>
      <c r="J89" s="62">
        <f>'дод 3'!K143</f>
        <v>0</v>
      </c>
      <c r="K89" s="62">
        <f>'дод 3'!L143</f>
        <v>0</v>
      </c>
      <c r="L89" s="62">
        <f>'дод 3'!M143</f>
        <v>0</v>
      </c>
      <c r="M89" s="62">
        <f>'дод 3'!N143</f>
        <v>0</v>
      </c>
      <c r="N89" s="62">
        <f>'дод 3'!O143</f>
        <v>0</v>
      </c>
      <c r="O89" s="62">
        <f>'дод 3'!P143</f>
        <v>228095</v>
      </c>
    </row>
    <row r="90" spans="1:15" s="81" customFormat="1" x14ac:dyDescent="0.25">
      <c r="A90" s="172"/>
      <c r="B90" s="172"/>
      <c r="C90" s="173" t="s">
        <v>457</v>
      </c>
      <c r="D90" s="174">
        <f>'дод 3'!E144</f>
        <v>228095</v>
      </c>
      <c r="E90" s="174">
        <f>'дод 3'!F144</f>
        <v>228095</v>
      </c>
      <c r="F90" s="174">
        <f>'дод 3'!G144</f>
        <v>0</v>
      </c>
      <c r="G90" s="174">
        <f>'дод 3'!H144</f>
        <v>0</v>
      </c>
      <c r="H90" s="174">
        <f>'дод 3'!I144</f>
        <v>0</v>
      </c>
      <c r="I90" s="174">
        <f>'дод 3'!J144</f>
        <v>0</v>
      </c>
      <c r="J90" s="174">
        <f>'дод 3'!K144</f>
        <v>0</v>
      </c>
      <c r="K90" s="174">
        <f>'дод 3'!L144</f>
        <v>0</v>
      </c>
      <c r="L90" s="174">
        <f>'дод 3'!M144</f>
        <v>0</v>
      </c>
      <c r="M90" s="174">
        <f>'дод 3'!N144</f>
        <v>0</v>
      </c>
      <c r="N90" s="174">
        <f>'дод 3'!O144</f>
        <v>0</v>
      </c>
      <c r="O90" s="174">
        <f>'дод 3'!P144</f>
        <v>228095</v>
      </c>
    </row>
    <row r="91" spans="1:15" s="81" customFormat="1" ht="36" customHeight="1" x14ac:dyDescent="0.25">
      <c r="A91" s="46" t="s">
        <v>348</v>
      </c>
      <c r="B91" s="46">
        <v>1010</v>
      </c>
      <c r="C91" s="3" t="s">
        <v>483</v>
      </c>
      <c r="D91" s="62">
        <f>'дод 3'!E145</f>
        <v>90</v>
      </c>
      <c r="E91" s="62">
        <f>'дод 3'!F145</f>
        <v>90</v>
      </c>
      <c r="F91" s="62">
        <f>'дод 3'!G145</f>
        <v>0</v>
      </c>
      <c r="G91" s="62">
        <f>'дод 3'!H145</f>
        <v>0</v>
      </c>
      <c r="H91" s="62">
        <f>'дод 3'!I145</f>
        <v>0</v>
      </c>
      <c r="I91" s="62">
        <f>'дод 3'!J145</f>
        <v>0</v>
      </c>
      <c r="J91" s="62">
        <f>'дод 3'!K145</f>
        <v>0</v>
      </c>
      <c r="K91" s="62">
        <f>'дод 3'!L145</f>
        <v>0</v>
      </c>
      <c r="L91" s="62">
        <f>'дод 3'!M145</f>
        <v>0</v>
      </c>
      <c r="M91" s="62">
        <f>'дод 3'!N145</f>
        <v>0</v>
      </c>
      <c r="N91" s="62">
        <f>'дод 3'!O145</f>
        <v>0</v>
      </c>
      <c r="O91" s="62">
        <f>'дод 3'!P145</f>
        <v>90</v>
      </c>
    </row>
    <row r="92" spans="1:15" s="81" customFormat="1" x14ac:dyDescent="0.25">
      <c r="A92" s="172"/>
      <c r="B92" s="172"/>
      <c r="C92" s="173" t="s">
        <v>457</v>
      </c>
      <c r="D92" s="174">
        <f>'дод 3'!E146</f>
        <v>90</v>
      </c>
      <c r="E92" s="174">
        <f>'дод 3'!F146</f>
        <v>90</v>
      </c>
      <c r="F92" s="174">
        <f>'дод 3'!G146</f>
        <v>0</v>
      </c>
      <c r="G92" s="174">
        <f>'дод 3'!H146</f>
        <v>0</v>
      </c>
      <c r="H92" s="174">
        <f>'дод 3'!I146</f>
        <v>0</v>
      </c>
      <c r="I92" s="174">
        <f>'дод 3'!J146</f>
        <v>0</v>
      </c>
      <c r="J92" s="174">
        <f>'дод 3'!K146</f>
        <v>0</v>
      </c>
      <c r="K92" s="174">
        <f>'дод 3'!L146</f>
        <v>0</v>
      </c>
      <c r="L92" s="174">
        <f>'дод 3'!M146</f>
        <v>0</v>
      </c>
      <c r="M92" s="174">
        <f>'дод 3'!N146</f>
        <v>0</v>
      </c>
      <c r="N92" s="174">
        <f>'дод 3'!O146</f>
        <v>0</v>
      </c>
      <c r="O92" s="174">
        <f>'дод 3'!P146</f>
        <v>90</v>
      </c>
    </row>
    <row r="93" spans="1:15" ht="71.25" customHeight="1" x14ac:dyDescent="0.25">
      <c r="A93" s="46" t="s">
        <v>111</v>
      </c>
      <c r="B93" s="46" t="s">
        <v>57</v>
      </c>
      <c r="C93" s="3" t="s">
        <v>376</v>
      </c>
      <c r="D93" s="62">
        <f>'дод 3'!E147</f>
        <v>2075000</v>
      </c>
      <c r="E93" s="62">
        <f>'дод 3'!F147</f>
        <v>2075000</v>
      </c>
      <c r="F93" s="62">
        <f>'дод 3'!G147</f>
        <v>0</v>
      </c>
      <c r="G93" s="62">
        <f>'дод 3'!H147</f>
        <v>0</v>
      </c>
      <c r="H93" s="62">
        <f>'дод 3'!I147</f>
        <v>0</v>
      </c>
      <c r="I93" s="62">
        <f>'дод 3'!J147</f>
        <v>0</v>
      </c>
      <c r="J93" s="62">
        <f>'дод 3'!K147</f>
        <v>0</v>
      </c>
      <c r="K93" s="62">
        <f>'дод 3'!L147</f>
        <v>0</v>
      </c>
      <c r="L93" s="62">
        <f>'дод 3'!M147</f>
        <v>0</v>
      </c>
      <c r="M93" s="62">
        <f>'дод 3'!N147</f>
        <v>0</v>
      </c>
      <c r="N93" s="62">
        <f>'дод 3'!O147</f>
        <v>0</v>
      </c>
      <c r="O93" s="62">
        <f>'дод 3'!P147</f>
        <v>2075000</v>
      </c>
    </row>
    <row r="94" spans="1:15" s="81" customFormat="1" ht="29.25" customHeight="1" x14ac:dyDescent="0.25">
      <c r="A94" s="46" t="s">
        <v>315</v>
      </c>
      <c r="B94" s="46" t="s">
        <v>56</v>
      </c>
      <c r="C94" s="3" t="s">
        <v>19</v>
      </c>
      <c r="D94" s="62">
        <f>'дод 3'!E148</f>
        <v>2170968</v>
      </c>
      <c r="E94" s="62">
        <f>'дод 3'!F148</f>
        <v>2170968</v>
      </c>
      <c r="F94" s="62">
        <f>'дод 3'!G148</f>
        <v>0</v>
      </c>
      <c r="G94" s="62">
        <f>'дод 3'!H148</f>
        <v>0</v>
      </c>
      <c r="H94" s="62">
        <f>'дод 3'!I148</f>
        <v>0</v>
      </c>
      <c r="I94" s="62">
        <f>'дод 3'!J148</f>
        <v>0</v>
      </c>
      <c r="J94" s="62">
        <f>'дод 3'!K148</f>
        <v>0</v>
      </c>
      <c r="K94" s="62">
        <f>'дод 3'!L148</f>
        <v>0</v>
      </c>
      <c r="L94" s="62">
        <f>'дод 3'!M148</f>
        <v>0</v>
      </c>
      <c r="M94" s="62">
        <f>'дод 3'!N148</f>
        <v>0</v>
      </c>
      <c r="N94" s="62">
        <f>'дод 3'!O148</f>
        <v>0</v>
      </c>
      <c r="O94" s="62">
        <f>'дод 3'!P148</f>
        <v>2170968</v>
      </c>
    </row>
    <row r="95" spans="1:15" s="81" customFormat="1" ht="55.5" customHeight="1" x14ac:dyDescent="0.25">
      <c r="A95" s="46" t="s">
        <v>316</v>
      </c>
      <c r="B95" s="46" t="s">
        <v>56</v>
      </c>
      <c r="C95" s="3" t="s">
        <v>344</v>
      </c>
      <c r="D95" s="62">
        <f>'дод 3'!E149</f>
        <v>1892237</v>
      </c>
      <c r="E95" s="62">
        <f>'дод 3'!F149</f>
        <v>1892237</v>
      </c>
      <c r="F95" s="62">
        <f>'дод 3'!G149</f>
        <v>0</v>
      </c>
      <c r="G95" s="62">
        <f>'дод 3'!H149</f>
        <v>0</v>
      </c>
      <c r="H95" s="62">
        <f>'дод 3'!I149</f>
        <v>0</v>
      </c>
      <c r="I95" s="62">
        <f>'дод 3'!J149</f>
        <v>0</v>
      </c>
      <c r="J95" s="62">
        <f>'дод 3'!K149</f>
        <v>0</v>
      </c>
      <c r="K95" s="62">
        <f>'дод 3'!L149</f>
        <v>0</v>
      </c>
      <c r="L95" s="62">
        <f>'дод 3'!M149</f>
        <v>0</v>
      </c>
      <c r="M95" s="62">
        <f>'дод 3'!N149</f>
        <v>0</v>
      </c>
      <c r="N95" s="62">
        <f>'дод 3'!O149</f>
        <v>0</v>
      </c>
      <c r="O95" s="62">
        <f>'дод 3'!P149</f>
        <v>1892237</v>
      </c>
    </row>
    <row r="96" spans="1:15" ht="36.75" customHeight="1" x14ac:dyDescent="0.25">
      <c r="A96" s="46" t="s">
        <v>112</v>
      </c>
      <c r="B96" s="46" t="s">
        <v>60</v>
      </c>
      <c r="C96" s="3" t="s">
        <v>377</v>
      </c>
      <c r="D96" s="62">
        <f>'дод 3'!E150</f>
        <v>86500</v>
      </c>
      <c r="E96" s="62">
        <f>'дод 3'!F150</f>
        <v>86500</v>
      </c>
      <c r="F96" s="62">
        <f>'дод 3'!G150</f>
        <v>0</v>
      </c>
      <c r="G96" s="62">
        <f>'дод 3'!H150</f>
        <v>0</v>
      </c>
      <c r="H96" s="62">
        <f>'дод 3'!I150</f>
        <v>0</v>
      </c>
      <c r="I96" s="62">
        <f>'дод 3'!J150</f>
        <v>0</v>
      </c>
      <c r="J96" s="62">
        <f>'дод 3'!K150</f>
        <v>0</v>
      </c>
      <c r="K96" s="62">
        <f>'дод 3'!L150</f>
        <v>0</v>
      </c>
      <c r="L96" s="62">
        <f>'дод 3'!M150</f>
        <v>0</v>
      </c>
      <c r="M96" s="62">
        <f>'дод 3'!N150</f>
        <v>0</v>
      </c>
      <c r="N96" s="62">
        <f>'дод 3'!O150</f>
        <v>0</v>
      </c>
      <c r="O96" s="62">
        <f>'дод 3'!P150</f>
        <v>86500</v>
      </c>
    </row>
    <row r="97" spans="1:15" ht="27.75" customHeight="1" x14ac:dyDescent="0.25">
      <c r="A97" s="46" t="s">
        <v>317</v>
      </c>
      <c r="B97" s="46" t="s">
        <v>113</v>
      </c>
      <c r="C97" s="3" t="s">
        <v>41</v>
      </c>
      <c r="D97" s="62">
        <f>'дод 3'!E151+'дод 3'!E177</f>
        <v>450000</v>
      </c>
      <c r="E97" s="62">
        <f>'дод 3'!F151+'дод 3'!F177</f>
        <v>450000</v>
      </c>
      <c r="F97" s="62">
        <f>'дод 3'!G151+'дод 3'!G177</f>
        <v>163935</v>
      </c>
      <c r="G97" s="62">
        <f>'дод 3'!H151+'дод 3'!H177</f>
        <v>0</v>
      </c>
      <c r="H97" s="62">
        <f>'дод 3'!I151+'дод 3'!I177</f>
        <v>0</v>
      </c>
      <c r="I97" s="62">
        <f>'дод 3'!J151+'дод 3'!J177</f>
        <v>0</v>
      </c>
      <c r="J97" s="62">
        <f>'дод 3'!K151+'дод 3'!K177</f>
        <v>0</v>
      </c>
      <c r="K97" s="62">
        <f>'дод 3'!L151+'дод 3'!L177</f>
        <v>0</v>
      </c>
      <c r="L97" s="62">
        <f>'дод 3'!M151+'дод 3'!M177</f>
        <v>0</v>
      </c>
      <c r="M97" s="62">
        <f>'дод 3'!N151+'дод 3'!N177</f>
        <v>0</v>
      </c>
      <c r="N97" s="62">
        <f>'дод 3'!O151+'дод 3'!O177</f>
        <v>0</v>
      </c>
      <c r="O97" s="62">
        <f>'дод 3'!P151+'дод 3'!P177</f>
        <v>450000</v>
      </c>
    </row>
    <row r="98" spans="1:15" s="81" customFormat="1" ht="32.25" customHeight="1" x14ac:dyDescent="0.25">
      <c r="A98" s="46" t="s">
        <v>318</v>
      </c>
      <c r="B98" s="46" t="s">
        <v>60</v>
      </c>
      <c r="C98" s="3" t="s">
        <v>320</v>
      </c>
      <c r="D98" s="62">
        <f>'дод 3'!E152+'дод 3'!E28</f>
        <v>6719301</v>
      </c>
      <c r="E98" s="62">
        <f>'дод 3'!F152+'дод 3'!F28</f>
        <v>6719301</v>
      </c>
      <c r="F98" s="62">
        <f>'дод 3'!G152+'дод 3'!G28</f>
        <v>4196250</v>
      </c>
      <c r="G98" s="62">
        <f>'дод 3'!H152+'дод 3'!H28</f>
        <v>606930</v>
      </c>
      <c r="H98" s="62">
        <f>'дод 3'!I152+'дод 3'!I28</f>
        <v>0</v>
      </c>
      <c r="I98" s="62">
        <f>'дод 3'!J152+'дод 3'!J28</f>
        <v>561000</v>
      </c>
      <c r="J98" s="62">
        <f>'дод 3'!K152+'дод 3'!K28</f>
        <v>561000</v>
      </c>
      <c r="K98" s="62">
        <f>'дод 3'!L152+'дод 3'!L28</f>
        <v>0</v>
      </c>
      <c r="L98" s="62">
        <f>'дод 3'!M152+'дод 3'!M28</f>
        <v>0</v>
      </c>
      <c r="M98" s="62">
        <f>'дод 3'!N152+'дод 3'!N28</f>
        <v>0</v>
      </c>
      <c r="N98" s="62">
        <f>'дод 3'!O152+'дод 3'!O28</f>
        <v>561000</v>
      </c>
      <c r="O98" s="62">
        <f>'дод 3'!P152+'дод 3'!P28</f>
        <v>7280301</v>
      </c>
    </row>
    <row r="99" spans="1:15" s="81" customFormat="1" ht="31.5" customHeight="1" x14ac:dyDescent="0.25">
      <c r="A99" s="46" t="s">
        <v>319</v>
      </c>
      <c r="B99" s="46" t="s">
        <v>60</v>
      </c>
      <c r="C99" s="3" t="s">
        <v>484</v>
      </c>
      <c r="D99" s="62">
        <f>'дод 3'!E88+'дод 3'!E153+'дод 3'!E29</f>
        <v>34692368</v>
      </c>
      <c r="E99" s="62">
        <f>'дод 3'!F88+'дод 3'!F153+'дод 3'!F29</f>
        <v>34692368</v>
      </c>
      <c r="F99" s="62">
        <f>'дод 3'!G88+'дод 3'!G153+'дод 3'!G29</f>
        <v>0</v>
      </c>
      <c r="G99" s="62">
        <f>'дод 3'!H88+'дод 3'!H153+'дод 3'!H29</f>
        <v>0</v>
      </c>
      <c r="H99" s="62">
        <f>'дод 3'!I88+'дод 3'!I153+'дод 3'!I29</f>
        <v>0</v>
      </c>
      <c r="I99" s="62">
        <f>'дод 3'!J88+'дод 3'!J153+'дод 3'!J29</f>
        <v>35640</v>
      </c>
      <c r="J99" s="62">
        <f>'дод 3'!K88+'дод 3'!K153+'дод 3'!K29</f>
        <v>35640</v>
      </c>
      <c r="K99" s="62">
        <f>'дод 3'!L88+'дод 3'!L153+'дод 3'!L29</f>
        <v>0</v>
      </c>
      <c r="L99" s="62">
        <f>'дод 3'!M88+'дод 3'!M153+'дод 3'!M29</f>
        <v>0</v>
      </c>
      <c r="M99" s="62">
        <f>'дод 3'!N88+'дод 3'!N153+'дод 3'!N29</f>
        <v>0</v>
      </c>
      <c r="N99" s="62">
        <f>'дод 3'!O88+'дод 3'!O153+'дод 3'!O29</f>
        <v>35640</v>
      </c>
      <c r="O99" s="62">
        <f>'дод 3'!P88+'дод 3'!P153+'дод 3'!P29</f>
        <v>34728008</v>
      </c>
    </row>
    <row r="100" spans="1:15" s="81" customFormat="1" x14ac:dyDescent="0.25">
      <c r="A100" s="172"/>
      <c r="B100" s="172"/>
      <c r="C100" s="173" t="s">
        <v>457</v>
      </c>
      <c r="D100" s="174">
        <f>'дод 3'!E154</f>
        <v>360800</v>
      </c>
      <c r="E100" s="174">
        <f>'дод 3'!F154</f>
        <v>360800</v>
      </c>
      <c r="F100" s="174">
        <f>'дод 3'!G154</f>
        <v>0</v>
      </c>
      <c r="G100" s="174">
        <f>'дод 3'!H154</f>
        <v>0</v>
      </c>
      <c r="H100" s="174">
        <f>'дод 3'!I154</f>
        <v>0</v>
      </c>
      <c r="I100" s="174">
        <f>'дод 3'!J154</f>
        <v>0</v>
      </c>
      <c r="J100" s="174">
        <f>'дод 3'!K154</f>
        <v>0</v>
      </c>
      <c r="K100" s="174">
        <f>'дод 3'!L154</f>
        <v>0</v>
      </c>
      <c r="L100" s="174">
        <f>'дод 3'!M154</f>
        <v>0</v>
      </c>
      <c r="M100" s="174">
        <f>'дод 3'!N154</f>
        <v>0</v>
      </c>
      <c r="N100" s="174">
        <f>'дод 3'!O154</f>
        <v>0</v>
      </c>
      <c r="O100" s="174">
        <f>'дод 3'!P154</f>
        <v>360800</v>
      </c>
    </row>
    <row r="101" spans="1:15" s="79" customFormat="1" ht="19.5" customHeight="1" x14ac:dyDescent="0.25">
      <c r="A101" s="47" t="s">
        <v>77</v>
      </c>
      <c r="B101" s="50"/>
      <c r="C101" s="2" t="s">
        <v>78</v>
      </c>
      <c r="D101" s="61">
        <f t="shared" ref="D101:O101" si="15">D102+D103+D104+D105</f>
        <v>33378001</v>
      </c>
      <c r="E101" s="61">
        <f t="shared" si="15"/>
        <v>33378001</v>
      </c>
      <c r="F101" s="61">
        <f t="shared" si="15"/>
        <v>18761815</v>
      </c>
      <c r="G101" s="61">
        <f t="shared" si="15"/>
        <v>1801060</v>
      </c>
      <c r="H101" s="61">
        <f t="shared" si="15"/>
        <v>0</v>
      </c>
      <c r="I101" s="61">
        <f t="shared" si="15"/>
        <v>1209233</v>
      </c>
      <c r="J101" s="61">
        <f t="shared" si="15"/>
        <v>1173233</v>
      </c>
      <c r="K101" s="61">
        <f t="shared" si="15"/>
        <v>36000</v>
      </c>
      <c r="L101" s="61">
        <f t="shared" si="15"/>
        <v>12100</v>
      </c>
      <c r="M101" s="61">
        <f t="shared" si="15"/>
        <v>3300</v>
      </c>
      <c r="N101" s="61">
        <f t="shared" si="15"/>
        <v>1173233</v>
      </c>
      <c r="O101" s="61">
        <f t="shared" si="15"/>
        <v>34587234</v>
      </c>
    </row>
    <row r="102" spans="1:15" ht="22.5" customHeight="1" x14ac:dyDescent="0.25">
      <c r="A102" s="46" t="s">
        <v>79</v>
      </c>
      <c r="B102" s="46" t="s">
        <v>80</v>
      </c>
      <c r="C102" s="3" t="s">
        <v>16</v>
      </c>
      <c r="D102" s="62">
        <f>'дод 3'!E166</f>
        <v>19183964</v>
      </c>
      <c r="E102" s="62">
        <f>'дод 3'!F166</f>
        <v>19183964</v>
      </c>
      <c r="F102" s="62">
        <f>'дод 3'!G166</f>
        <v>13788696</v>
      </c>
      <c r="G102" s="62">
        <f>'дод 3'!H166</f>
        <v>1227200</v>
      </c>
      <c r="H102" s="62">
        <f>'дод 3'!I166</f>
        <v>0</v>
      </c>
      <c r="I102" s="62">
        <f>'дод 3'!J166</f>
        <v>346795</v>
      </c>
      <c r="J102" s="62">
        <f>'дод 3'!K166</f>
        <v>316795</v>
      </c>
      <c r="K102" s="62">
        <f>'дод 3'!L166</f>
        <v>30000</v>
      </c>
      <c r="L102" s="62">
        <f>'дод 3'!M166</f>
        <v>12100</v>
      </c>
      <c r="M102" s="62">
        <f>'дод 3'!N166</f>
        <v>0</v>
      </c>
      <c r="N102" s="62">
        <f>'дод 3'!O166</f>
        <v>316795</v>
      </c>
      <c r="O102" s="62">
        <f>'дод 3'!P166</f>
        <v>19530759</v>
      </c>
    </row>
    <row r="103" spans="1:15" ht="33.75" customHeight="1" x14ac:dyDescent="0.25">
      <c r="A103" s="46" t="s">
        <v>351</v>
      </c>
      <c r="B103" s="46" t="s">
        <v>352</v>
      </c>
      <c r="C103" s="3" t="s">
        <v>353</v>
      </c>
      <c r="D103" s="62">
        <f>'дод 3'!E30+'дод 3'!E167</f>
        <v>5887442</v>
      </c>
      <c r="E103" s="62">
        <f>'дод 3'!F30+'дод 3'!F167</f>
        <v>5887442</v>
      </c>
      <c r="F103" s="62">
        <f>'дод 3'!G30+'дод 3'!G167</f>
        <v>2204815</v>
      </c>
      <c r="G103" s="62">
        <f>'дод 3'!H30+'дод 3'!H167</f>
        <v>449760</v>
      </c>
      <c r="H103" s="62">
        <f>'дод 3'!I30+'дод 3'!I167</f>
        <v>0</v>
      </c>
      <c r="I103" s="62">
        <f>'дод 3'!J30+'дод 3'!J167</f>
        <v>638438</v>
      </c>
      <c r="J103" s="62">
        <f>'дод 3'!K30+'дод 3'!K167</f>
        <v>632438</v>
      </c>
      <c r="K103" s="62">
        <f>'дод 3'!L30+'дод 3'!L167</f>
        <v>6000</v>
      </c>
      <c r="L103" s="62">
        <f>'дод 3'!M30+'дод 3'!M167</f>
        <v>0</v>
      </c>
      <c r="M103" s="62">
        <f>'дод 3'!N30+'дод 3'!N167</f>
        <v>3300</v>
      </c>
      <c r="N103" s="62">
        <f>'дод 3'!O30+'дод 3'!O167</f>
        <v>632438</v>
      </c>
      <c r="O103" s="62">
        <f>'дод 3'!P30+'дод 3'!P167</f>
        <v>6525880</v>
      </c>
    </row>
    <row r="104" spans="1:15" s="81" customFormat="1" ht="39.75" customHeight="1" x14ac:dyDescent="0.25">
      <c r="A104" s="46" t="s">
        <v>321</v>
      </c>
      <c r="B104" s="46" t="s">
        <v>81</v>
      </c>
      <c r="C104" s="3" t="s">
        <v>378</v>
      </c>
      <c r="D104" s="62">
        <f>'дод 3'!E31+'дод 3'!E168</f>
        <v>5403571</v>
      </c>
      <c r="E104" s="62">
        <f>'дод 3'!F31+'дод 3'!F168</f>
        <v>5403571</v>
      </c>
      <c r="F104" s="62">
        <f>'дод 3'!G31+'дод 3'!G168</f>
        <v>2768304</v>
      </c>
      <c r="G104" s="62">
        <f>'дод 3'!H31+'дод 3'!H168</f>
        <v>124100</v>
      </c>
      <c r="H104" s="62">
        <f>'дод 3'!I31+'дод 3'!I168</f>
        <v>0</v>
      </c>
      <c r="I104" s="62">
        <f>'дод 3'!J31+'дод 3'!J168</f>
        <v>224000</v>
      </c>
      <c r="J104" s="62">
        <f>'дод 3'!K31+'дод 3'!K168</f>
        <v>224000</v>
      </c>
      <c r="K104" s="62">
        <f>'дод 3'!L31+'дод 3'!L168</f>
        <v>0</v>
      </c>
      <c r="L104" s="62">
        <f>'дод 3'!M31+'дод 3'!M168</f>
        <v>0</v>
      </c>
      <c r="M104" s="62">
        <f>'дод 3'!N31+'дод 3'!N168</f>
        <v>0</v>
      </c>
      <c r="N104" s="62">
        <f>'дод 3'!O31+'дод 3'!O168</f>
        <v>224000</v>
      </c>
      <c r="O104" s="62">
        <f>'дод 3'!P31+'дод 3'!P168</f>
        <v>5627571</v>
      </c>
    </row>
    <row r="105" spans="1:15" s="81" customFormat="1" ht="30" customHeight="1" x14ac:dyDescent="0.25">
      <c r="A105" s="46" t="s">
        <v>322</v>
      </c>
      <c r="B105" s="46" t="s">
        <v>81</v>
      </c>
      <c r="C105" s="3" t="s">
        <v>323</v>
      </c>
      <c r="D105" s="62">
        <f>'дод 3'!E32+'дод 3'!E169</f>
        <v>2903024</v>
      </c>
      <c r="E105" s="62">
        <f>'дод 3'!F32+'дод 3'!F169</f>
        <v>2903024</v>
      </c>
      <c r="F105" s="62">
        <f>'дод 3'!G32+'дод 3'!G169</f>
        <v>0</v>
      </c>
      <c r="G105" s="62">
        <f>'дод 3'!H32+'дод 3'!H169</f>
        <v>0</v>
      </c>
      <c r="H105" s="62">
        <f>'дод 3'!I32+'дод 3'!I169</f>
        <v>0</v>
      </c>
      <c r="I105" s="62">
        <f>'дод 3'!J32+'дод 3'!J169</f>
        <v>0</v>
      </c>
      <c r="J105" s="62">
        <f>'дод 3'!K32+'дод 3'!K169</f>
        <v>0</v>
      </c>
      <c r="K105" s="62">
        <f>'дод 3'!L32+'дод 3'!L169</f>
        <v>0</v>
      </c>
      <c r="L105" s="62">
        <f>'дод 3'!M32+'дод 3'!M169</f>
        <v>0</v>
      </c>
      <c r="M105" s="62">
        <f>'дод 3'!N32+'дод 3'!N169</f>
        <v>0</v>
      </c>
      <c r="N105" s="62">
        <f>'дод 3'!O32+'дод 3'!O169</f>
        <v>0</v>
      </c>
      <c r="O105" s="62">
        <f>'дод 3'!P32+'дод 3'!P169</f>
        <v>2903024</v>
      </c>
    </row>
    <row r="106" spans="1:15" s="79" customFormat="1" ht="21.75" customHeight="1" x14ac:dyDescent="0.25">
      <c r="A106" s="47" t="s">
        <v>84</v>
      </c>
      <c r="B106" s="50"/>
      <c r="C106" s="2" t="s">
        <v>85</v>
      </c>
      <c r="D106" s="61">
        <f t="shared" ref="D106:O106" si="16">D107+D108+D109+D110+D111+D112</f>
        <v>46097970</v>
      </c>
      <c r="E106" s="61">
        <f t="shared" si="16"/>
        <v>46097970</v>
      </c>
      <c r="F106" s="61">
        <f t="shared" si="16"/>
        <v>17286800</v>
      </c>
      <c r="G106" s="61">
        <f t="shared" si="16"/>
        <v>1210790</v>
      </c>
      <c r="H106" s="61">
        <f t="shared" si="16"/>
        <v>0</v>
      </c>
      <c r="I106" s="61">
        <f t="shared" si="16"/>
        <v>1437570</v>
      </c>
      <c r="J106" s="61">
        <f t="shared" si="16"/>
        <v>1258450</v>
      </c>
      <c r="K106" s="61">
        <f t="shared" si="16"/>
        <v>179120</v>
      </c>
      <c r="L106" s="61">
        <f t="shared" si="16"/>
        <v>91105</v>
      </c>
      <c r="M106" s="61">
        <f t="shared" si="16"/>
        <v>51050</v>
      </c>
      <c r="N106" s="61">
        <f t="shared" si="16"/>
        <v>1258450</v>
      </c>
      <c r="O106" s="61">
        <f t="shared" si="16"/>
        <v>47535540</v>
      </c>
    </row>
    <row r="107" spans="1:15" s="81" customFormat="1" ht="43.5" customHeight="1" x14ac:dyDescent="0.25">
      <c r="A107" s="46" t="s">
        <v>86</v>
      </c>
      <c r="B107" s="46" t="s">
        <v>87</v>
      </c>
      <c r="C107" s="3" t="s">
        <v>23</v>
      </c>
      <c r="D107" s="62">
        <f>'дод 3'!E33</f>
        <v>551000</v>
      </c>
      <c r="E107" s="62">
        <f>'дод 3'!F33</f>
        <v>551000</v>
      </c>
      <c r="F107" s="62">
        <f>'дод 3'!G33</f>
        <v>0</v>
      </c>
      <c r="G107" s="62">
        <f>'дод 3'!H33</f>
        <v>0</v>
      </c>
      <c r="H107" s="62">
        <f>'дод 3'!I33</f>
        <v>0</v>
      </c>
      <c r="I107" s="62">
        <f>'дод 3'!J33</f>
        <v>0</v>
      </c>
      <c r="J107" s="62">
        <f>'дод 3'!K33</f>
        <v>0</v>
      </c>
      <c r="K107" s="62">
        <f>'дод 3'!L33</f>
        <v>0</v>
      </c>
      <c r="L107" s="62">
        <f>'дод 3'!M33</f>
        <v>0</v>
      </c>
      <c r="M107" s="62">
        <f>'дод 3'!N33</f>
        <v>0</v>
      </c>
      <c r="N107" s="62">
        <f>'дод 3'!O33</f>
        <v>0</v>
      </c>
      <c r="O107" s="62">
        <f>'дод 3'!P33</f>
        <v>551000</v>
      </c>
    </row>
    <row r="108" spans="1:15" s="81" customFormat="1" ht="39.75" customHeight="1" x14ac:dyDescent="0.25">
      <c r="A108" s="46" t="s">
        <v>88</v>
      </c>
      <c r="B108" s="46" t="s">
        <v>87</v>
      </c>
      <c r="C108" s="3" t="s">
        <v>17</v>
      </c>
      <c r="D108" s="62">
        <f>'дод 3'!E34</f>
        <v>959400</v>
      </c>
      <c r="E108" s="62">
        <f>'дод 3'!F34</f>
        <v>959400</v>
      </c>
      <c r="F108" s="62">
        <f>'дод 3'!G34</f>
        <v>0</v>
      </c>
      <c r="G108" s="62">
        <f>'дод 3'!H34</f>
        <v>0</v>
      </c>
      <c r="H108" s="62">
        <f>'дод 3'!I34</f>
        <v>0</v>
      </c>
      <c r="I108" s="62">
        <f>'дод 3'!J34</f>
        <v>0</v>
      </c>
      <c r="J108" s="62">
        <f>'дод 3'!K34</f>
        <v>0</v>
      </c>
      <c r="K108" s="62">
        <f>'дод 3'!L34</f>
        <v>0</v>
      </c>
      <c r="L108" s="62">
        <f>'дод 3'!M34</f>
        <v>0</v>
      </c>
      <c r="M108" s="62">
        <f>'дод 3'!N34</f>
        <v>0</v>
      </c>
      <c r="N108" s="62">
        <f>'дод 3'!O34</f>
        <v>0</v>
      </c>
      <c r="O108" s="62">
        <f>'дод 3'!P34</f>
        <v>959400</v>
      </c>
    </row>
    <row r="109" spans="1:15" s="81" customFormat="1" ht="36.75" customHeight="1" x14ac:dyDescent="0.25">
      <c r="A109" s="46" t="s">
        <v>124</v>
      </c>
      <c r="B109" s="46" t="s">
        <v>87</v>
      </c>
      <c r="C109" s="3" t="s">
        <v>24</v>
      </c>
      <c r="D109" s="62">
        <f>'дод 3'!E89+'дод 3'!E35</f>
        <v>20262230</v>
      </c>
      <c r="E109" s="62">
        <f>'дод 3'!F89+'дод 3'!F35</f>
        <v>20262230</v>
      </c>
      <c r="F109" s="62">
        <f>'дод 3'!G89+'дод 3'!G35</f>
        <v>14839900</v>
      </c>
      <c r="G109" s="62">
        <f>'дод 3'!H89+'дод 3'!H35</f>
        <v>890690</v>
      </c>
      <c r="H109" s="62">
        <f>'дод 3'!I89+'дод 3'!I35</f>
        <v>0</v>
      </c>
      <c r="I109" s="62">
        <f>'дод 3'!J89+'дод 3'!J35</f>
        <v>1017000</v>
      </c>
      <c r="J109" s="62">
        <f>'дод 3'!K89+'дод 3'!K35</f>
        <v>1017000</v>
      </c>
      <c r="K109" s="62">
        <f>'дод 3'!L89+'дод 3'!L35</f>
        <v>0</v>
      </c>
      <c r="L109" s="62">
        <f>'дод 3'!M89+'дод 3'!M35</f>
        <v>0</v>
      </c>
      <c r="M109" s="62">
        <f>'дод 3'!N89+'дод 3'!N35</f>
        <v>0</v>
      </c>
      <c r="N109" s="62">
        <f>'дод 3'!O89+'дод 3'!O35</f>
        <v>1017000</v>
      </c>
      <c r="O109" s="62">
        <f>'дод 3'!P89+'дод 3'!P35</f>
        <v>21279230</v>
      </c>
    </row>
    <row r="110" spans="1:15" s="81" customFormat="1" ht="31.5" customHeight="1" x14ac:dyDescent="0.25">
      <c r="A110" s="46" t="s">
        <v>125</v>
      </c>
      <c r="B110" s="46" t="s">
        <v>87</v>
      </c>
      <c r="C110" s="3" t="s">
        <v>25</v>
      </c>
      <c r="D110" s="62">
        <f>'дод 3'!E36</f>
        <v>11357630</v>
      </c>
      <c r="E110" s="62">
        <f>'дод 3'!F36</f>
        <v>11357630</v>
      </c>
      <c r="F110" s="62">
        <f>'дод 3'!G36</f>
        <v>0</v>
      </c>
      <c r="G110" s="62">
        <f>'дод 3'!H36</f>
        <v>0</v>
      </c>
      <c r="H110" s="62">
        <f>'дод 3'!I36</f>
        <v>0</v>
      </c>
      <c r="I110" s="62">
        <f>'дод 3'!J36</f>
        <v>198000</v>
      </c>
      <c r="J110" s="62">
        <f>'дод 3'!K36</f>
        <v>198000</v>
      </c>
      <c r="K110" s="62">
        <f>'дод 3'!L36</f>
        <v>0</v>
      </c>
      <c r="L110" s="62">
        <f>'дод 3'!M36</f>
        <v>0</v>
      </c>
      <c r="M110" s="62">
        <f>'дод 3'!N36</f>
        <v>0</v>
      </c>
      <c r="N110" s="62">
        <f>'дод 3'!O36</f>
        <v>198000</v>
      </c>
      <c r="O110" s="62">
        <f>'дод 3'!P36</f>
        <v>11555630</v>
      </c>
    </row>
    <row r="111" spans="1:15" s="81" customFormat="1" ht="60" customHeight="1" x14ac:dyDescent="0.25">
      <c r="A111" s="46" t="s">
        <v>120</v>
      </c>
      <c r="B111" s="46" t="s">
        <v>87</v>
      </c>
      <c r="C111" s="3" t="s">
        <v>121</v>
      </c>
      <c r="D111" s="62">
        <f>'дод 3'!E37</f>
        <v>3893120</v>
      </c>
      <c r="E111" s="62">
        <f>'дод 3'!F37</f>
        <v>3893120</v>
      </c>
      <c r="F111" s="62">
        <f>'дод 3'!G37</f>
        <v>2446900</v>
      </c>
      <c r="G111" s="62">
        <f>'дод 3'!H37</f>
        <v>320100</v>
      </c>
      <c r="H111" s="62">
        <f>'дод 3'!I37</f>
        <v>0</v>
      </c>
      <c r="I111" s="62">
        <f>'дод 3'!J37</f>
        <v>179120</v>
      </c>
      <c r="J111" s="62">
        <f>'дод 3'!K37</f>
        <v>0</v>
      </c>
      <c r="K111" s="62">
        <f>'дод 3'!L37</f>
        <v>179120</v>
      </c>
      <c r="L111" s="62">
        <f>'дод 3'!M37</f>
        <v>91105</v>
      </c>
      <c r="M111" s="62">
        <f>'дод 3'!N37</f>
        <v>51050</v>
      </c>
      <c r="N111" s="62">
        <f>'дод 3'!O37</f>
        <v>0</v>
      </c>
      <c r="O111" s="62">
        <f>'дод 3'!P37</f>
        <v>4072240</v>
      </c>
    </row>
    <row r="112" spans="1:15" s="81" customFormat="1" ht="42" customHeight="1" x14ac:dyDescent="0.25">
      <c r="A112" s="46" t="s">
        <v>123</v>
      </c>
      <c r="B112" s="46" t="s">
        <v>87</v>
      </c>
      <c r="C112" s="3" t="s">
        <v>122</v>
      </c>
      <c r="D112" s="62">
        <f>'дод 3'!E38</f>
        <v>9074590</v>
      </c>
      <c r="E112" s="62">
        <f>'дод 3'!F38</f>
        <v>9074590</v>
      </c>
      <c r="F112" s="62">
        <f>'дод 3'!G38</f>
        <v>0</v>
      </c>
      <c r="G112" s="62">
        <f>'дод 3'!H38</f>
        <v>0</v>
      </c>
      <c r="H112" s="62">
        <f>'дод 3'!I38</f>
        <v>0</v>
      </c>
      <c r="I112" s="62">
        <f>'дод 3'!J38</f>
        <v>43450</v>
      </c>
      <c r="J112" s="62">
        <f>'дод 3'!K38</f>
        <v>43450</v>
      </c>
      <c r="K112" s="62">
        <f>'дод 3'!L38</f>
        <v>0</v>
      </c>
      <c r="L112" s="62">
        <f>'дод 3'!M38</f>
        <v>0</v>
      </c>
      <c r="M112" s="62">
        <f>'дод 3'!N38</f>
        <v>0</v>
      </c>
      <c r="N112" s="62">
        <f>'дод 3'!O38</f>
        <v>43450</v>
      </c>
      <c r="O112" s="62">
        <f>'дод 3'!P38</f>
        <v>9118040</v>
      </c>
    </row>
    <row r="113" spans="1:15" s="79" customFormat="1" ht="27" customHeight="1" x14ac:dyDescent="0.25">
      <c r="A113" s="47" t="s">
        <v>72</v>
      </c>
      <c r="B113" s="50"/>
      <c r="C113" s="2" t="s">
        <v>73</v>
      </c>
      <c r="D113" s="61">
        <f>D114+D115+D116+D117+D118+D119+D120+D121</f>
        <v>247487462.95999998</v>
      </c>
      <c r="E113" s="61">
        <f t="shared" ref="E113:O113" si="17">E114+E115+E116+E117+E118+E119+E120+E121</f>
        <v>206293024.95999998</v>
      </c>
      <c r="F113" s="61">
        <f t="shared" si="17"/>
        <v>0</v>
      </c>
      <c r="G113" s="61">
        <f t="shared" si="17"/>
        <v>27624106</v>
      </c>
      <c r="H113" s="61">
        <f t="shared" si="17"/>
        <v>41194438</v>
      </c>
      <c r="I113" s="61">
        <f t="shared" si="17"/>
        <v>137395866.75999999</v>
      </c>
      <c r="J113" s="61">
        <f t="shared" si="17"/>
        <v>137238163.69999999</v>
      </c>
      <c r="K113" s="61">
        <f t="shared" si="17"/>
        <v>0</v>
      </c>
      <c r="L113" s="61">
        <f t="shared" si="17"/>
        <v>0</v>
      </c>
      <c r="M113" s="61">
        <f t="shared" si="17"/>
        <v>0</v>
      </c>
      <c r="N113" s="61">
        <f t="shared" si="17"/>
        <v>137395866.75999999</v>
      </c>
      <c r="O113" s="61">
        <f t="shared" si="17"/>
        <v>384883329.72000003</v>
      </c>
    </row>
    <row r="114" spans="1:15" s="81" customFormat="1" ht="33.75" customHeight="1" x14ac:dyDescent="0.25">
      <c r="A114" s="46" t="s">
        <v>138</v>
      </c>
      <c r="B114" s="46" t="s">
        <v>74</v>
      </c>
      <c r="C114" s="3" t="s">
        <v>139</v>
      </c>
      <c r="D114" s="62">
        <f>'дод 3'!E178</f>
        <v>0</v>
      </c>
      <c r="E114" s="62">
        <f>'дод 3'!F178</f>
        <v>0</v>
      </c>
      <c r="F114" s="62">
        <f>'дод 3'!G178</f>
        <v>0</v>
      </c>
      <c r="G114" s="62">
        <f>'дод 3'!H178</f>
        <v>0</v>
      </c>
      <c r="H114" s="62">
        <f>'дод 3'!I178</f>
        <v>0</v>
      </c>
      <c r="I114" s="62">
        <f>'дод 3'!J178</f>
        <v>12300333.93</v>
      </c>
      <c r="J114" s="62">
        <f>'дод 3'!K178</f>
        <v>12270333.93</v>
      </c>
      <c r="K114" s="62">
        <f>'дод 3'!L178</f>
        <v>0</v>
      </c>
      <c r="L114" s="62">
        <f>'дод 3'!M178</f>
        <v>0</v>
      </c>
      <c r="M114" s="62">
        <f>'дод 3'!N178</f>
        <v>0</v>
      </c>
      <c r="N114" s="62">
        <f>'дод 3'!O178</f>
        <v>12300333.93</v>
      </c>
      <c r="O114" s="62">
        <f>'дод 3'!P178</f>
        <v>12300333.93</v>
      </c>
    </row>
    <row r="115" spans="1:15" s="81" customFormat="1" ht="36.75" customHeight="1" x14ac:dyDescent="0.25">
      <c r="A115" s="46" t="s">
        <v>140</v>
      </c>
      <c r="B115" s="46" t="s">
        <v>76</v>
      </c>
      <c r="C115" s="3" t="s">
        <v>158</v>
      </c>
      <c r="D115" s="62">
        <f>'дод 3'!E179</f>
        <v>39190000</v>
      </c>
      <c r="E115" s="62">
        <f>'дод 3'!F179</f>
        <v>690000</v>
      </c>
      <c r="F115" s="62">
        <f>'дод 3'!G179</f>
        <v>0</v>
      </c>
      <c r="G115" s="62">
        <f>'дод 3'!H179</f>
        <v>0</v>
      </c>
      <c r="H115" s="62">
        <f>'дод 3'!I179</f>
        <v>38500000</v>
      </c>
      <c r="I115" s="62">
        <f>'дод 3'!J179</f>
        <v>2721000</v>
      </c>
      <c r="J115" s="62">
        <f>'дод 3'!K179</f>
        <v>2721000</v>
      </c>
      <c r="K115" s="62">
        <f>'дод 3'!L179</f>
        <v>0</v>
      </c>
      <c r="L115" s="62">
        <f>'дод 3'!M179</f>
        <v>0</v>
      </c>
      <c r="M115" s="62">
        <f>'дод 3'!N179</f>
        <v>0</v>
      </c>
      <c r="N115" s="62">
        <f>'дод 3'!O179</f>
        <v>2721000</v>
      </c>
      <c r="O115" s="62">
        <f>'дод 3'!P179</f>
        <v>41911000</v>
      </c>
    </row>
    <row r="116" spans="1:15" s="81" customFormat="1" ht="36.75" customHeight="1" x14ac:dyDescent="0.25">
      <c r="A116" s="49" t="s">
        <v>282</v>
      </c>
      <c r="B116" s="49" t="s">
        <v>76</v>
      </c>
      <c r="C116" s="3" t="s">
        <v>283</v>
      </c>
      <c r="D116" s="62">
        <f>'дод 3'!E180</f>
        <v>193887</v>
      </c>
      <c r="E116" s="62">
        <f>'дод 3'!F180</f>
        <v>193887</v>
      </c>
      <c r="F116" s="62">
        <f>'дод 3'!G180</f>
        <v>0</v>
      </c>
      <c r="G116" s="62">
        <f>'дод 3'!H180</f>
        <v>0</v>
      </c>
      <c r="H116" s="62">
        <f>'дод 3'!I180</f>
        <v>0</v>
      </c>
      <c r="I116" s="62">
        <f>'дод 3'!J180</f>
        <v>13408448.83</v>
      </c>
      <c r="J116" s="62">
        <f>'дод 3'!K180</f>
        <v>13358448.83</v>
      </c>
      <c r="K116" s="62">
        <f>'дод 3'!L180</f>
        <v>0</v>
      </c>
      <c r="L116" s="62">
        <f>'дод 3'!M180</f>
        <v>0</v>
      </c>
      <c r="M116" s="62">
        <f>'дод 3'!N180</f>
        <v>0</v>
      </c>
      <c r="N116" s="62">
        <f>'дод 3'!O180</f>
        <v>13408448.83</v>
      </c>
      <c r="O116" s="62">
        <f>'дод 3'!P180</f>
        <v>13602335.83</v>
      </c>
    </row>
    <row r="117" spans="1:15" s="81" customFormat="1" ht="33" customHeight="1" x14ac:dyDescent="0.25">
      <c r="A117" s="46" t="s">
        <v>285</v>
      </c>
      <c r="B117" s="46" t="s">
        <v>76</v>
      </c>
      <c r="C117" s="3" t="s">
        <v>379</v>
      </c>
      <c r="D117" s="62">
        <f>'дод 3'!E181</f>
        <v>100000</v>
      </c>
      <c r="E117" s="62">
        <f>'дод 3'!F181</f>
        <v>100000</v>
      </c>
      <c r="F117" s="62">
        <f>'дод 3'!G181</f>
        <v>0</v>
      </c>
      <c r="G117" s="62">
        <f>'дод 3'!H181</f>
        <v>0</v>
      </c>
      <c r="H117" s="62">
        <f>'дод 3'!I181</f>
        <v>0</v>
      </c>
      <c r="I117" s="62">
        <f>'дод 3'!J181</f>
        <v>0</v>
      </c>
      <c r="J117" s="62">
        <f>'дод 3'!K181</f>
        <v>0</v>
      </c>
      <c r="K117" s="62">
        <f>'дод 3'!L181</f>
        <v>0</v>
      </c>
      <c r="L117" s="62">
        <f>'дод 3'!M181</f>
        <v>0</v>
      </c>
      <c r="M117" s="62">
        <f>'дод 3'!N181</f>
        <v>0</v>
      </c>
      <c r="N117" s="62">
        <f>'дод 3'!O181</f>
        <v>0</v>
      </c>
      <c r="O117" s="62">
        <f>'дод 3'!P181</f>
        <v>100000</v>
      </c>
    </row>
    <row r="118" spans="1:15" s="81" customFormat="1" ht="52.5" customHeight="1" x14ac:dyDescent="0.25">
      <c r="A118" s="46" t="s">
        <v>75</v>
      </c>
      <c r="B118" s="46" t="s">
        <v>76</v>
      </c>
      <c r="C118" s="3" t="s">
        <v>143</v>
      </c>
      <c r="D118" s="62">
        <f>'дод 3'!E182</f>
        <v>2605232</v>
      </c>
      <c r="E118" s="62">
        <f>'дод 3'!F182</f>
        <v>0</v>
      </c>
      <c r="F118" s="62">
        <f>'дод 3'!G182</f>
        <v>0</v>
      </c>
      <c r="G118" s="62">
        <f>'дод 3'!H182</f>
        <v>0</v>
      </c>
      <c r="H118" s="62">
        <f>'дод 3'!I182</f>
        <v>2605232</v>
      </c>
      <c r="I118" s="62">
        <f>'дод 3'!J182</f>
        <v>2000000</v>
      </c>
      <c r="J118" s="62">
        <f>'дод 3'!K182</f>
        <v>2000000</v>
      </c>
      <c r="K118" s="62">
        <f>'дод 3'!L182</f>
        <v>0</v>
      </c>
      <c r="L118" s="62">
        <f>'дод 3'!M182</f>
        <v>0</v>
      </c>
      <c r="M118" s="62">
        <f>'дод 3'!N182</f>
        <v>0</v>
      </c>
      <c r="N118" s="62">
        <f>'дод 3'!O182</f>
        <v>2000000</v>
      </c>
      <c r="O118" s="62">
        <f>'дод 3'!P182</f>
        <v>4605232</v>
      </c>
    </row>
    <row r="119" spans="1:15" ht="30" customHeight="1" x14ac:dyDescent="0.25">
      <c r="A119" s="46" t="s">
        <v>141</v>
      </c>
      <c r="B119" s="46" t="s">
        <v>76</v>
      </c>
      <c r="C119" s="3" t="s">
        <v>142</v>
      </c>
      <c r="D119" s="62">
        <f>'дод 3'!E183+'дод 3'!E208</f>
        <v>196211729.56999999</v>
      </c>
      <c r="E119" s="62">
        <f>'дод 3'!F183+'дод 3'!F208</f>
        <v>196211729.56999999</v>
      </c>
      <c r="F119" s="62">
        <f>'дод 3'!G183+'дод 3'!G208</f>
        <v>0</v>
      </c>
      <c r="G119" s="62">
        <f>'дод 3'!H183+'дод 3'!H208</f>
        <v>27581706</v>
      </c>
      <c r="H119" s="62">
        <f>'дод 3'!I183+'дод 3'!I208</f>
        <v>0</v>
      </c>
      <c r="I119" s="62">
        <f>'дод 3'!J183+'дод 3'!J208</f>
        <v>106087672.15000001</v>
      </c>
      <c r="J119" s="62">
        <f>'дод 3'!K183+'дод 3'!K208</f>
        <v>106087672.15000001</v>
      </c>
      <c r="K119" s="62">
        <f>'дод 3'!L183+'дод 3'!L208</f>
        <v>0</v>
      </c>
      <c r="L119" s="62">
        <f>'дод 3'!M183+'дод 3'!M208</f>
        <v>0</v>
      </c>
      <c r="M119" s="62">
        <f>'дод 3'!N183+'дод 3'!N208</f>
        <v>0</v>
      </c>
      <c r="N119" s="62">
        <f>'дод 3'!O183+'дод 3'!O208</f>
        <v>106087672.15000001</v>
      </c>
      <c r="O119" s="62">
        <f>'дод 3'!P183+'дод 3'!P208</f>
        <v>302299401.72000003</v>
      </c>
    </row>
    <row r="120" spans="1:15" s="81" customFormat="1" ht="57" customHeight="1" x14ac:dyDescent="0.25">
      <c r="A120" s="46" t="s">
        <v>145</v>
      </c>
      <c r="B120" s="51" t="s">
        <v>74</v>
      </c>
      <c r="C120" s="3" t="s">
        <v>146</v>
      </c>
      <c r="D120" s="62">
        <f>'дод 3'!E209</f>
        <v>84906</v>
      </c>
      <c r="E120" s="62">
        <f>'дод 3'!F209</f>
        <v>0</v>
      </c>
      <c r="F120" s="62">
        <f>'дод 3'!G209</f>
        <v>0</v>
      </c>
      <c r="G120" s="62">
        <f>'дод 3'!H209</f>
        <v>0</v>
      </c>
      <c r="H120" s="62">
        <f>'дод 3'!I209</f>
        <v>84906</v>
      </c>
      <c r="I120" s="62">
        <f>'дод 3'!J209</f>
        <v>77703.06</v>
      </c>
      <c r="J120" s="62">
        <f>'дод 3'!K209</f>
        <v>0</v>
      </c>
      <c r="K120" s="62">
        <f>'дод 3'!L209</f>
        <v>0</v>
      </c>
      <c r="L120" s="62">
        <f>'дод 3'!M209</f>
        <v>0</v>
      </c>
      <c r="M120" s="62">
        <f>'дод 3'!N209</f>
        <v>0</v>
      </c>
      <c r="N120" s="62">
        <f>'дод 3'!O209</f>
        <v>77703.06</v>
      </c>
      <c r="O120" s="62">
        <f>'дод 3'!P209</f>
        <v>162609.06</v>
      </c>
    </row>
    <row r="121" spans="1:15" ht="39.75" customHeight="1" x14ac:dyDescent="0.25">
      <c r="A121" s="46" t="s">
        <v>152</v>
      </c>
      <c r="B121" s="51" t="s">
        <v>342</v>
      </c>
      <c r="C121" s="3" t="s">
        <v>153</v>
      </c>
      <c r="D121" s="62">
        <f>'дод 3'!E184+'дод 3'!E223</f>
        <v>9101708.3900000006</v>
      </c>
      <c r="E121" s="62">
        <f>'дод 3'!F184+'дод 3'!F223</f>
        <v>9097408.3900000006</v>
      </c>
      <c r="F121" s="62">
        <f>'дод 3'!G184+'дод 3'!G223</f>
        <v>0</v>
      </c>
      <c r="G121" s="62">
        <f>'дод 3'!H184+'дод 3'!H223</f>
        <v>42400</v>
      </c>
      <c r="H121" s="62">
        <f>'дод 3'!I184+'дод 3'!I223</f>
        <v>4300</v>
      </c>
      <c r="I121" s="62">
        <f>'дод 3'!J184+'дод 3'!J223</f>
        <v>800708.78999999911</v>
      </c>
      <c r="J121" s="62">
        <f>'дод 3'!K184+'дод 3'!K223</f>
        <v>800708.78999999911</v>
      </c>
      <c r="K121" s="62">
        <f>'дод 3'!L184+'дод 3'!L223</f>
        <v>0</v>
      </c>
      <c r="L121" s="62">
        <f>'дод 3'!M184+'дод 3'!M223</f>
        <v>0</v>
      </c>
      <c r="M121" s="62">
        <f>'дод 3'!N184+'дод 3'!N223</f>
        <v>0</v>
      </c>
      <c r="N121" s="62">
        <f>'дод 3'!O184+'дод 3'!O223</f>
        <v>800708.78999999911</v>
      </c>
      <c r="O121" s="62">
        <f>'дод 3'!P184+'дод 3'!P223</f>
        <v>9902417.1799999997</v>
      </c>
    </row>
    <row r="122" spans="1:15" s="79" customFormat="1" ht="29.25" customHeight="1" x14ac:dyDescent="0.25">
      <c r="A122" s="47" t="s">
        <v>147</v>
      </c>
      <c r="B122" s="50"/>
      <c r="C122" s="2" t="s">
        <v>485</v>
      </c>
      <c r="D122" s="61">
        <f t="shared" ref="D122:O122" si="18">D126+D128+D141+D148+D150+D161</f>
        <v>48962743.799999997</v>
      </c>
      <c r="E122" s="61">
        <f t="shared" si="18"/>
        <v>18645743.800000001</v>
      </c>
      <c r="F122" s="61">
        <f t="shared" si="18"/>
        <v>0</v>
      </c>
      <c r="G122" s="61">
        <f t="shared" si="18"/>
        <v>0</v>
      </c>
      <c r="H122" s="61">
        <f t="shared" si="18"/>
        <v>30317000</v>
      </c>
      <c r="I122" s="61">
        <f t="shared" si="18"/>
        <v>387852131.45999998</v>
      </c>
      <c r="J122" s="61">
        <f t="shared" si="18"/>
        <v>293342999.32999998</v>
      </c>
      <c r="K122" s="61">
        <f t="shared" si="18"/>
        <v>81941363.010000005</v>
      </c>
      <c r="L122" s="61">
        <f t="shared" si="18"/>
        <v>0</v>
      </c>
      <c r="M122" s="61">
        <f t="shared" si="18"/>
        <v>0</v>
      </c>
      <c r="N122" s="61">
        <f t="shared" si="18"/>
        <v>305910768.44999999</v>
      </c>
      <c r="O122" s="61">
        <f t="shared" si="18"/>
        <v>436814875.25999999</v>
      </c>
    </row>
    <row r="123" spans="1:15" s="80" customFormat="1" ht="47.25" x14ac:dyDescent="0.25">
      <c r="A123" s="149"/>
      <c r="B123" s="150"/>
      <c r="C123" s="169" t="s">
        <v>452</v>
      </c>
      <c r="D123" s="170">
        <f>D129</f>
        <v>0</v>
      </c>
      <c r="E123" s="170">
        <f t="shared" ref="E123:O123" si="19">E129</f>
        <v>0</v>
      </c>
      <c r="F123" s="170">
        <f t="shared" si="19"/>
        <v>0</v>
      </c>
      <c r="G123" s="170">
        <f t="shared" si="19"/>
        <v>0</v>
      </c>
      <c r="H123" s="170">
        <f t="shared" si="19"/>
        <v>0</v>
      </c>
      <c r="I123" s="170">
        <f t="shared" si="19"/>
        <v>1187498.93</v>
      </c>
      <c r="J123" s="170">
        <f t="shared" si="19"/>
        <v>1187498.93</v>
      </c>
      <c r="K123" s="170">
        <f t="shared" si="19"/>
        <v>0</v>
      </c>
      <c r="L123" s="170">
        <f t="shared" si="19"/>
        <v>0</v>
      </c>
      <c r="M123" s="170">
        <f t="shared" si="19"/>
        <v>0</v>
      </c>
      <c r="N123" s="170">
        <f t="shared" si="19"/>
        <v>1187498.93</v>
      </c>
      <c r="O123" s="170">
        <f t="shared" si="19"/>
        <v>1187498.93</v>
      </c>
    </row>
    <row r="124" spans="1:15" s="80" customFormat="1" ht="94.5" x14ac:dyDescent="0.25">
      <c r="A124" s="149"/>
      <c r="B124" s="150"/>
      <c r="C124" s="169" t="s">
        <v>461</v>
      </c>
      <c r="D124" s="170">
        <f>D142</f>
        <v>0</v>
      </c>
      <c r="E124" s="170">
        <f t="shared" ref="E124:N124" si="20">E142</f>
        <v>0</v>
      </c>
      <c r="F124" s="170">
        <f t="shared" si="20"/>
        <v>0</v>
      </c>
      <c r="G124" s="170">
        <f t="shared" si="20"/>
        <v>0</v>
      </c>
      <c r="H124" s="170">
        <f t="shared" si="20"/>
        <v>0</v>
      </c>
      <c r="I124" s="170">
        <f t="shared" si="20"/>
        <v>80000000</v>
      </c>
      <c r="J124" s="170">
        <f t="shared" si="20"/>
        <v>0</v>
      </c>
      <c r="K124" s="170">
        <f t="shared" si="20"/>
        <v>80000000</v>
      </c>
      <c r="L124" s="170">
        <f t="shared" si="20"/>
        <v>0</v>
      </c>
      <c r="M124" s="170">
        <f t="shared" si="20"/>
        <v>0</v>
      </c>
      <c r="N124" s="170">
        <f t="shared" si="20"/>
        <v>0</v>
      </c>
      <c r="O124" s="170">
        <f t="shared" ref="O124" si="21">O142</f>
        <v>80000000</v>
      </c>
    </row>
    <row r="125" spans="1:15" s="80" customFormat="1" ht="23.25" customHeight="1" x14ac:dyDescent="0.25">
      <c r="A125" s="149"/>
      <c r="B125" s="149"/>
      <c r="C125" s="177" t="s">
        <v>509</v>
      </c>
      <c r="D125" s="170">
        <f>D151</f>
        <v>0</v>
      </c>
      <c r="E125" s="170">
        <f t="shared" ref="E125:O125" si="22">E151</f>
        <v>0</v>
      </c>
      <c r="F125" s="170">
        <f t="shared" si="22"/>
        <v>0</v>
      </c>
      <c r="G125" s="170">
        <f t="shared" si="22"/>
        <v>0</v>
      </c>
      <c r="H125" s="170">
        <f t="shared" si="22"/>
        <v>0</v>
      </c>
      <c r="I125" s="170">
        <f t="shared" si="22"/>
        <v>58776907</v>
      </c>
      <c r="J125" s="170">
        <f t="shared" si="22"/>
        <v>58776907</v>
      </c>
      <c r="K125" s="170">
        <f t="shared" si="22"/>
        <v>0</v>
      </c>
      <c r="L125" s="170">
        <f t="shared" si="22"/>
        <v>0</v>
      </c>
      <c r="M125" s="170">
        <f t="shared" si="22"/>
        <v>0</v>
      </c>
      <c r="N125" s="170">
        <f t="shared" si="22"/>
        <v>58776907</v>
      </c>
      <c r="O125" s="170">
        <f t="shared" si="22"/>
        <v>58776907</v>
      </c>
    </row>
    <row r="126" spans="1:15" s="79" customFormat="1" x14ac:dyDescent="0.25">
      <c r="A126" s="47" t="s">
        <v>154</v>
      </c>
      <c r="B126" s="50"/>
      <c r="C126" s="2" t="s">
        <v>155</v>
      </c>
      <c r="D126" s="61">
        <f t="shared" ref="D126:O126" si="23">D127</f>
        <v>655000</v>
      </c>
      <c r="E126" s="61">
        <f t="shared" si="23"/>
        <v>655000</v>
      </c>
      <c r="F126" s="61">
        <f t="shared" si="23"/>
        <v>0</v>
      </c>
      <c r="G126" s="61">
        <f t="shared" si="23"/>
        <v>0</v>
      </c>
      <c r="H126" s="61">
        <f t="shared" si="23"/>
        <v>0</v>
      </c>
      <c r="I126" s="61">
        <f t="shared" si="23"/>
        <v>0</v>
      </c>
      <c r="J126" s="61">
        <f t="shared" si="23"/>
        <v>0</v>
      </c>
      <c r="K126" s="61">
        <f t="shared" si="23"/>
        <v>0</v>
      </c>
      <c r="L126" s="61">
        <f t="shared" si="23"/>
        <v>0</v>
      </c>
      <c r="M126" s="61">
        <f t="shared" si="23"/>
        <v>0</v>
      </c>
      <c r="N126" s="61">
        <f t="shared" si="23"/>
        <v>0</v>
      </c>
      <c r="O126" s="61">
        <f t="shared" si="23"/>
        <v>655000</v>
      </c>
    </row>
    <row r="127" spans="1:15" ht="24" customHeight="1" x14ac:dyDescent="0.25">
      <c r="A127" s="46" t="s">
        <v>148</v>
      </c>
      <c r="B127" s="46" t="s">
        <v>90</v>
      </c>
      <c r="C127" s="3" t="s">
        <v>380</v>
      </c>
      <c r="D127" s="62">
        <f>'дод 3'!E231</f>
        <v>655000</v>
      </c>
      <c r="E127" s="62">
        <f>'дод 3'!F231</f>
        <v>655000</v>
      </c>
      <c r="F127" s="62">
        <f>'дод 3'!G231</f>
        <v>0</v>
      </c>
      <c r="G127" s="62">
        <f>'дод 3'!H231</f>
        <v>0</v>
      </c>
      <c r="H127" s="62">
        <f>'дод 3'!I231</f>
        <v>0</v>
      </c>
      <c r="I127" s="62">
        <f>'дод 3'!J231</f>
        <v>0</v>
      </c>
      <c r="J127" s="62">
        <f>'дод 3'!K231</f>
        <v>0</v>
      </c>
      <c r="K127" s="62">
        <f>'дод 3'!L231</f>
        <v>0</v>
      </c>
      <c r="L127" s="62">
        <f>'дод 3'!M231</f>
        <v>0</v>
      </c>
      <c r="M127" s="62">
        <f>'дод 3'!N231</f>
        <v>0</v>
      </c>
      <c r="N127" s="62">
        <f>'дод 3'!O231</f>
        <v>0</v>
      </c>
      <c r="O127" s="62">
        <f>'дод 3'!P231</f>
        <v>655000</v>
      </c>
    </row>
    <row r="128" spans="1:15" s="79" customFormat="1" ht="33.75" customHeight="1" x14ac:dyDescent="0.25">
      <c r="A128" s="47" t="s">
        <v>104</v>
      </c>
      <c r="B128" s="47"/>
      <c r="C128" s="13" t="s">
        <v>486</v>
      </c>
      <c r="D128" s="61">
        <f>D130+D131+D132+D133+D135+D136+D138+D134+D137+D139</f>
        <v>0</v>
      </c>
      <c r="E128" s="61">
        <f t="shared" ref="E128:O128" si="24">E130+E131+E132+E133+E135+E136+E138+E134+E137+E139</f>
        <v>0</v>
      </c>
      <c r="F128" s="61">
        <f t="shared" si="24"/>
        <v>0</v>
      </c>
      <c r="G128" s="61">
        <f t="shared" si="24"/>
        <v>0</v>
      </c>
      <c r="H128" s="61">
        <f t="shared" si="24"/>
        <v>0</v>
      </c>
      <c r="I128" s="61">
        <f t="shared" si="24"/>
        <v>187191448.12999997</v>
      </c>
      <c r="J128" s="61">
        <f t="shared" si="24"/>
        <v>187191448.12999997</v>
      </c>
      <c r="K128" s="61">
        <f t="shared" si="24"/>
        <v>0</v>
      </c>
      <c r="L128" s="61">
        <f t="shared" si="24"/>
        <v>0</v>
      </c>
      <c r="M128" s="61">
        <f t="shared" si="24"/>
        <v>0</v>
      </c>
      <c r="N128" s="61">
        <f t="shared" si="24"/>
        <v>187191448.12999997</v>
      </c>
      <c r="O128" s="61">
        <f t="shared" si="24"/>
        <v>187191448.12999997</v>
      </c>
    </row>
    <row r="129" spans="1:15" s="80" customFormat="1" ht="47.25" x14ac:dyDescent="0.25">
      <c r="A129" s="149"/>
      <c r="B129" s="149"/>
      <c r="C129" s="169" t="s">
        <v>452</v>
      </c>
      <c r="D129" s="170">
        <f>D140</f>
        <v>0</v>
      </c>
      <c r="E129" s="170">
        <f t="shared" ref="E129:O129" si="25">E140</f>
        <v>0</v>
      </c>
      <c r="F129" s="170">
        <f t="shared" si="25"/>
        <v>0</v>
      </c>
      <c r="G129" s="170">
        <f t="shared" si="25"/>
        <v>0</v>
      </c>
      <c r="H129" s="170">
        <f t="shared" si="25"/>
        <v>0</v>
      </c>
      <c r="I129" s="170">
        <f t="shared" si="25"/>
        <v>1187498.93</v>
      </c>
      <c r="J129" s="170">
        <f t="shared" si="25"/>
        <v>1187498.93</v>
      </c>
      <c r="K129" s="170">
        <f t="shared" si="25"/>
        <v>0</v>
      </c>
      <c r="L129" s="170">
        <f t="shared" si="25"/>
        <v>0</v>
      </c>
      <c r="M129" s="170">
        <f t="shared" si="25"/>
        <v>0</v>
      </c>
      <c r="N129" s="170">
        <f t="shared" si="25"/>
        <v>1187498.93</v>
      </c>
      <c r="O129" s="170">
        <f t="shared" si="25"/>
        <v>1187498.93</v>
      </c>
    </row>
    <row r="130" spans="1:15" ht="28.5" customHeight="1" x14ac:dyDescent="0.25">
      <c r="A130" s="49" t="s">
        <v>294</v>
      </c>
      <c r="B130" s="49" t="s">
        <v>119</v>
      </c>
      <c r="C130" s="3" t="s">
        <v>303</v>
      </c>
      <c r="D130" s="62">
        <f>'дод 3'!E210+'дод 3'!E185</f>
        <v>0</v>
      </c>
      <c r="E130" s="62">
        <f>'дод 3'!F210+'дод 3'!F185</f>
        <v>0</v>
      </c>
      <c r="F130" s="62">
        <f>'дод 3'!G210+'дод 3'!G185</f>
        <v>0</v>
      </c>
      <c r="G130" s="62">
        <f>'дод 3'!H210+'дод 3'!H185</f>
        <v>0</v>
      </c>
      <c r="H130" s="62">
        <f>'дод 3'!I210+'дод 3'!I185</f>
        <v>0</v>
      </c>
      <c r="I130" s="62">
        <f>'дод 3'!J210+'дод 3'!J185</f>
        <v>14892297.759999998</v>
      </c>
      <c r="J130" s="62">
        <f>'дод 3'!K210+'дод 3'!K185</f>
        <v>14892297.759999998</v>
      </c>
      <c r="K130" s="62">
        <f>'дод 3'!L210+'дод 3'!L185</f>
        <v>0</v>
      </c>
      <c r="L130" s="62">
        <f>'дод 3'!M210+'дод 3'!M185</f>
        <v>0</v>
      </c>
      <c r="M130" s="62">
        <f>'дод 3'!N210+'дод 3'!N185</f>
        <v>0</v>
      </c>
      <c r="N130" s="62">
        <f>'дод 3'!O210+'дод 3'!O185</f>
        <v>14892297.759999998</v>
      </c>
      <c r="O130" s="62">
        <f>'дод 3'!P210+'дод 3'!P185</f>
        <v>14892297.759999998</v>
      </c>
    </row>
    <row r="131" spans="1:15" s="81" customFormat="1" ht="28.5" customHeight="1" x14ac:dyDescent="0.25">
      <c r="A131" s="49" t="s">
        <v>299</v>
      </c>
      <c r="B131" s="49" t="s">
        <v>119</v>
      </c>
      <c r="C131" s="3" t="s">
        <v>304</v>
      </c>
      <c r="D131" s="62">
        <f>'дод 3'!E211+'дод 3'!E90</f>
        <v>0</v>
      </c>
      <c r="E131" s="62">
        <f>'дод 3'!F211+'дод 3'!F90</f>
        <v>0</v>
      </c>
      <c r="F131" s="62">
        <f>'дод 3'!G211+'дод 3'!G90</f>
        <v>0</v>
      </c>
      <c r="G131" s="62">
        <f>'дод 3'!H211+'дод 3'!H90</f>
        <v>0</v>
      </c>
      <c r="H131" s="62">
        <f>'дод 3'!I211+'дод 3'!I90</f>
        <v>0</v>
      </c>
      <c r="I131" s="62">
        <f>'дод 3'!J211+'дод 3'!J90</f>
        <v>28988532</v>
      </c>
      <c r="J131" s="62">
        <f>'дод 3'!K211+'дод 3'!K90</f>
        <v>28988532</v>
      </c>
      <c r="K131" s="62">
        <f>'дод 3'!L211+'дод 3'!L90</f>
        <v>0</v>
      </c>
      <c r="L131" s="62">
        <f>'дод 3'!M211+'дод 3'!M90</f>
        <v>0</v>
      </c>
      <c r="M131" s="62">
        <f>'дод 3'!N211+'дод 3'!N90</f>
        <v>0</v>
      </c>
      <c r="N131" s="62">
        <f>'дод 3'!O211+'дод 3'!O90</f>
        <v>28988532</v>
      </c>
      <c r="O131" s="62">
        <f>'дод 3'!P211+'дод 3'!P90</f>
        <v>28988532</v>
      </c>
    </row>
    <row r="132" spans="1:15" s="81" customFormat="1" ht="28.5" customHeight="1" x14ac:dyDescent="0.25">
      <c r="A132" s="49" t="s">
        <v>301</v>
      </c>
      <c r="B132" s="49" t="s">
        <v>119</v>
      </c>
      <c r="C132" s="3" t="s">
        <v>305</v>
      </c>
      <c r="D132" s="62">
        <f>'дод 3'!E212+'дод 3'!E122</f>
        <v>0</v>
      </c>
      <c r="E132" s="62">
        <f>'дод 3'!F212+'дод 3'!F122</f>
        <v>0</v>
      </c>
      <c r="F132" s="62">
        <f>'дод 3'!G212+'дод 3'!G122</f>
        <v>0</v>
      </c>
      <c r="G132" s="62">
        <f>'дод 3'!H212+'дод 3'!H122</f>
        <v>0</v>
      </c>
      <c r="H132" s="62">
        <f>'дод 3'!I212+'дод 3'!I122</f>
        <v>0</v>
      </c>
      <c r="I132" s="62">
        <f>'дод 3'!J212+'дод 3'!J122</f>
        <v>39684419</v>
      </c>
      <c r="J132" s="62">
        <f>'дод 3'!K212+'дод 3'!K122</f>
        <v>39684419</v>
      </c>
      <c r="K132" s="62">
        <f>'дод 3'!L212+'дод 3'!L122</f>
        <v>0</v>
      </c>
      <c r="L132" s="62">
        <f>'дод 3'!M212+'дод 3'!M122</f>
        <v>0</v>
      </c>
      <c r="M132" s="62">
        <f>'дод 3'!N212+'дод 3'!N122</f>
        <v>0</v>
      </c>
      <c r="N132" s="62">
        <f>'дод 3'!O212+'дод 3'!O122</f>
        <v>39684419</v>
      </c>
      <c r="O132" s="62">
        <f>'дод 3'!P212+'дод 3'!P122</f>
        <v>39684419</v>
      </c>
    </row>
    <row r="133" spans="1:15" s="81" customFormat="1" ht="28.5" customHeight="1" x14ac:dyDescent="0.25">
      <c r="A133" s="49">
        <v>7323</v>
      </c>
      <c r="B133" s="151" t="s">
        <v>119</v>
      </c>
      <c r="C133" s="3" t="s">
        <v>504</v>
      </c>
      <c r="D133" s="62">
        <f>'дод 3'!E155</f>
        <v>0</v>
      </c>
      <c r="E133" s="62">
        <f>'дод 3'!F155</f>
        <v>0</v>
      </c>
      <c r="F133" s="62">
        <f>'дод 3'!G155</f>
        <v>0</v>
      </c>
      <c r="G133" s="62">
        <f>'дод 3'!H155</f>
        <v>0</v>
      </c>
      <c r="H133" s="62">
        <f>'дод 3'!I155</f>
        <v>0</v>
      </c>
      <c r="I133" s="62">
        <f>'дод 3'!J155</f>
        <v>200000</v>
      </c>
      <c r="J133" s="62">
        <f>'дод 3'!K155</f>
        <v>200000</v>
      </c>
      <c r="K133" s="62">
        <f>'дод 3'!L155</f>
        <v>0</v>
      </c>
      <c r="L133" s="62">
        <f>'дод 3'!M155</f>
        <v>0</v>
      </c>
      <c r="M133" s="62">
        <f>'дод 3'!N155</f>
        <v>0</v>
      </c>
      <c r="N133" s="62">
        <f>'дод 3'!O155</f>
        <v>200000</v>
      </c>
      <c r="O133" s="62">
        <f>'дод 3'!P155</f>
        <v>200000</v>
      </c>
    </row>
    <row r="134" spans="1:15" s="81" customFormat="1" ht="31.5" x14ac:dyDescent="0.25">
      <c r="A134" s="49">
        <v>7325</v>
      </c>
      <c r="B134" s="151" t="s">
        <v>119</v>
      </c>
      <c r="C134" s="3" t="s">
        <v>396</v>
      </c>
      <c r="D134" s="62">
        <f>'дод 3'!E213+'дод 3'!E39</f>
        <v>0</v>
      </c>
      <c r="E134" s="62">
        <f>'дод 3'!F213+'дод 3'!F39</f>
        <v>0</v>
      </c>
      <c r="F134" s="62">
        <f>'дод 3'!G213+'дод 3'!G39</f>
        <v>0</v>
      </c>
      <c r="G134" s="62">
        <f>'дод 3'!H213+'дод 3'!H39</f>
        <v>0</v>
      </c>
      <c r="H134" s="62">
        <f>'дод 3'!I213+'дод 3'!I39</f>
        <v>0</v>
      </c>
      <c r="I134" s="62">
        <f>'дод 3'!J213+'дод 3'!J39</f>
        <v>11900000</v>
      </c>
      <c r="J134" s="62">
        <f>'дод 3'!K213+'дод 3'!K39</f>
        <v>11900000</v>
      </c>
      <c r="K134" s="62">
        <f>'дод 3'!L213+'дод 3'!L39</f>
        <v>0</v>
      </c>
      <c r="L134" s="62">
        <f>'дод 3'!M213+'дод 3'!M39</f>
        <v>0</v>
      </c>
      <c r="M134" s="62">
        <f>'дод 3'!N213+'дод 3'!N39</f>
        <v>0</v>
      </c>
      <c r="N134" s="62">
        <f>'дод 3'!O213+'дод 3'!O39</f>
        <v>11900000</v>
      </c>
      <c r="O134" s="62">
        <f>'дод 3'!P213+'дод 3'!P39</f>
        <v>11900000</v>
      </c>
    </row>
    <row r="135" spans="1:15" ht="32.25" customHeight="1" x14ac:dyDescent="0.25">
      <c r="A135" s="49" t="s">
        <v>296</v>
      </c>
      <c r="B135" s="49" t="s">
        <v>119</v>
      </c>
      <c r="C135" s="3" t="s">
        <v>364</v>
      </c>
      <c r="D135" s="62">
        <f>'дод 3'!E214+'дод 3'!E186+'дод 3'!E40</f>
        <v>0</v>
      </c>
      <c r="E135" s="62">
        <f>'дод 3'!F214+'дод 3'!F186+'дод 3'!F40</f>
        <v>0</v>
      </c>
      <c r="F135" s="62">
        <f>'дод 3'!G214+'дод 3'!G186+'дод 3'!G40</f>
        <v>0</v>
      </c>
      <c r="G135" s="62">
        <f>'дод 3'!H214+'дод 3'!H186+'дод 3'!H40</f>
        <v>0</v>
      </c>
      <c r="H135" s="62">
        <f>'дод 3'!I214+'дод 3'!I186+'дод 3'!I40</f>
        <v>0</v>
      </c>
      <c r="I135" s="62">
        <f>'дод 3'!J214+'дод 3'!J186+'дод 3'!J40</f>
        <v>77755718.769999996</v>
      </c>
      <c r="J135" s="62">
        <f>'дод 3'!K214+'дод 3'!K186+'дод 3'!K40</f>
        <v>77755718.769999996</v>
      </c>
      <c r="K135" s="62">
        <f>'дод 3'!L214+'дод 3'!L186+'дод 3'!L40</f>
        <v>0</v>
      </c>
      <c r="L135" s="62">
        <f>'дод 3'!M214+'дод 3'!M186+'дод 3'!M40</f>
        <v>0</v>
      </c>
      <c r="M135" s="62">
        <f>'дод 3'!N214+'дод 3'!N186+'дод 3'!N40</f>
        <v>0</v>
      </c>
      <c r="N135" s="62">
        <f>'дод 3'!O214+'дод 3'!O186+'дод 3'!O40</f>
        <v>77755718.769999996</v>
      </c>
      <c r="O135" s="62">
        <f>'дод 3'!P214+'дод 3'!P186+'дод 3'!P40</f>
        <v>77755718.769999996</v>
      </c>
    </row>
    <row r="136" spans="1:15" ht="35.25" customHeight="1" x14ac:dyDescent="0.25">
      <c r="A136" s="46" t="s">
        <v>149</v>
      </c>
      <c r="B136" s="46" t="s">
        <v>119</v>
      </c>
      <c r="C136" s="3" t="s">
        <v>1</v>
      </c>
      <c r="D136" s="62">
        <f>'дод 3'!E187</f>
        <v>0</v>
      </c>
      <c r="E136" s="62">
        <f>'дод 3'!F187</f>
        <v>0</v>
      </c>
      <c r="F136" s="62">
        <f>'дод 3'!G187</f>
        <v>0</v>
      </c>
      <c r="G136" s="62">
        <f>'дод 3'!H187</f>
        <v>0</v>
      </c>
      <c r="H136" s="62">
        <f>'дод 3'!I187</f>
        <v>0</v>
      </c>
      <c r="I136" s="62">
        <f>'дод 3'!J187</f>
        <v>3000000</v>
      </c>
      <c r="J136" s="62">
        <f>'дод 3'!K187</f>
        <v>3000000</v>
      </c>
      <c r="K136" s="62">
        <f>'дод 3'!L187</f>
        <v>0</v>
      </c>
      <c r="L136" s="62">
        <f>'дод 3'!M187</f>
        <v>0</v>
      </c>
      <c r="M136" s="62">
        <f>'дод 3'!N187</f>
        <v>0</v>
      </c>
      <c r="N136" s="62">
        <f>'дод 3'!O187</f>
        <v>3000000</v>
      </c>
      <c r="O136" s="62">
        <f>'дод 3'!P187</f>
        <v>3000000</v>
      </c>
    </row>
    <row r="137" spans="1:15" ht="51.75" customHeight="1" x14ac:dyDescent="0.25">
      <c r="A137" s="46">
        <v>7361</v>
      </c>
      <c r="B137" s="46" t="s">
        <v>89</v>
      </c>
      <c r="C137" s="3" t="s">
        <v>418</v>
      </c>
      <c r="D137" s="62">
        <f>'дод 3'!E188+'дод 3'!E215+'дод 3'!E123</f>
        <v>0</v>
      </c>
      <c r="E137" s="62">
        <f>'дод 3'!F188+'дод 3'!F215+'дод 3'!F123</f>
        <v>0</v>
      </c>
      <c r="F137" s="62">
        <f>'дод 3'!G188+'дод 3'!G215+'дод 3'!G123</f>
        <v>0</v>
      </c>
      <c r="G137" s="62">
        <f>'дод 3'!H188+'дод 3'!H215+'дод 3'!H123</f>
        <v>0</v>
      </c>
      <c r="H137" s="62">
        <f>'дод 3'!I188+'дод 3'!I215+'дод 3'!I123</f>
        <v>0</v>
      </c>
      <c r="I137" s="62">
        <f>'дод 3'!J188+'дод 3'!J215+'дод 3'!J123</f>
        <v>9386113</v>
      </c>
      <c r="J137" s="62">
        <f>'дод 3'!K188+'дод 3'!K215+'дод 3'!K123</f>
        <v>9386113</v>
      </c>
      <c r="K137" s="62">
        <f>'дод 3'!L188+'дод 3'!L215+'дод 3'!L123</f>
        <v>0</v>
      </c>
      <c r="L137" s="62">
        <f>'дод 3'!M188+'дод 3'!M215+'дод 3'!M123</f>
        <v>0</v>
      </c>
      <c r="M137" s="62">
        <f>'дод 3'!N188+'дод 3'!N215+'дод 3'!N123</f>
        <v>0</v>
      </c>
      <c r="N137" s="62">
        <f>'дод 3'!O188+'дод 3'!O215+'дод 3'!O123</f>
        <v>9386113</v>
      </c>
      <c r="O137" s="62">
        <f>'дод 3'!P188+'дод 3'!P215+'дод 3'!P123</f>
        <v>9386113</v>
      </c>
    </row>
    <row r="138" spans="1:15" s="81" customFormat="1" ht="46.5" customHeight="1" x14ac:dyDescent="0.25">
      <c r="A138" s="46">
        <v>7362</v>
      </c>
      <c r="B138" s="46" t="s">
        <v>89</v>
      </c>
      <c r="C138" s="3" t="s">
        <v>402</v>
      </c>
      <c r="D138" s="62">
        <f>'дод 3'!E189</f>
        <v>0</v>
      </c>
      <c r="E138" s="62">
        <f>'дод 3'!F189</f>
        <v>0</v>
      </c>
      <c r="F138" s="62">
        <f>'дод 3'!G189</f>
        <v>0</v>
      </c>
      <c r="G138" s="62">
        <f>'дод 3'!H189</f>
        <v>0</v>
      </c>
      <c r="H138" s="62">
        <f>'дод 3'!I189</f>
        <v>0</v>
      </c>
      <c r="I138" s="62">
        <f>'дод 3'!J189</f>
        <v>75600</v>
      </c>
      <c r="J138" s="62">
        <f>'дод 3'!K189</f>
        <v>75600</v>
      </c>
      <c r="K138" s="62">
        <f>'дод 3'!L189</f>
        <v>0</v>
      </c>
      <c r="L138" s="62">
        <f>'дод 3'!M189</f>
        <v>0</v>
      </c>
      <c r="M138" s="62">
        <f>'дод 3'!N189</f>
        <v>0</v>
      </c>
      <c r="N138" s="62">
        <f>'дод 3'!O189</f>
        <v>75600</v>
      </c>
      <c r="O138" s="62">
        <f>'дод 3'!P189</f>
        <v>75600</v>
      </c>
    </row>
    <row r="139" spans="1:15" s="81" customFormat="1" ht="52.5" customHeight="1" x14ac:dyDescent="0.25">
      <c r="A139" s="46">
        <v>7363</v>
      </c>
      <c r="B139" s="101" t="s">
        <v>89</v>
      </c>
      <c r="C139" s="102" t="s">
        <v>463</v>
      </c>
      <c r="D139" s="62">
        <f>'дод 3'!E91+'дод 3'!E190+'дод 3'!E216</f>
        <v>0</v>
      </c>
      <c r="E139" s="62">
        <f>'дод 3'!F91+'дод 3'!F190+'дод 3'!F216</f>
        <v>0</v>
      </c>
      <c r="F139" s="62">
        <f>'дод 3'!G91+'дод 3'!G190+'дод 3'!G216</f>
        <v>0</v>
      </c>
      <c r="G139" s="62">
        <f>'дод 3'!H91+'дод 3'!H190+'дод 3'!H216</f>
        <v>0</v>
      </c>
      <c r="H139" s="62">
        <f>'дод 3'!I91+'дод 3'!I190+'дод 3'!I216</f>
        <v>0</v>
      </c>
      <c r="I139" s="62">
        <f>'дод 3'!J91+'дод 3'!J190+'дод 3'!J216</f>
        <v>1308767.6000000001</v>
      </c>
      <c r="J139" s="62">
        <f>'дод 3'!K91+'дод 3'!K190+'дод 3'!K216</f>
        <v>1308767.6000000001</v>
      </c>
      <c r="K139" s="62">
        <f>'дод 3'!L91+'дод 3'!L190+'дод 3'!L216</f>
        <v>0</v>
      </c>
      <c r="L139" s="62">
        <f>'дод 3'!M91+'дод 3'!M190+'дод 3'!M216</f>
        <v>0</v>
      </c>
      <c r="M139" s="62">
        <f>'дод 3'!N91+'дод 3'!N190+'дод 3'!N216</f>
        <v>0</v>
      </c>
      <c r="N139" s="62">
        <f>'дод 3'!O91+'дод 3'!O190+'дод 3'!O216</f>
        <v>1308767.6000000001</v>
      </c>
      <c r="O139" s="62">
        <f>'дод 3'!P91+'дод 3'!P190+'дод 3'!P216</f>
        <v>1308767.6000000001</v>
      </c>
    </row>
    <row r="140" spans="1:15" s="81" customFormat="1" ht="47.25" x14ac:dyDescent="0.25">
      <c r="A140" s="172"/>
      <c r="B140" s="178"/>
      <c r="C140" s="173" t="s">
        <v>452</v>
      </c>
      <c r="D140" s="174">
        <f>'дод 3'!E92+'дод 3'!E191</f>
        <v>0</v>
      </c>
      <c r="E140" s="174">
        <f>'дод 3'!F92+'дод 3'!F191</f>
        <v>0</v>
      </c>
      <c r="F140" s="174">
        <f>'дод 3'!G92+'дод 3'!G191</f>
        <v>0</v>
      </c>
      <c r="G140" s="174">
        <f>'дод 3'!H92+'дод 3'!H191</f>
        <v>0</v>
      </c>
      <c r="H140" s="174">
        <f>'дод 3'!I92+'дод 3'!I191</f>
        <v>0</v>
      </c>
      <c r="I140" s="174">
        <f>'дод 3'!J92+'дод 3'!J191</f>
        <v>1187498.93</v>
      </c>
      <c r="J140" s="174">
        <f>'дод 3'!K92+'дод 3'!K191</f>
        <v>1187498.93</v>
      </c>
      <c r="K140" s="174">
        <f>'дод 3'!L92+'дод 3'!L191</f>
        <v>0</v>
      </c>
      <c r="L140" s="174">
        <f>'дод 3'!M92+'дод 3'!M191</f>
        <v>0</v>
      </c>
      <c r="M140" s="174">
        <f>'дод 3'!N92+'дод 3'!N191</f>
        <v>0</v>
      </c>
      <c r="N140" s="174">
        <f>'дод 3'!O92+'дод 3'!O191</f>
        <v>1187498.93</v>
      </c>
      <c r="O140" s="174">
        <f>'дод 3'!P92+'дод 3'!P191</f>
        <v>1187498.93</v>
      </c>
    </row>
    <row r="141" spans="1:15" s="79" customFormat="1" ht="39.75" customHeight="1" x14ac:dyDescent="0.25">
      <c r="A141" s="47" t="s">
        <v>92</v>
      </c>
      <c r="B141" s="50"/>
      <c r="C141" s="2" t="s">
        <v>487</v>
      </c>
      <c r="D141" s="61">
        <f>D143+D146+D144+D145</f>
        <v>28000000</v>
      </c>
      <c r="E141" s="61">
        <f t="shared" ref="E141:O141" si="26">E143+E146+E144+E145</f>
        <v>0</v>
      </c>
      <c r="F141" s="61">
        <f t="shared" si="26"/>
        <v>0</v>
      </c>
      <c r="G141" s="61">
        <f t="shared" si="26"/>
        <v>0</v>
      </c>
      <c r="H141" s="61">
        <f t="shared" si="26"/>
        <v>28000000</v>
      </c>
      <c r="I141" s="61">
        <f t="shared" si="26"/>
        <v>80000000</v>
      </c>
      <c r="J141" s="61">
        <f t="shared" si="26"/>
        <v>0</v>
      </c>
      <c r="K141" s="61">
        <f t="shared" si="26"/>
        <v>80000000</v>
      </c>
      <c r="L141" s="61">
        <f t="shared" si="26"/>
        <v>0</v>
      </c>
      <c r="M141" s="61">
        <f t="shared" si="26"/>
        <v>0</v>
      </c>
      <c r="N141" s="61">
        <f t="shared" si="26"/>
        <v>0</v>
      </c>
      <c r="O141" s="61">
        <f t="shared" si="26"/>
        <v>108000000</v>
      </c>
    </row>
    <row r="142" spans="1:15" s="80" customFormat="1" ht="94.5" x14ac:dyDescent="0.25">
      <c r="A142" s="149"/>
      <c r="B142" s="150"/>
      <c r="C142" s="169" t="s">
        <v>461</v>
      </c>
      <c r="D142" s="170">
        <f>D147</f>
        <v>0</v>
      </c>
      <c r="E142" s="170">
        <f t="shared" ref="E142:O142" si="27">E147</f>
        <v>0</v>
      </c>
      <c r="F142" s="170">
        <f t="shared" si="27"/>
        <v>0</v>
      </c>
      <c r="G142" s="170">
        <f t="shared" si="27"/>
        <v>0</v>
      </c>
      <c r="H142" s="170">
        <f t="shared" si="27"/>
        <v>0</v>
      </c>
      <c r="I142" s="170">
        <f t="shared" si="27"/>
        <v>80000000</v>
      </c>
      <c r="J142" s="170">
        <f t="shared" si="27"/>
        <v>0</v>
      </c>
      <c r="K142" s="170">
        <f t="shared" si="27"/>
        <v>80000000</v>
      </c>
      <c r="L142" s="170">
        <f t="shared" si="27"/>
        <v>0</v>
      </c>
      <c r="M142" s="170">
        <f t="shared" si="27"/>
        <v>0</v>
      </c>
      <c r="N142" s="170">
        <f t="shared" si="27"/>
        <v>0</v>
      </c>
      <c r="O142" s="170">
        <f t="shared" si="27"/>
        <v>80000000</v>
      </c>
    </row>
    <row r="143" spans="1:15" s="81" customFormat="1" ht="30" customHeight="1" x14ac:dyDescent="0.25">
      <c r="A143" s="46" t="s">
        <v>3</v>
      </c>
      <c r="B143" s="46" t="s">
        <v>91</v>
      </c>
      <c r="C143" s="3" t="s">
        <v>40</v>
      </c>
      <c r="D143" s="62">
        <f>'дод 3'!E41</f>
        <v>10000000</v>
      </c>
      <c r="E143" s="62">
        <f>'дод 3'!F41</f>
        <v>0</v>
      </c>
      <c r="F143" s="62">
        <f>'дод 3'!G41</f>
        <v>0</v>
      </c>
      <c r="G143" s="62">
        <f>'дод 3'!H41</f>
        <v>0</v>
      </c>
      <c r="H143" s="62">
        <f>'дод 3'!I41</f>
        <v>10000000</v>
      </c>
      <c r="I143" s="62">
        <f>'дод 3'!J41</f>
        <v>0</v>
      </c>
      <c r="J143" s="62">
        <f>'дод 3'!K41</f>
        <v>0</v>
      </c>
      <c r="K143" s="62">
        <f>'дод 3'!L41</f>
        <v>0</v>
      </c>
      <c r="L143" s="62">
        <f>'дод 3'!M41</f>
        <v>0</v>
      </c>
      <c r="M143" s="62">
        <f>'дод 3'!N41</f>
        <v>0</v>
      </c>
      <c r="N143" s="62">
        <f>'дод 3'!O41</f>
        <v>0</v>
      </c>
      <c r="O143" s="62">
        <f>'дод 3'!P41</f>
        <v>10000000</v>
      </c>
    </row>
    <row r="144" spans="1:15" s="81" customFormat="1" ht="30" customHeight="1" x14ac:dyDescent="0.25">
      <c r="A144" s="46">
        <v>7413</v>
      </c>
      <c r="B144" s="46" t="s">
        <v>91</v>
      </c>
      <c r="C144" s="3" t="s">
        <v>431</v>
      </c>
      <c r="D144" s="62">
        <f>'дод 3'!E42</f>
        <v>2800000</v>
      </c>
      <c r="E144" s="62">
        <f>'дод 3'!F42</f>
        <v>0</v>
      </c>
      <c r="F144" s="62">
        <f>'дод 3'!G42</f>
        <v>0</v>
      </c>
      <c r="G144" s="62">
        <f>'дод 3'!H42</f>
        <v>0</v>
      </c>
      <c r="H144" s="62">
        <f>'дод 3'!I42</f>
        <v>2800000</v>
      </c>
      <c r="I144" s="62">
        <f>'дод 3'!J42</f>
        <v>0</v>
      </c>
      <c r="J144" s="62">
        <f>'дод 3'!K42</f>
        <v>0</v>
      </c>
      <c r="K144" s="62">
        <f>'дод 3'!L42</f>
        <v>0</v>
      </c>
      <c r="L144" s="62">
        <f>'дод 3'!M42</f>
        <v>0</v>
      </c>
      <c r="M144" s="62">
        <f>'дод 3'!N42</f>
        <v>0</v>
      </c>
      <c r="N144" s="62">
        <f>'дод 3'!O42</f>
        <v>0</v>
      </c>
      <c r="O144" s="62">
        <f>'дод 3'!P42</f>
        <v>2800000</v>
      </c>
    </row>
    <row r="145" spans="1:15" s="81" customFormat="1" ht="30" customHeight="1" x14ac:dyDescent="0.25">
      <c r="A145" s="46">
        <v>7426</v>
      </c>
      <c r="B145" s="94" t="s">
        <v>499</v>
      </c>
      <c r="C145" s="3" t="s">
        <v>432</v>
      </c>
      <c r="D145" s="62">
        <f>'дод 3'!E43</f>
        <v>15200000</v>
      </c>
      <c r="E145" s="62">
        <f>'дод 3'!F43</f>
        <v>0</v>
      </c>
      <c r="F145" s="62">
        <f>'дод 3'!G43</f>
        <v>0</v>
      </c>
      <c r="G145" s="62">
        <f>'дод 3'!H43</f>
        <v>0</v>
      </c>
      <c r="H145" s="62">
        <f>'дод 3'!I43</f>
        <v>15200000</v>
      </c>
      <c r="I145" s="62">
        <f>'дод 3'!J43</f>
        <v>0</v>
      </c>
      <c r="J145" s="62">
        <f>'дод 3'!K43</f>
        <v>0</v>
      </c>
      <c r="K145" s="62">
        <f>'дод 3'!L43</f>
        <v>0</v>
      </c>
      <c r="L145" s="62">
        <f>'дод 3'!M43</f>
        <v>0</v>
      </c>
      <c r="M145" s="62">
        <f>'дод 3'!N43</f>
        <v>0</v>
      </c>
      <c r="N145" s="62">
        <f>'дод 3'!O43</f>
        <v>0</v>
      </c>
      <c r="O145" s="62">
        <f>'дод 3'!P43</f>
        <v>15200000</v>
      </c>
    </row>
    <row r="146" spans="1:15" s="81" customFormat="1" ht="53.25" customHeight="1" x14ac:dyDescent="0.25">
      <c r="A146" s="46">
        <v>7462</v>
      </c>
      <c r="B146" s="94" t="s">
        <v>465</v>
      </c>
      <c r="C146" s="3" t="s">
        <v>464</v>
      </c>
      <c r="D146" s="62">
        <f>'дод 3'!E192</f>
        <v>0</v>
      </c>
      <c r="E146" s="62">
        <f>'дод 3'!F192</f>
        <v>0</v>
      </c>
      <c r="F146" s="62">
        <f>'дод 3'!G192</f>
        <v>0</v>
      </c>
      <c r="G146" s="62">
        <f>'дод 3'!H192</f>
        <v>0</v>
      </c>
      <c r="H146" s="62">
        <f>'дод 3'!I192</f>
        <v>0</v>
      </c>
      <c r="I146" s="62">
        <f>'дод 3'!J192</f>
        <v>80000000</v>
      </c>
      <c r="J146" s="62">
        <f>'дод 3'!K192</f>
        <v>0</v>
      </c>
      <c r="K146" s="62">
        <f>'дод 3'!L192</f>
        <v>80000000</v>
      </c>
      <c r="L146" s="62">
        <f>'дод 3'!M192</f>
        <v>0</v>
      </c>
      <c r="M146" s="62">
        <f>'дод 3'!N192</f>
        <v>0</v>
      </c>
      <c r="N146" s="62">
        <f>'дод 3'!O192</f>
        <v>0</v>
      </c>
      <c r="O146" s="62">
        <f>'дод 3'!P192</f>
        <v>80000000</v>
      </c>
    </row>
    <row r="147" spans="1:15" s="81" customFormat="1" ht="94.5" x14ac:dyDescent="0.25">
      <c r="A147" s="172"/>
      <c r="B147" s="172"/>
      <c r="C147" s="173" t="s">
        <v>461</v>
      </c>
      <c r="D147" s="174">
        <f>'дод 3'!E193</f>
        <v>0</v>
      </c>
      <c r="E147" s="174">
        <f>'дод 3'!F193</f>
        <v>0</v>
      </c>
      <c r="F147" s="174">
        <f>'дод 3'!G193</f>
        <v>0</v>
      </c>
      <c r="G147" s="174">
        <f>'дод 3'!H193</f>
        <v>0</v>
      </c>
      <c r="H147" s="174">
        <f>'дод 3'!I193</f>
        <v>0</v>
      </c>
      <c r="I147" s="174">
        <f>'дод 3'!J193</f>
        <v>80000000</v>
      </c>
      <c r="J147" s="174">
        <f>'дод 3'!K193</f>
        <v>0</v>
      </c>
      <c r="K147" s="174">
        <f>'дод 3'!L193</f>
        <v>80000000</v>
      </c>
      <c r="L147" s="174">
        <f>'дод 3'!M193</f>
        <v>0</v>
      </c>
      <c r="M147" s="174">
        <f>'дод 3'!N193</f>
        <v>0</v>
      </c>
      <c r="N147" s="174">
        <f>'дод 3'!O193</f>
        <v>0</v>
      </c>
      <c r="O147" s="174">
        <f>'дод 3'!P193</f>
        <v>80000000</v>
      </c>
    </row>
    <row r="148" spans="1:15" s="79" customFormat="1" ht="28.5" customHeight="1" x14ac:dyDescent="0.25">
      <c r="A148" s="48" t="s">
        <v>259</v>
      </c>
      <c r="B148" s="50"/>
      <c r="C148" s="2" t="s">
        <v>260</v>
      </c>
      <c r="D148" s="61">
        <f t="shared" ref="D148:O148" si="28">D149</f>
        <v>11260300</v>
      </c>
      <c r="E148" s="61">
        <f t="shared" si="28"/>
        <v>11260300</v>
      </c>
      <c r="F148" s="61">
        <f t="shared" si="28"/>
        <v>0</v>
      </c>
      <c r="G148" s="61">
        <f t="shared" si="28"/>
        <v>0</v>
      </c>
      <c r="H148" s="61">
        <f t="shared" si="28"/>
        <v>0</v>
      </c>
      <c r="I148" s="61">
        <f t="shared" si="28"/>
        <v>4660000</v>
      </c>
      <c r="J148" s="61">
        <f t="shared" si="28"/>
        <v>4660000</v>
      </c>
      <c r="K148" s="61">
        <f t="shared" si="28"/>
        <v>0</v>
      </c>
      <c r="L148" s="61">
        <f t="shared" si="28"/>
        <v>0</v>
      </c>
      <c r="M148" s="61">
        <f t="shared" si="28"/>
        <v>0</v>
      </c>
      <c r="N148" s="61">
        <f t="shared" si="28"/>
        <v>4660000</v>
      </c>
      <c r="O148" s="61">
        <f t="shared" si="28"/>
        <v>15920300</v>
      </c>
    </row>
    <row r="149" spans="1:15" ht="37.5" customHeight="1" x14ac:dyDescent="0.25">
      <c r="A149" s="49" t="s">
        <v>257</v>
      </c>
      <c r="B149" s="49" t="s">
        <v>258</v>
      </c>
      <c r="C149" s="11" t="s">
        <v>256</v>
      </c>
      <c r="D149" s="62">
        <f>'дод 3'!E44</f>
        <v>11260300</v>
      </c>
      <c r="E149" s="62">
        <f>'дод 3'!F44</f>
        <v>11260300</v>
      </c>
      <c r="F149" s="62">
        <f>'дод 3'!G44</f>
        <v>0</v>
      </c>
      <c r="G149" s="62">
        <f>'дод 3'!H44</f>
        <v>0</v>
      </c>
      <c r="H149" s="62">
        <f>'дод 3'!I44</f>
        <v>0</v>
      </c>
      <c r="I149" s="62">
        <f>'дод 3'!J44</f>
        <v>4660000</v>
      </c>
      <c r="J149" s="62">
        <f>'дод 3'!K44</f>
        <v>4660000</v>
      </c>
      <c r="K149" s="62">
        <f>'дод 3'!L44</f>
        <v>0</v>
      </c>
      <c r="L149" s="62">
        <f>'дод 3'!M44</f>
        <v>0</v>
      </c>
      <c r="M149" s="62">
        <f>'дод 3'!N44</f>
        <v>0</v>
      </c>
      <c r="N149" s="62">
        <f>'дод 3'!O44</f>
        <v>4660000</v>
      </c>
      <c r="O149" s="62">
        <f>'дод 3'!P44</f>
        <v>15920300</v>
      </c>
    </row>
    <row r="150" spans="1:15" s="79" customFormat="1" ht="38.25" customHeight="1" x14ac:dyDescent="0.25">
      <c r="A150" s="47" t="s">
        <v>95</v>
      </c>
      <c r="B150" s="50"/>
      <c r="C150" s="2" t="s">
        <v>511</v>
      </c>
      <c r="D150" s="61">
        <f t="shared" ref="D150:O150" si="29">D152+D153+D155+D156+D157+D158+D159+D160</f>
        <v>9047443.8000000007</v>
      </c>
      <c r="E150" s="61">
        <f t="shared" si="29"/>
        <v>6730443.7999999998</v>
      </c>
      <c r="F150" s="61">
        <f t="shared" si="29"/>
        <v>0</v>
      </c>
      <c r="G150" s="61">
        <f t="shared" si="29"/>
        <v>0</v>
      </c>
      <c r="H150" s="61">
        <f t="shared" si="29"/>
        <v>2317000</v>
      </c>
      <c r="I150" s="61">
        <f t="shared" si="29"/>
        <v>115115683.33</v>
      </c>
      <c r="J150" s="61">
        <f t="shared" si="29"/>
        <v>101491551.2</v>
      </c>
      <c r="K150" s="61">
        <f t="shared" si="29"/>
        <v>1941363.01</v>
      </c>
      <c r="L150" s="61">
        <f t="shared" si="29"/>
        <v>0</v>
      </c>
      <c r="M150" s="61">
        <f t="shared" si="29"/>
        <v>0</v>
      </c>
      <c r="N150" s="61">
        <f t="shared" si="29"/>
        <v>113174320.32000001</v>
      </c>
      <c r="O150" s="61">
        <f t="shared" si="29"/>
        <v>124163127.13</v>
      </c>
    </row>
    <row r="151" spans="1:15" s="80" customFormat="1" ht="23.25" customHeight="1" x14ac:dyDescent="0.25">
      <c r="A151" s="149"/>
      <c r="B151" s="149"/>
      <c r="C151" s="177" t="s">
        <v>509</v>
      </c>
      <c r="D151" s="170">
        <f>D154</f>
        <v>0</v>
      </c>
      <c r="E151" s="170">
        <f t="shared" ref="E151:O151" si="30">E154</f>
        <v>0</v>
      </c>
      <c r="F151" s="170">
        <f t="shared" si="30"/>
        <v>0</v>
      </c>
      <c r="G151" s="170">
        <f t="shared" si="30"/>
        <v>0</v>
      </c>
      <c r="H151" s="170">
        <f t="shared" si="30"/>
        <v>0</v>
      </c>
      <c r="I151" s="170">
        <f t="shared" si="30"/>
        <v>58776907</v>
      </c>
      <c r="J151" s="170">
        <f t="shared" si="30"/>
        <v>58776907</v>
      </c>
      <c r="K151" s="170">
        <f t="shared" si="30"/>
        <v>0</v>
      </c>
      <c r="L151" s="170">
        <f t="shared" si="30"/>
        <v>0</v>
      </c>
      <c r="M151" s="170">
        <f t="shared" si="30"/>
        <v>0</v>
      </c>
      <c r="N151" s="170">
        <f t="shared" si="30"/>
        <v>58776907</v>
      </c>
      <c r="O151" s="170">
        <f t="shared" si="30"/>
        <v>58776907</v>
      </c>
    </row>
    <row r="152" spans="1:15" ht="30.75" customHeight="1" x14ac:dyDescent="0.25">
      <c r="A152" s="46" t="s">
        <v>4</v>
      </c>
      <c r="B152" s="46" t="s">
        <v>94</v>
      </c>
      <c r="C152" s="3" t="s">
        <v>26</v>
      </c>
      <c r="D152" s="62">
        <f>'дод 3'!E45+'дод 3'!E232</f>
        <v>1235000</v>
      </c>
      <c r="E152" s="62">
        <f>'дод 3'!F45+'дод 3'!F232</f>
        <v>617000</v>
      </c>
      <c r="F152" s="62">
        <f>'дод 3'!G45+'дод 3'!G232</f>
        <v>0</v>
      </c>
      <c r="G152" s="62">
        <f>'дод 3'!H45+'дод 3'!H232</f>
        <v>0</v>
      </c>
      <c r="H152" s="62">
        <f>'дод 3'!I45+'дод 3'!I232</f>
        <v>618000</v>
      </c>
      <c r="I152" s="62">
        <f>'дод 3'!J45+'дод 3'!J232</f>
        <v>0</v>
      </c>
      <c r="J152" s="62">
        <f>'дод 3'!K45+'дод 3'!K232</f>
        <v>0</v>
      </c>
      <c r="K152" s="62">
        <f>'дод 3'!L45+'дод 3'!L232</f>
        <v>0</v>
      </c>
      <c r="L152" s="62">
        <f>'дод 3'!M45+'дод 3'!M232</f>
        <v>0</v>
      </c>
      <c r="M152" s="62">
        <f>'дод 3'!N45+'дод 3'!N232</f>
        <v>0</v>
      </c>
      <c r="N152" s="62">
        <f>'дод 3'!O45+'дод 3'!O232</f>
        <v>0</v>
      </c>
      <c r="O152" s="62">
        <f>'дод 3'!P45+'дод 3'!P232</f>
        <v>1235000</v>
      </c>
    </row>
    <row r="153" spans="1:15" ht="24.75" customHeight="1" x14ac:dyDescent="0.25">
      <c r="A153" s="46" t="s">
        <v>2</v>
      </c>
      <c r="B153" s="46" t="s">
        <v>93</v>
      </c>
      <c r="C153" s="3" t="s">
        <v>508</v>
      </c>
      <c r="D153" s="62">
        <f>'дод 3'!E93+'дод 3'!E124+'дод 3'!E170+'дод 3'!E194+'дод 3'!E217+'дод 3'!E239</f>
        <v>4999311.8</v>
      </c>
      <c r="E153" s="62">
        <f>'дод 3'!F93+'дод 3'!F124+'дод 3'!F170+'дод 3'!F194+'дод 3'!F217+'дод 3'!F239</f>
        <v>3300311.8</v>
      </c>
      <c r="F153" s="62">
        <f>'дод 3'!G93+'дод 3'!G124+'дод 3'!G170+'дод 3'!G194+'дод 3'!G217+'дод 3'!G239</f>
        <v>0</v>
      </c>
      <c r="G153" s="62">
        <f>'дод 3'!H93+'дод 3'!H124+'дод 3'!H170+'дод 3'!H194+'дод 3'!H217+'дод 3'!H239</f>
        <v>0</v>
      </c>
      <c r="H153" s="62">
        <f>'дод 3'!I93+'дод 3'!I124+'дод 3'!I170+'дод 3'!I194+'дод 3'!I217+'дод 3'!I239</f>
        <v>1699000</v>
      </c>
      <c r="I153" s="62">
        <f>'дод 3'!J93+'дод 3'!J124+'дод 3'!J170+'дод 3'!J194+'дод 3'!J217+'дод 3'!J239</f>
        <v>94493673.200000003</v>
      </c>
      <c r="J153" s="62">
        <f>'дод 3'!K93+'дод 3'!K124+'дод 3'!K170+'дод 3'!K194+'дод 3'!K217+'дод 3'!K239</f>
        <v>84757221.200000003</v>
      </c>
      <c r="K153" s="62">
        <f>'дод 3'!L93+'дод 3'!L124+'дод 3'!L170+'дод 3'!L194+'дод 3'!L217+'дод 3'!L239</f>
        <v>0</v>
      </c>
      <c r="L153" s="62">
        <f>'дод 3'!M93+'дод 3'!M124+'дод 3'!M170+'дод 3'!M194+'дод 3'!M217+'дод 3'!M239</f>
        <v>0</v>
      </c>
      <c r="M153" s="62">
        <f>'дод 3'!N93+'дод 3'!N124+'дод 3'!N170+'дод 3'!N194+'дод 3'!N217+'дод 3'!N239</f>
        <v>0</v>
      </c>
      <c r="N153" s="62">
        <f>'дод 3'!O93+'дод 3'!O124+'дод 3'!O170+'дод 3'!O194+'дод 3'!O217+'дод 3'!O239</f>
        <v>94493673.200000003</v>
      </c>
      <c r="O153" s="62">
        <f>'дод 3'!P93+'дод 3'!P124+'дод 3'!P170+'дод 3'!P194+'дод 3'!P217+'дод 3'!P239</f>
        <v>99492985</v>
      </c>
    </row>
    <row r="154" spans="1:15" s="81" customFormat="1" ht="23.25" customHeight="1" x14ac:dyDescent="0.25">
      <c r="A154" s="172"/>
      <c r="B154" s="172"/>
      <c r="C154" s="179" t="s">
        <v>509</v>
      </c>
      <c r="D154" s="174">
        <f>'дод 3'!E125+'дод 3'!E218</f>
        <v>0</v>
      </c>
      <c r="E154" s="174">
        <f>'дод 3'!F125+'дод 3'!F218</f>
        <v>0</v>
      </c>
      <c r="F154" s="174">
        <f>'дод 3'!G125+'дод 3'!G218</f>
        <v>0</v>
      </c>
      <c r="G154" s="174">
        <f>'дод 3'!H125+'дод 3'!H218</f>
        <v>0</v>
      </c>
      <c r="H154" s="174">
        <f>'дод 3'!I125+'дод 3'!I218</f>
        <v>0</v>
      </c>
      <c r="I154" s="174">
        <f>'дод 3'!J125+'дод 3'!J218</f>
        <v>58776907</v>
      </c>
      <c r="J154" s="174">
        <f>'дод 3'!K125+'дод 3'!K218</f>
        <v>58776907</v>
      </c>
      <c r="K154" s="174">
        <f>'дод 3'!L125+'дод 3'!L218</f>
        <v>0</v>
      </c>
      <c r="L154" s="174">
        <f>'дод 3'!M125+'дод 3'!M218</f>
        <v>0</v>
      </c>
      <c r="M154" s="174">
        <f>'дод 3'!N125+'дод 3'!N218</f>
        <v>0</v>
      </c>
      <c r="N154" s="174">
        <f>'дод 3'!O125+'дод 3'!O218</f>
        <v>58776907</v>
      </c>
      <c r="O154" s="174">
        <f>'дод 3'!P125+'дод 3'!P218</f>
        <v>58776907</v>
      </c>
    </row>
    <row r="155" spans="1:15" ht="33.75" customHeight="1" x14ac:dyDescent="0.25">
      <c r="A155" s="46" t="s">
        <v>289</v>
      </c>
      <c r="B155" s="46" t="s">
        <v>89</v>
      </c>
      <c r="C155" s="3" t="s">
        <v>381</v>
      </c>
      <c r="D155" s="62">
        <f>'дод 3'!E233</f>
        <v>0</v>
      </c>
      <c r="E155" s="62">
        <f>'дод 3'!F233</f>
        <v>0</v>
      </c>
      <c r="F155" s="62">
        <f>'дод 3'!G233</f>
        <v>0</v>
      </c>
      <c r="G155" s="62">
        <f>'дод 3'!H233</f>
        <v>0</v>
      </c>
      <c r="H155" s="62">
        <f>'дод 3'!I233</f>
        <v>0</v>
      </c>
      <c r="I155" s="62">
        <f>'дод 3'!J233</f>
        <v>30000</v>
      </c>
      <c r="J155" s="62">
        <f>'дод 3'!K233</f>
        <v>30000</v>
      </c>
      <c r="K155" s="62">
        <f>'дод 3'!L233</f>
        <v>0</v>
      </c>
      <c r="L155" s="62">
        <f>'дод 3'!M233</f>
        <v>0</v>
      </c>
      <c r="M155" s="62">
        <f>'дод 3'!N233</f>
        <v>0</v>
      </c>
      <c r="N155" s="62">
        <f>'дод 3'!O233</f>
        <v>30000</v>
      </c>
      <c r="O155" s="62">
        <f>'дод 3'!P233</f>
        <v>30000</v>
      </c>
    </row>
    <row r="156" spans="1:15" ht="59.25" customHeight="1" x14ac:dyDescent="0.25">
      <c r="A156" s="46" t="s">
        <v>291</v>
      </c>
      <c r="B156" s="46" t="s">
        <v>89</v>
      </c>
      <c r="C156" s="3" t="s">
        <v>292</v>
      </c>
      <c r="D156" s="62">
        <f>'дод 3'!E234</f>
        <v>0</v>
      </c>
      <c r="E156" s="62">
        <f>'дод 3'!F234</f>
        <v>0</v>
      </c>
      <c r="F156" s="62">
        <f>'дод 3'!G234</f>
        <v>0</v>
      </c>
      <c r="G156" s="62">
        <f>'дод 3'!H234</f>
        <v>0</v>
      </c>
      <c r="H156" s="62">
        <f>'дод 3'!I234</f>
        <v>0</v>
      </c>
      <c r="I156" s="62">
        <f>'дод 3'!J234</f>
        <v>90000</v>
      </c>
      <c r="J156" s="62">
        <f>'дод 3'!K234</f>
        <v>90000</v>
      </c>
      <c r="K156" s="62">
        <f>'дод 3'!L234</f>
        <v>0</v>
      </c>
      <c r="L156" s="62">
        <f>'дод 3'!M234</f>
        <v>0</v>
      </c>
      <c r="M156" s="62">
        <f>'дод 3'!N234</f>
        <v>0</v>
      </c>
      <c r="N156" s="62">
        <f>'дод 3'!O234</f>
        <v>90000</v>
      </c>
      <c r="O156" s="62">
        <f>'дод 3'!P234</f>
        <v>90000</v>
      </c>
    </row>
    <row r="157" spans="1:15" ht="30.75" customHeight="1" x14ac:dyDescent="0.25">
      <c r="A157" s="46" t="s">
        <v>5</v>
      </c>
      <c r="B157" s="46" t="s">
        <v>89</v>
      </c>
      <c r="C157" s="3" t="s">
        <v>27</v>
      </c>
      <c r="D157" s="62">
        <f>'дод 3'!E46+'дод 3'!E195</f>
        <v>0</v>
      </c>
      <c r="E157" s="62">
        <f>'дод 3'!F46+'дод 3'!F195</f>
        <v>0</v>
      </c>
      <c r="F157" s="62">
        <f>'дод 3'!G46+'дод 3'!G195</f>
        <v>0</v>
      </c>
      <c r="G157" s="62">
        <f>'дод 3'!H46+'дод 3'!H195</f>
        <v>0</v>
      </c>
      <c r="H157" s="62">
        <f>'дод 3'!I46+'дод 3'!I195</f>
        <v>0</v>
      </c>
      <c r="I157" s="62">
        <f>'дод 3'!J46+'дод 3'!J195</f>
        <v>16614330</v>
      </c>
      <c r="J157" s="62">
        <f>'дод 3'!K46+'дод 3'!K195</f>
        <v>16614330</v>
      </c>
      <c r="K157" s="62">
        <f>'дод 3'!L46+'дод 3'!L195</f>
        <v>0</v>
      </c>
      <c r="L157" s="62">
        <f>'дод 3'!M46+'дод 3'!M195</f>
        <v>0</v>
      </c>
      <c r="M157" s="62">
        <f>'дод 3'!N46+'дод 3'!N195</f>
        <v>0</v>
      </c>
      <c r="N157" s="62">
        <f>'дод 3'!O46+'дод 3'!O195</f>
        <v>16614330</v>
      </c>
      <c r="O157" s="62">
        <f>'дод 3'!P46+'дод 3'!P195</f>
        <v>16614330</v>
      </c>
    </row>
    <row r="158" spans="1:15" ht="36.75" customHeight="1" x14ac:dyDescent="0.25">
      <c r="A158" s="46" t="s">
        <v>270</v>
      </c>
      <c r="B158" s="46" t="s">
        <v>89</v>
      </c>
      <c r="C158" s="3" t="s">
        <v>271</v>
      </c>
      <c r="D158" s="62">
        <f>'дод 3'!E47</f>
        <v>221467</v>
      </c>
      <c r="E158" s="62">
        <f>'дод 3'!F47</f>
        <v>221467</v>
      </c>
      <c r="F158" s="62">
        <f>'дод 3'!G47</f>
        <v>0</v>
      </c>
      <c r="G158" s="62">
        <f>'дод 3'!H47</f>
        <v>0</v>
      </c>
      <c r="H158" s="62">
        <f>'дод 3'!I47</f>
        <v>0</v>
      </c>
      <c r="I158" s="62">
        <f>'дод 3'!J47</f>
        <v>0</v>
      </c>
      <c r="J158" s="62">
        <f>'дод 3'!K47</f>
        <v>0</v>
      </c>
      <c r="K158" s="62">
        <f>'дод 3'!L47</f>
        <v>0</v>
      </c>
      <c r="L158" s="62">
        <f>'дод 3'!M47</f>
        <v>0</v>
      </c>
      <c r="M158" s="62">
        <f>'дод 3'!N47</f>
        <v>0</v>
      </c>
      <c r="N158" s="62">
        <f>'дод 3'!O47</f>
        <v>0</v>
      </c>
      <c r="O158" s="62">
        <f>'дод 3'!P47</f>
        <v>221467</v>
      </c>
    </row>
    <row r="159" spans="1:15" s="81" customFormat="1" ht="108" customHeight="1" x14ac:dyDescent="0.25">
      <c r="A159" s="46" t="s">
        <v>324</v>
      </c>
      <c r="B159" s="46" t="s">
        <v>89</v>
      </c>
      <c r="C159" s="3" t="s">
        <v>345</v>
      </c>
      <c r="D159" s="62">
        <f>'дод 3'!E48+'дод 3'!E196+'дод 3'!E219+'дод 3'!E224</f>
        <v>0</v>
      </c>
      <c r="E159" s="62">
        <f>'дод 3'!F48+'дод 3'!F196+'дод 3'!F219+'дод 3'!F224</f>
        <v>0</v>
      </c>
      <c r="F159" s="62">
        <f>'дод 3'!G48+'дод 3'!G196+'дод 3'!G219+'дод 3'!G224</f>
        <v>0</v>
      </c>
      <c r="G159" s="62">
        <f>'дод 3'!H48+'дод 3'!H196+'дод 3'!H219+'дод 3'!H224</f>
        <v>0</v>
      </c>
      <c r="H159" s="62">
        <f>'дод 3'!I48+'дод 3'!I196+'дод 3'!I219+'дод 3'!I224</f>
        <v>0</v>
      </c>
      <c r="I159" s="62">
        <f>'дод 3'!J48+'дод 3'!J196+'дод 3'!J219+'дод 3'!J224</f>
        <v>3887680.13</v>
      </c>
      <c r="J159" s="62">
        <f>'дод 3'!K48+'дод 3'!K196+'дод 3'!K219+'дод 3'!K224</f>
        <v>0</v>
      </c>
      <c r="K159" s="62">
        <f>'дод 3'!L48+'дод 3'!L196+'дод 3'!L219+'дод 3'!L224</f>
        <v>1941363.01</v>
      </c>
      <c r="L159" s="62">
        <f>'дод 3'!M48+'дод 3'!M196+'дод 3'!M219+'дод 3'!M224</f>
        <v>0</v>
      </c>
      <c r="M159" s="62">
        <f>'дод 3'!N48+'дод 3'!N196+'дод 3'!N219+'дод 3'!N224</f>
        <v>0</v>
      </c>
      <c r="N159" s="62">
        <f>'дод 3'!O48+'дод 3'!O196+'дод 3'!O219+'дод 3'!O224</f>
        <v>1946317.12</v>
      </c>
      <c r="O159" s="62">
        <f>'дод 3'!P48+'дод 3'!P196+'дод 3'!P219+'дод 3'!P224</f>
        <v>3887680.13</v>
      </c>
    </row>
    <row r="160" spans="1:15" s="81" customFormat="1" ht="30.75" customHeight="1" x14ac:dyDescent="0.25">
      <c r="A160" s="46" t="s">
        <v>261</v>
      </c>
      <c r="B160" s="46" t="s">
        <v>89</v>
      </c>
      <c r="C160" s="3" t="s">
        <v>18</v>
      </c>
      <c r="D160" s="62">
        <f>'дод 3'!E49+'дод 3'!E235+'дод 3'!E240</f>
        <v>2591665</v>
      </c>
      <c r="E160" s="62">
        <f>'дод 3'!F49+'дод 3'!F235+'дод 3'!F240</f>
        <v>2591665</v>
      </c>
      <c r="F160" s="62">
        <f>'дод 3'!G49+'дод 3'!G235+'дод 3'!G240</f>
        <v>0</v>
      </c>
      <c r="G160" s="62">
        <f>'дод 3'!H49+'дод 3'!H235+'дод 3'!H240</f>
        <v>0</v>
      </c>
      <c r="H160" s="62">
        <f>'дод 3'!I49+'дод 3'!I235+'дод 3'!I240</f>
        <v>0</v>
      </c>
      <c r="I160" s="62">
        <f>'дод 3'!J49+'дод 3'!J235+'дод 3'!J240</f>
        <v>0</v>
      </c>
      <c r="J160" s="62">
        <f>'дод 3'!K49+'дод 3'!K235+'дод 3'!K240</f>
        <v>0</v>
      </c>
      <c r="K160" s="62">
        <f>'дод 3'!L49+'дод 3'!L235+'дод 3'!L240</f>
        <v>0</v>
      </c>
      <c r="L160" s="62">
        <f>'дод 3'!M49+'дод 3'!M235+'дод 3'!M240</f>
        <v>0</v>
      </c>
      <c r="M160" s="62">
        <f>'дод 3'!N49+'дод 3'!N235+'дод 3'!N240</f>
        <v>0</v>
      </c>
      <c r="N160" s="62">
        <f>'дод 3'!O49+'дод 3'!O235+'дод 3'!O240</f>
        <v>0</v>
      </c>
      <c r="O160" s="62">
        <f>'дод 3'!P49+'дод 3'!P235+'дод 3'!P240</f>
        <v>2591665</v>
      </c>
    </row>
    <row r="161" spans="1:15" s="80" customFormat="1" ht="48.75" customHeight="1" x14ac:dyDescent="0.25">
      <c r="A161" s="47">
        <v>7700</v>
      </c>
      <c r="B161" s="47"/>
      <c r="C161" s="152" t="s">
        <v>400</v>
      </c>
      <c r="D161" s="61">
        <f>D162</f>
        <v>0</v>
      </c>
      <c r="E161" s="61">
        <f t="shared" ref="E161:O161" si="31">E162</f>
        <v>0</v>
      </c>
      <c r="F161" s="61">
        <f t="shared" si="31"/>
        <v>0</v>
      </c>
      <c r="G161" s="61">
        <f t="shared" si="31"/>
        <v>0</v>
      </c>
      <c r="H161" s="61">
        <f t="shared" si="31"/>
        <v>0</v>
      </c>
      <c r="I161" s="61">
        <f t="shared" si="31"/>
        <v>885000</v>
      </c>
      <c r="J161" s="61">
        <f t="shared" si="31"/>
        <v>0</v>
      </c>
      <c r="K161" s="61">
        <f t="shared" si="31"/>
        <v>0</v>
      </c>
      <c r="L161" s="61">
        <f t="shared" si="31"/>
        <v>0</v>
      </c>
      <c r="M161" s="61">
        <f t="shared" si="31"/>
        <v>0</v>
      </c>
      <c r="N161" s="61">
        <f t="shared" si="31"/>
        <v>885000</v>
      </c>
      <c r="O161" s="61">
        <f t="shared" si="31"/>
        <v>885000</v>
      </c>
    </row>
    <row r="162" spans="1:15" s="81" customFormat="1" ht="46.5" customHeight="1" x14ac:dyDescent="0.25">
      <c r="A162" s="46">
        <v>7700</v>
      </c>
      <c r="B162" s="94" t="s">
        <v>100</v>
      </c>
      <c r="C162" s="102" t="s">
        <v>400</v>
      </c>
      <c r="D162" s="62">
        <f>'дод 3'!E126</f>
        <v>0</v>
      </c>
      <c r="E162" s="62">
        <f>'дод 3'!F126</f>
        <v>0</v>
      </c>
      <c r="F162" s="62">
        <f>'дод 3'!G126</f>
        <v>0</v>
      </c>
      <c r="G162" s="62">
        <f>'дод 3'!H126</f>
        <v>0</v>
      </c>
      <c r="H162" s="62">
        <f>'дод 3'!I126</f>
        <v>0</v>
      </c>
      <c r="I162" s="62">
        <f>'дод 3'!J126</f>
        <v>885000</v>
      </c>
      <c r="J162" s="62">
        <f>'дод 3'!K126</f>
        <v>0</v>
      </c>
      <c r="K162" s="62">
        <f>'дод 3'!L126</f>
        <v>0</v>
      </c>
      <c r="L162" s="62">
        <f>'дод 3'!M126</f>
        <v>0</v>
      </c>
      <c r="M162" s="62">
        <f>'дод 3'!N126</f>
        <v>0</v>
      </c>
      <c r="N162" s="62">
        <f>'дод 3'!O126</f>
        <v>885000</v>
      </c>
      <c r="O162" s="62">
        <f>'дод 3'!P126</f>
        <v>885000</v>
      </c>
    </row>
    <row r="163" spans="1:15" s="79" customFormat="1" x14ac:dyDescent="0.25">
      <c r="A163" s="47" t="s">
        <v>101</v>
      </c>
      <c r="B163" s="48"/>
      <c r="C163" s="2" t="s">
        <v>488</v>
      </c>
      <c r="D163" s="61">
        <f t="shared" ref="D163:O163" si="32">D165+D170+D172+D175+D177+D178</f>
        <v>16213813</v>
      </c>
      <c r="E163" s="61">
        <f t="shared" si="32"/>
        <v>6213813</v>
      </c>
      <c r="F163" s="61">
        <f t="shared" si="32"/>
        <v>1542220</v>
      </c>
      <c r="G163" s="61">
        <f t="shared" si="32"/>
        <v>353840</v>
      </c>
      <c r="H163" s="61">
        <f t="shared" si="32"/>
        <v>0</v>
      </c>
      <c r="I163" s="61">
        <f t="shared" si="32"/>
        <v>8664643.4499999993</v>
      </c>
      <c r="J163" s="61">
        <f t="shared" si="32"/>
        <v>2299600</v>
      </c>
      <c r="K163" s="61">
        <f t="shared" si="32"/>
        <v>2552000</v>
      </c>
      <c r="L163" s="61">
        <f t="shared" si="32"/>
        <v>0</v>
      </c>
      <c r="M163" s="61">
        <f t="shared" si="32"/>
        <v>541400</v>
      </c>
      <c r="N163" s="61">
        <f t="shared" si="32"/>
        <v>6112643.4500000002</v>
      </c>
      <c r="O163" s="61">
        <f t="shared" si="32"/>
        <v>24878456.449999999</v>
      </c>
    </row>
    <row r="164" spans="1:15" s="80" customFormat="1" ht="47.25" x14ac:dyDescent="0.25">
      <c r="A164" s="149"/>
      <c r="B164" s="168"/>
      <c r="C164" s="169" t="s">
        <v>444</v>
      </c>
      <c r="D164" s="170">
        <f>D166</f>
        <v>380580</v>
      </c>
      <c r="E164" s="170">
        <f t="shared" ref="E164:O164" si="33">E166</f>
        <v>380580</v>
      </c>
      <c r="F164" s="170">
        <f t="shared" si="33"/>
        <v>311950</v>
      </c>
      <c r="G164" s="170">
        <f t="shared" si="33"/>
        <v>0</v>
      </c>
      <c r="H164" s="170">
        <f t="shared" si="33"/>
        <v>0</v>
      </c>
      <c r="I164" s="170">
        <f t="shared" si="33"/>
        <v>0</v>
      </c>
      <c r="J164" s="170">
        <f t="shared" si="33"/>
        <v>0</v>
      </c>
      <c r="K164" s="170">
        <f t="shared" si="33"/>
        <v>0</v>
      </c>
      <c r="L164" s="170">
        <f t="shared" si="33"/>
        <v>0</v>
      </c>
      <c r="M164" s="170">
        <f t="shared" si="33"/>
        <v>0</v>
      </c>
      <c r="N164" s="170">
        <f t="shared" si="33"/>
        <v>0</v>
      </c>
      <c r="O164" s="170">
        <f t="shared" si="33"/>
        <v>380580</v>
      </c>
    </row>
    <row r="165" spans="1:15" s="79" customFormat="1" ht="49.5" customHeight="1" x14ac:dyDescent="0.25">
      <c r="A165" s="47" t="s">
        <v>103</v>
      </c>
      <c r="B165" s="48"/>
      <c r="C165" s="2" t="s">
        <v>446</v>
      </c>
      <c r="D165" s="61">
        <f t="shared" ref="D165:O165" si="34">D167+D168</f>
        <v>4699388</v>
      </c>
      <c r="E165" s="61">
        <f t="shared" si="34"/>
        <v>4699388</v>
      </c>
      <c r="F165" s="61">
        <f t="shared" si="34"/>
        <v>1542220</v>
      </c>
      <c r="G165" s="61">
        <f t="shared" si="34"/>
        <v>131680</v>
      </c>
      <c r="H165" s="61">
        <f t="shared" si="34"/>
        <v>0</v>
      </c>
      <c r="I165" s="61">
        <f t="shared" si="34"/>
        <v>2305100</v>
      </c>
      <c r="J165" s="61">
        <f t="shared" si="34"/>
        <v>2299600</v>
      </c>
      <c r="K165" s="61">
        <f t="shared" si="34"/>
        <v>5500</v>
      </c>
      <c r="L165" s="61">
        <f t="shared" si="34"/>
        <v>0</v>
      </c>
      <c r="M165" s="61">
        <f t="shared" si="34"/>
        <v>1400</v>
      </c>
      <c r="N165" s="61">
        <f t="shared" si="34"/>
        <v>2299600</v>
      </c>
      <c r="O165" s="61">
        <f t="shared" si="34"/>
        <v>7004488</v>
      </c>
    </row>
    <row r="166" spans="1:15" s="80" customFormat="1" ht="54" customHeight="1" x14ac:dyDescent="0.25">
      <c r="A166" s="149"/>
      <c r="B166" s="168"/>
      <c r="C166" s="171" t="str">
        <f>C169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66" s="170">
        <f>D169</f>
        <v>380580</v>
      </c>
      <c r="E166" s="170">
        <f t="shared" ref="E166:O166" si="35">E169</f>
        <v>380580</v>
      </c>
      <c r="F166" s="170">
        <f t="shared" si="35"/>
        <v>311950</v>
      </c>
      <c r="G166" s="170">
        <f t="shared" si="35"/>
        <v>0</v>
      </c>
      <c r="H166" s="170">
        <f t="shared" si="35"/>
        <v>0</v>
      </c>
      <c r="I166" s="170">
        <f t="shared" si="35"/>
        <v>0</v>
      </c>
      <c r="J166" s="170">
        <f t="shared" si="35"/>
        <v>0</v>
      </c>
      <c r="K166" s="170">
        <f t="shared" si="35"/>
        <v>0</v>
      </c>
      <c r="L166" s="170">
        <f t="shared" si="35"/>
        <v>0</v>
      </c>
      <c r="M166" s="170">
        <f t="shared" si="35"/>
        <v>0</v>
      </c>
      <c r="N166" s="170">
        <f t="shared" si="35"/>
        <v>0</v>
      </c>
      <c r="O166" s="170">
        <f t="shared" si="35"/>
        <v>380580</v>
      </c>
    </row>
    <row r="167" spans="1:15" s="79" customFormat="1" ht="36.75" customHeight="1" x14ac:dyDescent="0.25">
      <c r="A167" s="49" t="s">
        <v>7</v>
      </c>
      <c r="B167" s="49" t="s">
        <v>96</v>
      </c>
      <c r="C167" s="3" t="s">
        <v>325</v>
      </c>
      <c r="D167" s="62">
        <f>'дод 3'!E50+'дод 3'!E197</f>
        <v>2672818</v>
      </c>
      <c r="E167" s="62">
        <f>'дод 3'!F50+'дод 3'!F197</f>
        <v>2672818</v>
      </c>
      <c r="F167" s="62">
        <f>'дод 3'!G50+'дод 3'!G197</f>
        <v>0</v>
      </c>
      <c r="G167" s="62">
        <f>'дод 3'!H50+'дод 3'!H197</f>
        <v>55500</v>
      </c>
      <c r="H167" s="62">
        <f>'дод 3'!I50+'дод 3'!I197</f>
        <v>0</v>
      </c>
      <c r="I167" s="62">
        <f>'дод 3'!J50+'дод 3'!J197</f>
        <v>2299600</v>
      </c>
      <c r="J167" s="62">
        <f>'дод 3'!K50+'дод 3'!K197</f>
        <v>2299600</v>
      </c>
      <c r="K167" s="62">
        <f>'дод 3'!L50+'дод 3'!L197</f>
        <v>0</v>
      </c>
      <c r="L167" s="62">
        <f>'дод 3'!M50+'дод 3'!M197</f>
        <v>0</v>
      </c>
      <c r="M167" s="62">
        <f>'дод 3'!N50+'дод 3'!N197</f>
        <v>0</v>
      </c>
      <c r="N167" s="62">
        <f>'дод 3'!O50+'дод 3'!O197</f>
        <v>2299600</v>
      </c>
      <c r="O167" s="62">
        <f>'дод 3'!P50+'дод 3'!P197</f>
        <v>4972418</v>
      </c>
    </row>
    <row r="168" spans="1:15" ht="24.75" customHeight="1" x14ac:dyDescent="0.25">
      <c r="A168" s="46" t="s">
        <v>159</v>
      </c>
      <c r="B168" s="51" t="s">
        <v>96</v>
      </c>
      <c r="C168" s="3" t="s">
        <v>493</v>
      </c>
      <c r="D168" s="62">
        <f>'дод 3'!E51</f>
        <v>2026570</v>
      </c>
      <c r="E168" s="62">
        <f>'дод 3'!F51</f>
        <v>2026570</v>
      </c>
      <c r="F168" s="62">
        <f>'дод 3'!G51</f>
        <v>1542220</v>
      </c>
      <c r="G168" s="62">
        <f>'дод 3'!H51</f>
        <v>76180</v>
      </c>
      <c r="H168" s="62">
        <f>'дод 3'!I51</f>
        <v>0</v>
      </c>
      <c r="I168" s="62">
        <f>'дод 3'!J51</f>
        <v>5500</v>
      </c>
      <c r="J168" s="62">
        <f>'дод 3'!K51</f>
        <v>0</v>
      </c>
      <c r="K168" s="62">
        <f>'дод 3'!L51</f>
        <v>5500</v>
      </c>
      <c r="L168" s="62">
        <f>'дод 3'!M51</f>
        <v>0</v>
      </c>
      <c r="M168" s="62">
        <f>'дод 3'!N51</f>
        <v>1400</v>
      </c>
      <c r="N168" s="62">
        <f>'дод 3'!O51</f>
        <v>0</v>
      </c>
      <c r="O168" s="62">
        <f>'дод 3'!P51</f>
        <v>2032070</v>
      </c>
    </row>
    <row r="169" spans="1:15" ht="51.75" customHeight="1" x14ac:dyDescent="0.25">
      <c r="A169" s="46"/>
      <c r="B169" s="51"/>
      <c r="C169" s="42" t="s">
        <v>444</v>
      </c>
      <c r="D169" s="62">
        <f>'дод 3'!E52</f>
        <v>380580</v>
      </c>
      <c r="E169" s="62">
        <f>'дод 3'!F52</f>
        <v>380580</v>
      </c>
      <c r="F169" s="62">
        <f>'дод 3'!G52</f>
        <v>311950</v>
      </c>
      <c r="G169" s="62">
        <f>'дод 3'!H52</f>
        <v>0</v>
      </c>
      <c r="H169" s="62">
        <f>'дод 3'!I52</f>
        <v>0</v>
      </c>
      <c r="I169" s="62">
        <f>'дод 3'!J52</f>
        <v>0</v>
      </c>
      <c r="J169" s="62">
        <f>'дод 3'!K52</f>
        <v>0</v>
      </c>
      <c r="K169" s="62">
        <f>'дод 3'!L52</f>
        <v>0</v>
      </c>
      <c r="L169" s="62">
        <f>'дод 3'!M52</f>
        <v>0</v>
      </c>
      <c r="M169" s="62">
        <f>'дод 3'!N52</f>
        <v>0</v>
      </c>
      <c r="N169" s="62">
        <f>'дод 3'!O52</f>
        <v>0</v>
      </c>
      <c r="O169" s="62">
        <f>'дод 3'!P52</f>
        <v>380580</v>
      </c>
    </row>
    <row r="170" spans="1:15" s="79" customFormat="1" ht="30" customHeight="1" x14ac:dyDescent="0.25">
      <c r="A170" s="47" t="s">
        <v>272</v>
      </c>
      <c r="B170" s="47"/>
      <c r="C170" s="12" t="s">
        <v>273</v>
      </c>
      <c r="D170" s="61">
        <f t="shared" ref="D170:O170" si="36">D171</f>
        <v>627360</v>
      </c>
      <c r="E170" s="61">
        <f t="shared" si="36"/>
        <v>627360</v>
      </c>
      <c r="F170" s="61">
        <f t="shared" si="36"/>
        <v>0</v>
      </c>
      <c r="G170" s="61">
        <f t="shared" si="36"/>
        <v>222160</v>
      </c>
      <c r="H170" s="61">
        <f t="shared" si="36"/>
        <v>0</v>
      </c>
      <c r="I170" s="61">
        <f t="shared" si="36"/>
        <v>0</v>
      </c>
      <c r="J170" s="61">
        <f t="shared" si="36"/>
        <v>0</v>
      </c>
      <c r="K170" s="61">
        <f t="shared" si="36"/>
        <v>0</v>
      </c>
      <c r="L170" s="61">
        <f t="shared" si="36"/>
        <v>0</v>
      </c>
      <c r="M170" s="61">
        <f t="shared" si="36"/>
        <v>0</v>
      </c>
      <c r="N170" s="61">
        <f t="shared" si="36"/>
        <v>0</v>
      </c>
      <c r="O170" s="61">
        <f t="shared" si="36"/>
        <v>627360</v>
      </c>
    </row>
    <row r="171" spans="1:15" ht="30" customHeight="1" x14ac:dyDescent="0.25">
      <c r="A171" s="46" t="s">
        <v>266</v>
      </c>
      <c r="B171" s="51" t="s">
        <v>267</v>
      </c>
      <c r="C171" s="3" t="s">
        <v>268</v>
      </c>
      <c r="D171" s="62">
        <f>'дод 3'!E53+'дод 3'!E198</f>
        <v>627360</v>
      </c>
      <c r="E171" s="62">
        <f>'дод 3'!F53+'дод 3'!F198</f>
        <v>627360</v>
      </c>
      <c r="F171" s="62">
        <f>'дод 3'!G53+'дод 3'!G198</f>
        <v>0</v>
      </c>
      <c r="G171" s="62">
        <f>'дод 3'!H53+'дод 3'!H198</f>
        <v>222160</v>
      </c>
      <c r="H171" s="62">
        <f>'дод 3'!I53+'дод 3'!I198</f>
        <v>0</v>
      </c>
      <c r="I171" s="62">
        <f>'дод 3'!J53+'дод 3'!J198</f>
        <v>0</v>
      </c>
      <c r="J171" s="62">
        <f>'дод 3'!K53+'дод 3'!K198</f>
        <v>0</v>
      </c>
      <c r="K171" s="62">
        <f>'дод 3'!L53+'дод 3'!L198</f>
        <v>0</v>
      </c>
      <c r="L171" s="62">
        <f>'дод 3'!M53+'дод 3'!M198</f>
        <v>0</v>
      </c>
      <c r="M171" s="62">
        <f>'дод 3'!N53+'дод 3'!N198</f>
        <v>0</v>
      </c>
      <c r="N171" s="62">
        <f>'дод 3'!O53+'дод 3'!O198</f>
        <v>0</v>
      </c>
      <c r="O171" s="62">
        <f>'дод 3'!P53+'дод 3'!P198</f>
        <v>627360</v>
      </c>
    </row>
    <row r="172" spans="1:15" s="79" customFormat="1" ht="22.5" customHeight="1" x14ac:dyDescent="0.25">
      <c r="A172" s="47" t="s">
        <v>6</v>
      </c>
      <c r="B172" s="48"/>
      <c r="C172" s="2" t="s">
        <v>8</v>
      </c>
      <c r="D172" s="61">
        <f t="shared" ref="D172:O172" si="37">D174+D173</f>
        <v>75000</v>
      </c>
      <c r="E172" s="61">
        <f t="shared" si="37"/>
        <v>75000</v>
      </c>
      <c r="F172" s="61">
        <f t="shared" si="37"/>
        <v>0</v>
      </c>
      <c r="G172" s="61">
        <f t="shared" si="37"/>
        <v>0</v>
      </c>
      <c r="H172" s="61">
        <f t="shared" si="37"/>
        <v>0</v>
      </c>
      <c r="I172" s="61">
        <f t="shared" si="37"/>
        <v>6359543.4500000002</v>
      </c>
      <c r="J172" s="61">
        <f t="shared" si="37"/>
        <v>0</v>
      </c>
      <c r="K172" s="61">
        <f t="shared" si="37"/>
        <v>2546500</v>
      </c>
      <c r="L172" s="61">
        <f t="shared" si="37"/>
        <v>0</v>
      </c>
      <c r="M172" s="61">
        <f t="shared" si="37"/>
        <v>540000</v>
      </c>
      <c r="N172" s="61">
        <f t="shared" si="37"/>
        <v>3813043.45</v>
      </c>
      <c r="O172" s="61">
        <f t="shared" si="37"/>
        <v>6434543.4500000002</v>
      </c>
    </row>
    <row r="173" spans="1:15" s="79" customFormat="1" ht="46.5" customHeight="1" x14ac:dyDescent="0.25">
      <c r="A173" s="46">
        <v>8330</v>
      </c>
      <c r="B173" s="46">
        <v>540</v>
      </c>
      <c r="C173" s="3" t="s">
        <v>383</v>
      </c>
      <c r="D173" s="62">
        <f>'дод 3'!E241</f>
        <v>75000</v>
      </c>
      <c r="E173" s="62">
        <f>'дод 3'!F241</f>
        <v>75000</v>
      </c>
      <c r="F173" s="62">
        <f>'дод 3'!G241</f>
        <v>0</v>
      </c>
      <c r="G173" s="62">
        <f>'дод 3'!H241</f>
        <v>0</v>
      </c>
      <c r="H173" s="62">
        <f>'дод 3'!I241</f>
        <v>0</v>
      </c>
      <c r="I173" s="62">
        <f>'дод 3'!J241</f>
        <v>0</v>
      </c>
      <c r="J173" s="62">
        <f>'дод 3'!K241</f>
        <v>0</v>
      </c>
      <c r="K173" s="62">
        <f>'дод 3'!L241</f>
        <v>0</v>
      </c>
      <c r="L173" s="62">
        <f>'дод 3'!M241</f>
        <v>0</v>
      </c>
      <c r="M173" s="62">
        <f>'дод 3'!N241</f>
        <v>0</v>
      </c>
      <c r="N173" s="62">
        <f>'дод 3'!O241</f>
        <v>0</v>
      </c>
      <c r="O173" s="62">
        <f>'дод 3'!P241</f>
        <v>75000</v>
      </c>
    </row>
    <row r="174" spans="1:15" s="79" customFormat="1" ht="25.5" customHeight="1" x14ac:dyDescent="0.25">
      <c r="A174" s="46" t="s">
        <v>9</v>
      </c>
      <c r="B174" s="46" t="s">
        <v>99</v>
      </c>
      <c r="C174" s="3" t="s">
        <v>10</v>
      </c>
      <c r="D174" s="62">
        <f>'дод 3'!E54+'дод 3'!E94+'дод 3'!E199+'дод 3'!E242+'дод 3'!E171</f>
        <v>0</v>
      </c>
      <c r="E174" s="62">
        <f>'дод 3'!F54+'дод 3'!F94+'дод 3'!F199+'дод 3'!F242+'дод 3'!F171</f>
        <v>0</v>
      </c>
      <c r="F174" s="62">
        <f>'дод 3'!G54+'дод 3'!G94+'дод 3'!G199+'дод 3'!G242+'дод 3'!G171</f>
        <v>0</v>
      </c>
      <c r="G174" s="62">
        <f>'дод 3'!H54+'дод 3'!H94+'дод 3'!H199+'дод 3'!H242+'дод 3'!H171</f>
        <v>0</v>
      </c>
      <c r="H174" s="62">
        <f>'дод 3'!I54+'дод 3'!I94+'дод 3'!I199+'дод 3'!I242+'дод 3'!I171</f>
        <v>0</v>
      </c>
      <c r="I174" s="62">
        <f>'дод 3'!J54+'дод 3'!J94+'дод 3'!J199+'дод 3'!J242+'дод 3'!J171</f>
        <v>6359543.4500000002</v>
      </c>
      <c r="J174" s="62">
        <f>'дод 3'!K54+'дод 3'!K94+'дод 3'!K199+'дод 3'!K242+'дод 3'!K171</f>
        <v>0</v>
      </c>
      <c r="K174" s="62">
        <f>'дод 3'!L54+'дод 3'!L94+'дод 3'!L199+'дод 3'!L242+'дод 3'!L171</f>
        <v>2546500</v>
      </c>
      <c r="L174" s="62">
        <f>'дод 3'!M54+'дод 3'!M94+'дод 3'!M199+'дод 3'!M242+'дод 3'!M171</f>
        <v>0</v>
      </c>
      <c r="M174" s="62">
        <f>'дод 3'!N54+'дод 3'!N94+'дод 3'!N199+'дод 3'!N242+'дод 3'!N171</f>
        <v>540000</v>
      </c>
      <c r="N174" s="62">
        <f>'дод 3'!O54+'дод 3'!O94+'дод 3'!O199+'дод 3'!O242+'дод 3'!O171</f>
        <v>3813043.45</v>
      </c>
      <c r="O174" s="62">
        <f>'дод 3'!P54+'дод 3'!P94+'дод 3'!P199+'дод 3'!P242+'дод 3'!P171</f>
        <v>6359543.4500000002</v>
      </c>
    </row>
    <row r="175" spans="1:15" s="79" customFormat="1" ht="26.25" customHeight="1" x14ac:dyDescent="0.25">
      <c r="A175" s="47" t="s">
        <v>144</v>
      </c>
      <c r="B175" s="48"/>
      <c r="C175" s="2" t="s">
        <v>82</v>
      </c>
      <c r="D175" s="61">
        <f t="shared" ref="D175:O175" si="38">D176</f>
        <v>100000</v>
      </c>
      <c r="E175" s="61">
        <f t="shared" si="38"/>
        <v>100000</v>
      </c>
      <c r="F175" s="61">
        <f t="shared" si="38"/>
        <v>0</v>
      </c>
      <c r="G175" s="61">
        <f t="shared" si="38"/>
        <v>0</v>
      </c>
      <c r="H175" s="61">
        <f t="shared" si="38"/>
        <v>0</v>
      </c>
      <c r="I175" s="61">
        <f t="shared" si="38"/>
        <v>0</v>
      </c>
      <c r="J175" s="61">
        <f t="shared" si="38"/>
        <v>0</v>
      </c>
      <c r="K175" s="61">
        <f t="shared" si="38"/>
        <v>0</v>
      </c>
      <c r="L175" s="61">
        <f t="shared" si="38"/>
        <v>0</v>
      </c>
      <c r="M175" s="61">
        <f t="shared" si="38"/>
        <v>0</v>
      </c>
      <c r="N175" s="61">
        <f t="shared" si="38"/>
        <v>0</v>
      </c>
      <c r="O175" s="61">
        <f t="shared" si="38"/>
        <v>100000</v>
      </c>
    </row>
    <row r="176" spans="1:15" s="79" customFormat="1" ht="25.5" customHeight="1" x14ac:dyDescent="0.25">
      <c r="A176" s="46" t="s">
        <v>277</v>
      </c>
      <c r="B176" s="51" t="s">
        <v>83</v>
      </c>
      <c r="C176" s="3" t="s">
        <v>278</v>
      </c>
      <c r="D176" s="62">
        <f>'дод 3'!E55</f>
        <v>100000</v>
      </c>
      <c r="E176" s="62">
        <f>'дод 3'!F55</f>
        <v>100000</v>
      </c>
      <c r="F176" s="62">
        <f>'дод 3'!G55</f>
        <v>0</v>
      </c>
      <c r="G176" s="62">
        <f>'дод 3'!H55</f>
        <v>0</v>
      </c>
      <c r="H176" s="62">
        <f>'дод 3'!I55</f>
        <v>0</v>
      </c>
      <c r="I176" s="62">
        <f>'дод 3'!J55</f>
        <v>0</v>
      </c>
      <c r="J176" s="62">
        <f>'дод 3'!K55</f>
        <v>0</v>
      </c>
      <c r="K176" s="62">
        <f>'дод 3'!L55</f>
        <v>0</v>
      </c>
      <c r="L176" s="62">
        <f>'дод 3'!M55</f>
        <v>0</v>
      </c>
      <c r="M176" s="62">
        <f>'дод 3'!N55</f>
        <v>0</v>
      </c>
      <c r="N176" s="62">
        <f>'дод 3'!O55</f>
        <v>0</v>
      </c>
      <c r="O176" s="62">
        <f>'дод 3'!P55</f>
        <v>100000</v>
      </c>
    </row>
    <row r="177" spans="1:15" s="79" customFormat="1" ht="26.25" customHeight="1" x14ac:dyDescent="0.25">
      <c r="A177" s="47" t="s">
        <v>102</v>
      </c>
      <c r="B177" s="47" t="s">
        <v>97</v>
      </c>
      <c r="C177" s="2" t="s">
        <v>11</v>
      </c>
      <c r="D177" s="61">
        <f>'дод 3'!E243</f>
        <v>712065</v>
      </c>
      <c r="E177" s="61">
        <f>'дод 3'!F243</f>
        <v>712065</v>
      </c>
      <c r="F177" s="61">
        <f>'дод 3'!G243</f>
        <v>0</v>
      </c>
      <c r="G177" s="61">
        <f>'дод 3'!H243</f>
        <v>0</v>
      </c>
      <c r="H177" s="61">
        <f>'дод 3'!I243</f>
        <v>0</v>
      </c>
      <c r="I177" s="61">
        <f>'дод 3'!J243</f>
        <v>0</v>
      </c>
      <c r="J177" s="61">
        <f>'дод 3'!K243</f>
        <v>0</v>
      </c>
      <c r="K177" s="61">
        <f>'дод 3'!L243</f>
        <v>0</v>
      </c>
      <c r="L177" s="61">
        <f>'дод 3'!M243</f>
        <v>0</v>
      </c>
      <c r="M177" s="61">
        <f>'дод 3'!N243</f>
        <v>0</v>
      </c>
      <c r="N177" s="61">
        <f>'дод 3'!O243</f>
        <v>0</v>
      </c>
      <c r="O177" s="61">
        <f>'дод 3'!P243</f>
        <v>712065</v>
      </c>
    </row>
    <row r="178" spans="1:15" s="79" customFormat="1" ht="26.25" customHeight="1" x14ac:dyDescent="0.25">
      <c r="A178" s="47" t="s">
        <v>12</v>
      </c>
      <c r="B178" s="47" t="s">
        <v>100</v>
      </c>
      <c r="C178" s="2" t="s">
        <v>21</v>
      </c>
      <c r="D178" s="61">
        <f>'дод 3'!E244</f>
        <v>10000000</v>
      </c>
      <c r="E178" s="61">
        <f>'дод 3'!F244</f>
        <v>0</v>
      </c>
      <c r="F178" s="61">
        <f>'дод 3'!G244</f>
        <v>0</v>
      </c>
      <c r="G178" s="61">
        <f>'дод 3'!H244</f>
        <v>0</v>
      </c>
      <c r="H178" s="61">
        <f>'дод 3'!I244</f>
        <v>0</v>
      </c>
      <c r="I178" s="61">
        <f>'дод 3'!J244</f>
        <v>0</v>
      </c>
      <c r="J178" s="61">
        <f>'дод 3'!K244</f>
        <v>0</v>
      </c>
      <c r="K178" s="61">
        <f>'дод 3'!L244</f>
        <v>0</v>
      </c>
      <c r="L178" s="61">
        <f>'дод 3'!M244</f>
        <v>0</v>
      </c>
      <c r="M178" s="61">
        <f>'дод 3'!N244</f>
        <v>0</v>
      </c>
      <c r="N178" s="61">
        <f>'дод 3'!O244</f>
        <v>0</v>
      </c>
      <c r="O178" s="61">
        <f>'дод 3'!P244</f>
        <v>10000000</v>
      </c>
    </row>
    <row r="179" spans="1:15" s="79" customFormat="1" ht="27.75" customHeight="1" x14ac:dyDescent="0.25">
      <c r="A179" s="47" t="s">
        <v>13</v>
      </c>
      <c r="B179" s="47"/>
      <c r="C179" s="2" t="s">
        <v>118</v>
      </c>
      <c r="D179" s="61">
        <f>D180+D182+D186+D188</f>
        <v>136211439</v>
      </c>
      <c r="E179" s="61">
        <f t="shared" ref="E179:O179" si="39">E180+E182+E186+E188</f>
        <v>136211439</v>
      </c>
      <c r="F179" s="61">
        <f t="shared" si="39"/>
        <v>8026186</v>
      </c>
      <c r="G179" s="61">
        <f t="shared" si="39"/>
        <v>0</v>
      </c>
      <c r="H179" s="61">
        <f t="shared" si="39"/>
        <v>0</v>
      </c>
      <c r="I179" s="61">
        <f t="shared" si="39"/>
        <v>8101000</v>
      </c>
      <c r="J179" s="61">
        <f t="shared" si="39"/>
        <v>8101000</v>
      </c>
      <c r="K179" s="61">
        <f t="shared" si="39"/>
        <v>0</v>
      </c>
      <c r="L179" s="61">
        <f t="shared" si="39"/>
        <v>0</v>
      </c>
      <c r="M179" s="61">
        <f t="shared" si="39"/>
        <v>0</v>
      </c>
      <c r="N179" s="61">
        <f t="shared" si="39"/>
        <v>8101000</v>
      </c>
      <c r="O179" s="61">
        <f t="shared" si="39"/>
        <v>144312439</v>
      </c>
    </row>
    <row r="180" spans="1:15" s="79" customFormat="1" ht="21.75" customHeight="1" x14ac:dyDescent="0.25">
      <c r="A180" s="47" t="s">
        <v>275</v>
      </c>
      <c r="B180" s="47"/>
      <c r="C180" s="2" t="s">
        <v>326</v>
      </c>
      <c r="D180" s="61">
        <f t="shared" ref="D180:O180" si="40">D181</f>
        <v>108116600</v>
      </c>
      <c r="E180" s="61">
        <f t="shared" si="40"/>
        <v>108116600</v>
      </c>
      <c r="F180" s="61">
        <f t="shared" si="40"/>
        <v>0</v>
      </c>
      <c r="G180" s="61">
        <f t="shared" si="40"/>
        <v>0</v>
      </c>
      <c r="H180" s="61">
        <f t="shared" si="40"/>
        <v>0</v>
      </c>
      <c r="I180" s="61">
        <f t="shared" si="40"/>
        <v>0</v>
      </c>
      <c r="J180" s="61">
        <f t="shared" si="40"/>
        <v>0</v>
      </c>
      <c r="K180" s="61">
        <f t="shared" si="40"/>
        <v>0</v>
      </c>
      <c r="L180" s="61">
        <f t="shared" si="40"/>
        <v>0</v>
      </c>
      <c r="M180" s="61">
        <f t="shared" si="40"/>
        <v>0</v>
      </c>
      <c r="N180" s="61">
        <f t="shared" si="40"/>
        <v>0</v>
      </c>
      <c r="O180" s="61">
        <f t="shared" si="40"/>
        <v>108116600</v>
      </c>
    </row>
    <row r="181" spans="1:15" s="79" customFormat="1" ht="21.75" customHeight="1" x14ac:dyDescent="0.25">
      <c r="A181" s="46" t="s">
        <v>98</v>
      </c>
      <c r="B181" s="51" t="s">
        <v>49</v>
      </c>
      <c r="C181" s="3" t="s">
        <v>117</v>
      </c>
      <c r="D181" s="62">
        <f>'дод 3'!E245</f>
        <v>108116600</v>
      </c>
      <c r="E181" s="62">
        <f>'дод 3'!F245</f>
        <v>108116600</v>
      </c>
      <c r="F181" s="62">
        <f>'дод 3'!G245</f>
        <v>0</v>
      </c>
      <c r="G181" s="62">
        <f>'дод 3'!H245</f>
        <v>0</v>
      </c>
      <c r="H181" s="62">
        <f>'дод 3'!I245</f>
        <v>0</v>
      </c>
      <c r="I181" s="62">
        <f>'дод 3'!J245</f>
        <v>0</v>
      </c>
      <c r="J181" s="62">
        <f>'дод 3'!K245</f>
        <v>0</v>
      </c>
      <c r="K181" s="62">
        <f>'дод 3'!L245</f>
        <v>0</v>
      </c>
      <c r="L181" s="62">
        <f>'дод 3'!M245</f>
        <v>0</v>
      </c>
      <c r="M181" s="62">
        <f>'дод 3'!N245</f>
        <v>0</v>
      </c>
      <c r="N181" s="62">
        <f>'дод 3'!O245</f>
        <v>0</v>
      </c>
      <c r="O181" s="62">
        <f>'дод 3'!P245</f>
        <v>108116600</v>
      </c>
    </row>
    <row r="182" spans="1:15" s="79" customFormat="1" ht="64.5" customHeight="1" x14ac:dyDescent="0.25">
      <c r="A182" s="47">
        <v>9300</v>
      </c>
      <c r="B182" s="48"/>
      <c r="C182" s="2" t="s">
        <v>514</v>
      </c>
      <c r="D182" s="61">
        <f>D184</f>
        <v>9791954</v>
      </c>
      <c r="E182" s="61">
        <f t="shared" ref="E182:O183" si="41">E184</f>
        <v>9791954</v>
      </c>
      <c r="F182" s="61">
        <f t="shared" si="41"/>
        <v>8026186</v>
      </c>
      <c r="G182" s="61">
        <f t="shared" si="41"/>
        <v>0</v>
      </c>
      <c r="H182" s="61">
        <f t="shared" si="41"/>
        <v>0</v>
      </c>
      <c r="I182" s="61">
        <f t="shared" si="41"/>
        <v>0</v>
      </c>
      <c r="J182" s="61">
        <f t="shared" si="41"/>
        <v>0</v>
      </c>
      <c r="K182" s="61">
        <f t="shared" si="41"/>
        <v>0</v>
      </c>
      <c r="L182" s="61">
        <f t="shared" si="41"/>
        <v>0</v>
      </c>
      <c r="M182" s="61">
        <f t="shared" si="41"/>
        <v>0</v>
      </c>
      <c r="N182" s="61">
        <f t="shared" si="41"/>
        <v>0</v>
      </c>
      <c r="O182" s="61">
        <f t="shared" si="41"/>
        <v>9791954</v>
      </c>
    </row>
    <row r="183" spans="1:15" s="80" customFormat="1" ht="41.25" customHeight="1" x14ac:dyDescent="0.25">
      <c r="A183" s="149"/>
      <c r="B183" s="168"/>
      <c r="C183" s="171" t="s">
        <v>453</v>
      </c>
      <c r="D183" s="170">
        <f>D185</f>
        <v>9791954</v>
      </c>
      <c r="E183" s="170">
        <f t="shared" si="41"/>
        <v>9791954</v>
      </c>
      <c r="F183" s="170">
        <f t="shared" si="41"/>
        <v>8026186</v>
      </c>
      <c r="G183" s="170">
        <f t="shared" si="41"/>
        <v>0</v>
      </c>
      <c r="H183" s="170">
        <f t="shared" si="41"/>
        <v>0</v>
      </c>
      <c r="I183" s="170">
        <f t="shared" si="41"/>
        <v>0</v>
      </c>
      <c r="J183" s="170">
        <f t="shared" si="41"/>
        <v>0</v>
      </c>
      <c r="K183" s="170">
        <f t="shared" si="41"/>
        <v>0</v>
      </c>
      <c r="L183" s="170">
        <f t="shared" si="41"/>
        <v>0</v>
      </c>
      <c r="M183" s="170">
        <f t="shared" si="41"/>
        <v>0</v>
      </c>
      <c r="N183" s="170">
        <f t="shared" si="41"/>
        <v>0</v>
      </c>
      <c r="O183" s="170">
        <f t="shared" si="41"/>
        <v>9791954</v>
      </c>
    </row>
    <row r="184" spans="1:15" s="79" customFormat="1" ht="48" customHeight="1" x14ac:dyDescent="0.25">
      <c r="A184" s="46">
        <v>9310</v>
      </c>
      <c r="B184" s="51" t="s">
        <v>49</v>
      </c>
      <c r="C184" s="3" t="s">
        <v>513</v>
      </c>
      <c r="D184" s="62">
        <f>'дод 3'!E95</f>
        <v>9791954</v>
      </c>
      <c r="E184" s="62">
        <f>'дод 3'!F95</f>
        <v>9791954</v>
      </c>
      <c r="F184" s="62">
        <f>'дод 3'!G95</f>
        <v>8026186</v>
      </c>
      <c r="G184" s="62">
        <f>'дод 3'!H95</f>
        <v>0</v>
      </c>
      <c r="H184" s="62">
        <f>'дод 3'!I95</f>
        <v>0</v>
      </c>
      <c r="I184" s="62">
        <f>'дод 3'!J95</f>
        <v>0</v>
      </c>
      <c r="J184" s="62">
        <f>'дод 3'!K95</f>
        <v>0</v>
      </c>
      <c r="K184" s="62">
        <f>'дод 3'!L95</f>
        <v>0</v>
      </c>
      <c r="L184" s="62">
        <f>'дод 3'!M95</f>
        <v>0</v>
      </c>
      <c r="M184" s="62">
        <f>'дод 3'!N95</f>
        <v>0</v>
      </c>
      <c r="N184" s="62">
        <f>'дод 3'!O95</f>
        <v>0</v>
      </c>
      <c r="O184" s="62">
        <f>'дод 3'!P95</f>
        <v>9791954</v>
      </c>
    </row>
    <row r="185" spans="1:15" s="79" customFormat="1" ht="36.75" customHeight="1" x14ac:dyDescent="0.25">
      <c r="A185" s="46"/>
      <c r="B185" s="51"/>
      <c r="C185" s="181" t="s">
        <v>453</v>
      </c>
      <c r="D185" s="174">
        <f>'дод 3'!E96</f>
        <v>9791954</v>
      </c>
      <c r="E185" s="174">
        <f>'дод 3'!F96</f>
        <v>9791954</v>
      </c>
      <c r="F185" s="174">
        <f>'дод 3'!G96</f>
        <v>8026186</v>
      </c>
      <c r="G185" s="174">
        <f>'дод 3'!H96</f>
        <v>0</v>
      </c>
      <c r="H185" s="174">
        <f>'дод 3'!I96</f>
        <v>0</v>
      </c>
      <c r="I185" s="174">
        <f>'дод 3'!J96</f>
        <v>0</v>
      </c>
      <c r="J185" s="174">
        <f>'дод 3'!K96</f>
        <v>0</v>
      </c>
      <c r="K185" s="174">
        <f>'дод 3'!L96</f>
        <v>0</v>
      </c>
      <c r="L185" s="174">
        <f>'дод 3'!M96</f>
        <v>0</v>
      </c>
      <c r="M185" s="174">
        <f>'дод 3'!N96</f>
        <v>0</v>
      </c>
      <c r="N185" s="174">
        <f>'дод 3'!O96</f>
        <v>0</v>
      </c>
      <c r="O185" s="174">
        <f>'дод 3'!P96</f>
        <v>9791954</v>
      </c>
    </row>
    <row r="186" spans="1:15" s="79" customFormat="1" ht="50.25" customHeight="1" x14ac:dyDescent="0.25">
      <c r="A186" s="47" t="s">
        <v>14</v>
      </c>
      <c r="B186" s="48"/>
      <c r="C186" s="2" t="s">
        <v>382</v>
      </c>
      <c r="D186" s="61">
        <f t="shared" ref="D186:O186" si="42">D187</f>
        <v>17462000</v>
      </c>
      <c r="E186" s="61">
        <f t="shared" si="42"/>
        <v>17462000</v>
      </c>
      <c r="F186" s="61">
        <f t="shared" si="42"/>
        <v>0</v>
      </c>
      <c r="G186" s="61">
        <f t="shared" si="42"/>
        <v>0</v>
      </c>
      <c r="H186" s="61">
        <f t="shared" si="42"/>
        <v>0</v>
      </c>
      <c r="I186" s="61">
        <f t="shared" si="42"/>
        <v>7632000</v>
      </c>
      <c r="J186" s="61">
        <f t="shared" si="42"/>
        <v>7632000</v>
      </c>
      <c r="K186" s="61">
        <f t="shared" si="42"/>
        <v>0</v>
      </c>
      <c r="L186" s="61">
        <f t="shared" si="42"/>
        <v>0</v>
      </c>
      <c r="M186" s="61">
        <f t="shared" si="42"/>
        <v>0</v>
      </c>
      <c r="N186" s="61">
        <f t="shared" si="42"/>
        <v>7632000</v>
      </c>
      <c r="O186" s="61">
        <f t="shared" si="42"/>
        <v>25094000</v>
      </c>
    </row>
    <row r="187" spans="1:15" s="79" customFormat="1" ht="30.75" customHeight="1" x14ac:dyDescent="0.25">
      <c r="A187" s="46" t="s">
        <v>15</v>
      </c>
      <c r="B187" s="51" t="s">
        <v>49</v>
      </c>
      <c r="C187" s="6" t="s">
        <v>391</v>
      </c>
      <c r="D187" s="62">
        <f>'дод 3'!E200+'дод 3'!E156+'дод 3'!E97</f>
        <v>17462000</v>
      </c>
      <c r="E187" s="62">
        <f>'дод 3'!F200+'дод 3'!F156+'дод 3'!F97</f>
        <v>17462000</v>
      </c>
      <c r="F187" s="62">
        <f>'дод 3'!G200+'дод 3'!G156+'дод 3'!G97</f>
        <v>0</v>
      </c>
      <c r="G187" s="62">
        <f>'дод 3'!H200+'дод 3'!H156+'дод 3'!H97</f>
        <v>0</v>
      </c>
      <c r="H187" s="62">
        <f>'дод 3'!I200+'дод 3'!I156+'дод 3'!I97</f>
        <v>0</v>
      </c>
      <c r="I187" s="62">
        <f>'дод 3'!J200+'дод 3'!J156+'дод 3'!J97</f>
        <v>7632000</v>
      </c>
      <c r="J187" s="62">
        <f>'дод 3'!K200+'дод 3'!K156+'дод 3'!K97</f>
        <v>7632000</v>
      </c>
      <c r="K187" s="62">
        <f>'дод 3'!L200+'дод 3'!L156+'дод 3'!L97</f>
        <v>0</v>
      </c>
      <c r="L187" s="62">
        <f>'дод 3'!M200+'дод 3'!M156+'дод 3'!M97</f>
        <v>0</v>
      </c>
      <c r="M187" s="62">
        <f>'дод 3'!N200+'дод 3'!N156+'дод 3'!N97</f>
        <v>0</v>
      </c>
      <c r="N187" s="62">
        <f>'дод 3'!O200+'дод 3'!O156+'дод 3'!O97</f>
        <v>7632000</v>
      </c>
      <c r="O187" s="62">
        <f>'дод 3'!P200+'дод 3'!P156+'дод 3'!P97</f>
        <v>25094000</v>
      </c>
    </row>
    <row r="188" spans="1:15" s="79" customFormat="1" ht="55.5" customHeight="1" x14ac:dyDescent="0.25">
      <c r="A188" s="47" t="s">
        <v>414</v>
      </c>
      <c r="B188" s="48" t="s">
        <v>49</v>
      </c>
      <c r="C188" s="9" t="s">
        <v>411</v>
      </c>
      <c r="D188" s="62">
        <f>'дод 3'!E98+'дод 3'!E56</f>
        <v>840885</v>
      </c>
      <c r="E188" s="62">
        <f>'дод 3'!F98+'дод 3'!F56</f>
        <v>840885</v>
      </c>
      <c r="F188" s="62">
        <f>'дод 3'!G98+'дод 3'!G56</f>
        <v>0</v>
      </c>
      <c r="G188" s="62">
        <f>'дод 3'!H98+'дод 3'!H56</f>
        <v>0</v>
      </c>
      <c r="H188" s="62">
        <f>'дод 3'!I98+'дод 3'!I56</f>
        <v>0</v>
      </c>
      <c r="I188" s="62">
        <f>'дод 3'!J98+'дод 3'!J56</f>
        <v>469000</v>
      </c>
      <c r="J188" s="62">
        <f>'дод 3'!K98+'дод 3'!K56</f>
        <v>469000</v>
      </c>
      <c r="K188" s="62">
        <f>'дод 3'!L98+'дод 3'!L56</f>
        <v>0</v>
      </c>
      <c r="L188" s="62">
        <f>'дод 3'!M98+'дод 3'!M56</f>
        <v>0</v>
      </c>
      <c r="M188" s="62">
        <f>'дод 3'!N98+'дод 3'!N56</f>
        <v>0</v>
      </c>
      <c r="N188" s="62">
        <f>'дод 3'!O98+'дод 3'!O56</f>
        <v>469000</v>
      </c>
      <c r="O188" s="62">
        <f>'дод 3'!P98+'дод 3'!P56</f>
        <v>1309885</v>
      </c>
    </row>
    <row r="189" spans="1:15" s="79" customFormat="1" ht="25.5" customHeight="1" x14ac:dyDescent="0.25">
      <c r="A189" s="7"/>
      <c r="B189" s="7"/>
      <c r="C189" s="2" t="s">
        <v>489</v>
      </c>
      <c r="D189" s="61">
        <f t="shared" ref="D189:O189" si="43">D19+D22+D50+D70+D101+D106+D113+D122+D163+D179</f>
        <v>2028509337.0000002</v>
      </c>
      <c r="E189" s="61">
        <f t="shared" si="43"/>
        <v>1946997899.0000002</v>
      </c>
      <c r="F189" s="61">
        <f t="shared" si="43"/>
        <v>899639742</v>
      </c>
      <c r="G189" s="61">
        <f t="shared" si="43"/>
        <v>107654468</v>
      </c>
      <c r="H189" s="61">
        <f t="shared" si="43"/>
        <v>71511438</v>
      </c>
      <c r="I189" s="61">
        <f t="shared" si="43"/>
        <v>669164655.30999994</v>
      </c>
      <c r="J189" s="61">
        <f t="shared" si="43"/>
        <v>508513408.66999996</v>
      </c>
      <c r="K189" s="61">
        <f t="shared" si="43"/>
        <v>144003011.00999999</v>
      </c>
      <c r="L189" s="61">
        <f t="shared" si="43"/>
        <v>9012497</v>
      </c>
      <c r="M189" s="61">
        <f t="shared" si="43"/>
        <v>3810541</v>
      </c>
      <c r="N189" s="61">
        <f t="shared" si="43"/>
        <v>525161644.29999995</v>
      </c>
      <c r="O189" s="61">
        <f t="shared" si="43"/>
        <v>2697673992.3099999</v>
      </c>
    </row>
    <row r="190" spans="1:15" s="80" customFormat="1" ht="18" customHeight="1" x14ac:dyDescent="0.25">
      <c r="A190" s="180"/>
      <c r="B190" s="180"/>
      <c r="C190" s="169" t="s">
        <v>466</v>
      </c>
      <c r="D190" s="170">
        <f>D23+D51+D123+D183</f>
        <v>423878400</v>
      </c>
      <c r="E190" s="170">
        <f t="shared" ref="E190:O190" si="44">E23+E51+E123+E183</f>
        <v>423878400</v>
      </c>
      <c r="F190" s="170">
        <f t="shared" si="44"/>
        <v>304728600</v>
      </c>
      <c r="G190" s="170">
        <f t="shared" si="44"/>
        <v>0</v>
      </c>
      <c r="H190" s="170">
        <f t="shared" si="44"/>
        <v>0</v>
      </c>
      <c r="I190" s="170">
        <f t="shared" si="44"/>
        <v>1187498.93</v>
      </c>
      <c r="J190" s="170">
        <f t="shared" si="44"/>
        <v>1187498.93</v>
      </c>
      <c r="K190" s="170">
        <f t="shared" si="44"/>
        <v>0</v>
      </c>
      <c r="L190" s="170">
        <f t="shared" si="44"/>
        <v>0</v>
      </c>
      <c r="M190" s="170">
        <f t="shared" si="44"/>
        <v>0</v>
      </c>
      <c r="N190" s="170">
        <f t="shared" si="44"/>
        <v>1187498.93</v>
      </c>
      <c r="O190" s="170">
        <f t="shared" si="44"/>
        <v>425065898.93000001</v>
      </c>
    </row>
    <row r="191" spans="1:15" s="80" customFormat="1" ht="31.5" x14ac:dyDescent="0.25">
      <c r="A191" s="180"/>
      <c r="B191" s="180"/>
      <c r="C191" s="169" t="s">
        <v>467</v>
      </c>
      <c r="D191" s="170">
        <f t="shared" ref="D191:O191" si="45">D24</f>
        <v>2739700</v>
      </c>
      <c r="E191" s="170">
        <f t="shared" si="45"/>
        <v>2739700</v>
      </c>
      <c r="F191" s="170">
        <f t="shared" si="45"/>
        <v>2249257</v>
      </c>
      <c r="G191" s="170">
        <f t="shared" si="45"/>
        <v>0</v>
      </c>
      <c r="H191" s="170">
        <f t="shared" si="45"/>
        <v>0</v>
      </c>
      <c r="I191" s="170">
        <f t="shared" si="45"/>
        <v>0</v>
      </c>
      <c r="J191" s="170">
        <f t="shared" si="45"/>
        <v>0</v>
      </c>
      <c r="K191" s="170">
        <f t="shared" si="45"/>
        <v>0</v>
      </c>
      <c r="L191" s="170">
        <f t="shared" si="45"/>
        <v>0</v>
      </c>
      <c r="M191" s="170">
        <f t="shared" si="45"/>
        <v>0</v>
      </c>
      <c r="N191" s="170">
        <f t="shared" si="45"/>
        <v>0</v>
      </c>
      <c r="O191" s="170">
        <f t="shared" si="45"/>
        <v>2739700</v>
      </c>
    </row>
    <row r="192" spans="1:15" s="80" customFormat="1" ht="31.5" x14ac:dyDescent="0.25">
      <c r="A192" s="180"/>
      <c r="B192" s="180"/>
      <c r="C192" s="169" t="s">
        <v>468</v>
      </c>
      <c r="D192" s="170">
        <f t="shared" ref="D192:O192" si="46">D25+D26+D27+D28+D52+D53+D54+D71+D124+D164</f>
        <v>23307363.739999998</v>
      </c>
      <c r="E192" s="170">
        <f t="shared" si="46"/>
        <v>23307363.739999998</v>
      </c>
      <c r="F192" s="170">
        <f t="shared" si="46"/>
        <v>2774450</v>
      </c>
      <c r="G192" s="170">
        <f t="shared" si="46"/>
        <v>0</v>
      </c>
      <c r="H192" s="170">
        <f t="shared" si="46"/>
        <v>0</v>
      </c>
      <c r="I192" s="170">
        <f t="shared" si="46"/>
        <v>82108465</v>
      </c>
      <c r="J192" s="170">
        <f t="shared" si="46"/>
        <v>2108465</v>
      </c>
      <c r="K192" s="170">
        <f t="shared" si="46"/>
        <v>80000000</v>
      </c>
      <c r="L192" s="170">
        <f t="shared" si="46"/>
        <v>0</v>
      </c>
      <c r="M192" s="170">
        <f t="shared" si="46"/>
        <v>0</v>
      </c>
      <c r="N192" s="170">
        <f t="shared" si="46"/>
        <v>2108465</v>
      </c>
      <c r="O192" s="170">
        <f t="shared" si="46"/>
        <v>105415828.73999999</v>
      </c>
    </row>
    <row r="193" spans="1:24" s="80" customFormat="1" ht="23.25" customHeight="1" x14ac:dyDescent="0.25">
      <c r="A193" s="149"/>
      <c r="B193" s="149"/>
      <c r="C193" s="177" t="s">
        <v>509</v>
      </c>
      <c r="D193" s="170">
        <f>D125</f>
        <v>0</v>
      </c>
      <c r="E193" s="170">
        <f t="shared" ref="E193:O193" si="47">E125</f>
        <v>0</v>
      </c>
      <c r="F193" s="170">
        <f t="shared" si="47"/>
        <v>0</v>
      </c>
      <c r="G193" s="170">
        <f t="shared" si="47"/>
        <v>0</v>
      </c>
      <c r="H193" s="170">
        <f t="shared" si="47"/>
        <v>0</v>
      </c>
      <c r="I193" s="170">
        <f t="shared" si="47"/>
        <v>58776907</v>
      </c>
      <c r="J193" s="170">
        <f t="shared" si="47"/>
        <v>58776907</v>
      </c>
      <c r="K193" s="170">
        <f t="shared" si="47"/>
        <v>0</v>
      </c>
      <c r="L193" s="170">
        <f t="shared" si="47"/>
        <v>0</v>
      </c>
      <c r="M193" s="170">
        <f t="shared" si="47"/>
        <v>0</v>
      </c>
      <c r="N193" s="170">
        <f t="shared" si="47"/>
        <v>58776907</v>
      </c>
      <c r="O193" s="170">
        <f t="shared" si="47"/>
        <v>58776907</v>
      </c>
    </row>
    <row r="194" spans="1:24" s="79" customFormat="1" ht="25.5" customHeight="1" x14ac:dyDescent="0.25">
      <c r="A194" s="133"/>
      <c r="B194" s="133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1:24" s="54" customFormat="1" x14ac:dyDescent="0.25">
      <c r="A195" s="103"/>
      <c r="B195" s="53"/>
      <c r="C195" s="53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24" ht="15.75" customHeight="1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1:24" ht="28.5" customHeight="1" x14ac:dyDescent="0.45">
      <c r="A197" s="125" t="s">
        <v>426</v>
      </c>
      <c r="B197" s="125"/>
      <c r="C197" s="125"/>
      <c r="D197" s="125"/>
      <c r="E197" s="125"/>
      <c r="F197" s="125"/>
      <c r="G197" s="125"/>
      <c r="H197" s="125"/>
      <c r="I197" s="126"/>
      <c r="J197" s="126"/>
      <c r="K197" s="126"/>
      <c r="L197" s="127"/>
      <c r="M197" s="127"/>
      <c r="N197" s="185" t="s">
        <v>427</v>
      </c>
      <c r="O197" s="185"/>
      <c r="P197" s="185"/>
    </row>
    <row r="198" spans="1:24" ht="30" customHeight="1" x14ac:dyDescent="0.45">
      <c r="A198" s="128"/>
      <c r="B198" s="128"/>
      <c r="C198" s="128"/>
      <c r="D198" s="129"/>
      <c r="E198" s="130"/>
      <c r="F198" s="130"/>
      <c r="G198" s="130"/>
      <c r="H198" s="130"/>
      <c r="I198" s="130"/>
      <c r="J198" s="130"/>
      <c r="K198" s="131"/>
      <c r="L198" s="130"/>
      <c r="M198" s="130"/>
      <c r="N198" s="34"/>
      <c r="O198" s="34"/>
      <c r="P198" s="34"/>
    </row>
    <row r="199" spans="1:24" ht="30" customHeight="1" x14ac:dyDescent="0.4">
      <c r="A199" s="132" t="s">
        <v>494</v>
      </c>
      <c r="B199" s="107"/>
      <c r="C199" s="107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1:24" ht="34.5" customHeight="1" x14ac:dyDescent="0.4">
      <c r="A200" s="132" t="s">
        <v>428</v>
      </c>
      <c r="B200" s="107"/>
      <c r="C200" s="107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1:24" s="117" customFormat="1" ht="35.25" customHeight="1" x14ac:dyDescent="0.5">
      <c r="A201" s="115"/>
      <c r="B201" s="115"/>
      <c r="C201" s="115"/>
      <c r="D201" s="115"/>
      <c r="E201" s="115"/>
      <c r="F201" s="115"/>
      <c r="G201" s="115"/>
      <c r="H201" s="115"/>
      <c r="I201" s="116"/>
      <c r="J201" s="116"/>
      <c r="K201" s="116"/>
      <c r="M201" s="193"/>
      <c r="N201" s="193"/>
      <c r="O201" s="193"/>
      <c r="P201" s="100"/>
      <c r="Q201" s="118"/>
      <c r="R201" s="118"/>
      <c r="S201" s="118"/>
      <c r="T201" s="118"/>
      <c r="U201" s="118"/>
      <c r="V201" s="118"/>
      <c r="W201" s="119"/>
      <c r="X201" s="120"/>
    </row>
    <row r="202" spans="1:24" ht="23.25" customHeight="1" x14ac:dyDescent="0.25"/>
    <row r="204" spans="1:24" ht="22.5" customHeight="1" x14ac:dyDescent="0.25"/>
  </sheetData>
  <mergeCells count="23">
    <mergeCell ref="M201:O201"/>
    <mergeCell ref="N197:P197"/>
    <mergeCell ref="I16:N16"/>
    <mergeCell ref="H17:H18"/>
    <mergeCell ref="I17:I18"/>
    <mergeCell ref="J17:J18"/>
    <mergeCell ref="O16:O18"/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2020-06-26T11:14:55Z</cp:lastPrinted>
  <dcterms:created xsi:type="dcterms:W3CDTF">2014-01-17T10:52:16Z</dcterms:created>
  <dcterms:modified xsi:type="dcterms:W3CDTF">2020-06-26T11:16:22Z</dcterms:modified>
</cp:coreProperties>
</file>