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Березень\СМР\Доопрацьовано\"/>
    </mc:Choice>
  </mc:AlternateContent>
  <bookViews>
    <workbookView xWindow="0" yWindow="0" windowWidth="19200" windowHeight="11460" tabRatio="495" activeTab="1"/>
  </bookViews>
  <sheets>
    <sheet name="дод 3 " sheetId="1" r:id="rId1"/>
    <sheet name="дод 4" sheetId="3" r:id="rId2"/>
  </sheets>
  <definedNames>
    <definedName name="_xlnm.Print_Titles" localSheetId="0">'дод 3 '!$14:$16</definedName>
    <definedName name="_xlnm.Print_Titles" localSheetId="1">'дод 4'!$15:$17</definedName>
    <definedName name="_xlnm.Print_Area" localSheetId="0">'дод 3 '!$A$1:$P$208</definedName>
    <definedName name="_xlnm.Print_Area" localSheetId="1">'дод 4'!$A$1:$O$161</definedName>
  </definedNames>
  <calcPr calcId="162913"/>
</workbook>
</file>

<file path=xl/calcChain.xml><?xml version="1.0" encoding="utf-8"?>
<calcChain xmlns="http://schemas.openxmlformats.org/spreadsheetml/2006/main">
  <c r="K135" i="1" l="1"/>
  <c r="O135" i="1"/>
  <c r="F141" i="1"/>
  <c r="F140" i="1"/>
  <c r="F89" i="1" l="1"/>
  <c r="O168" i="1"/>
  <c r="K168" i="1"/>
  <c r="O162" i="1"/>
  <c r="K162" i="1"/>
  <c r="O143" i="1"/>
  <c r="K143" i="1"/>
  <c r="O141" i="1"/>
  <c r="K141" i="1"/>
  <c r="O140" i="1"/>
  <c r="K140" i="1"/>
  <c r="F113" i="1"/>
  <c r="F98" i="1" l="1"/>
  <c r="O56" i="1"/>
  <c r="O55" i="1"/>
  <c r="K56" i="1"/>
  <c r="K55" i="1"/>
  <c r="F56" i="1"/>
  <c r="G56" i="1"/>
  <c r="G55" i="1"/>
  <c r="F55" i="1"/>
  <c r="O54" i="1"/>
  <c r="O53" i="1"/>
  <c r="K54" i="1"/>
  <c r="K53" i="1"/>
  <c r="F54" i="1"/>
  <c r="G54" i="1"/>
  <c r="G53" i="1"/>
  <c r="F53" i="1"/>
  <c r="F85" i="1" l="1"/>
  <c r="F81" i="1"/>
  <c r="O79" i="1"/>
  <c r="K79" i="1"/>
  <c r="F79" i="1"/>
  <c r="O177" i="1"/>
  <c r="L177" i="1"/>
  <c r="O91" i="1" l="1"/>
  <c r="F127" i="1"/>
  <c r="F124" i="1"/>
  <c r="F123" i="1"/>
  <c r="O103" i="1"/>
  <c r="K103" i="1"/>
  <c r="O63" i="1"/>
  <c r="K63" i="1"/>
  <c r="F69" i="1"/>
  <c r="F60" i="1"/>
  <c r="F57" i="1"/>
  <c r="F43" i="1"/>
  <c r="F36" i="1"/>
  <c r="F34" i="1"/>
  <c r="K34" i="1"/>
  <c r="O34" i="1"/>
  <c r="O33" i="1"/>
  <c r="K33" i="1"/>
  <c r="F33" i="1"/>
  <c r="F31" i="1"/>
  <c r="F32" i="1"/>
  <c r="F29" i="1"/>
  <c r="O112" i="1"/>
  <c r="K112" i="1"/>
  <c r="F112" i="1"/>
  <c r="F100" i="1"/>
  <c r="K91" i="1"/>
  <c r="O142" i="1"/>
  <c r="K142" i="1"/>
  <c r="F103" i="1"/>
  <c r="F132" i="1" l="1"/>
  <c r="G132" i="1"/>
  <c r="H132" i="1"/>
  <c r="I132" i="1"/>
  <c r="K132" i="1"/>
  <c r="L132" i="1"/>
  <c r="M132" i="1"/>
  <c r="N132" i="1"/>
  <c r="O132" i="1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D116" i="3"/>
  <c r="J150" i="1"/>
  <c r="I116" i="3" s="1"/>
  <c r="I113" i="3" s="1"/>
  <c r="E150" i="1"/>
  <c r="J149" i="1"/>
  <c r="I115" i="3" s="1"/>
  <c r="E149" i="1"/>
  <c r="H131" i="1"/>
  <c r="M131" i="1"/>
  <c r="N131" i="1"/>
  <c r="C149" i="1"/>
  <c r="D149" i="1"/>
  <c r="B149" i="1"/>
  <c r="E113" i="3"/>
  <c r="F113" i="3"/>
  <c r="G113" i="3"/>
  <c r="H113" i="3"/>
  <c r="J113" i="3"/>
  <c r="K113" i="3"/>
  <c r="L113" i="3"/>
  <c r="M113" i="3"/>
  <c r="N113" i="3"/>
  <c r="D113" i="3"/>
  <c r="E197" i="1"/>
  <c r="P149" i="1" l="1"/>
  <c r="O115" i="3" s="1"/>
  <c r="P150" i="1"/>
  <c r="O116" i="3" s="1"/>
  <c r="O113" i="3" s="1"/>
  <c r="D115" i="3"/>
  <c r="N108" i="3"/>
  <c r="M108" i="3"/>
  <c r="L108" i="3"/>
  <c r="K108" i="3"/>
  <c r="J108" i="3"/>
  <c r="H108" i="3"/>
  <c r="G108" i="3"/>
  <c r="F108" i="3"/>
  <c r="E108" i="3"/>
  <c r="N76" i="1"/>
  <c r="M76" i="1"/>
  <c r="L76" i="1"/>
  <c r="I76" i="1"/>
  <c r="H76" i="1"/>
  <c r="J90" i="1"/>
  <c r="E90" i="1"/>
  <c r="D90" i="1"/>
  <c r="C90" i="1"/>
  <c r="B90" i="1"/>
  <c r="D169" i="1"/>
  <c r="C169" i="1"/>
  <c r="B169" i="1"/>
  <c r="D144" i="1"/>
  <c r="C144" i="1"/>
  <c r="B144" i="1"/>
  <c r="P90" i="1" l="1"/>
  <c r="N160" i="1"/>
  <c r="M160" i="1"/>
  <c r="L160" i="1"/>
  <c r="I160" i="1"/>
  <c r="H160" i="1"/>
  <c r="J169" i="1"/>
  <c r="E169" i="1"/>
  <c r="O165" i="1"/>
  <c r="K165" i="1"/>
  <c r="J144" i="1"/>
  <c r="E144" i="1"/>
  <c r="D108" i="3" s="1"/>
  <c r="F137" i="1"/>
  <c r="P169" i="1" l="1"/>
  <c r="I108" i="3"/>
  <c r="P144" i="1"/>
  <c r="O108" i="3" s="1"/>
  <c r="O166" i="1" l="1"/>
  <c r="O163" i="1"/>
  <c r="L42" i="1" l="1"/>
  <c r="O123" i="1" l="1"/>
  <c r="K123" i="1"/>
  <c r="N126" i="3" l="1"/>
  <c r="M126" i="3"/>
  <c r="L126" i="3"/>
  <c r="J126" i="3"/>
  <c r="H126" i="3"/>
  <c r="G126" i="3"/>
  <c r="F126" i="3"/>
  <c r="E126" i="3"/>
  <c r="N148" i="3"/>
  <c r="M148" i="3"/>
  <c r="L148" i="3"/>
  <c r="K148" i="3"/>
  <c r="J148" i="3"/>
  <c r="H148" i="3"/>
  <c r="G148" i="3"/>
  <c r="F148" i="3"/>
  <c r="E148" i="3"/>
  <c r="N111" i="3" l="1"/>
  <c r="N101" i="3" s="1"/>
  <c r="N97" i="3" s="1"/>
  <c r="M111" i="3"/>
  <c r="M101" i="3" s="1"/>
  <c r="M97" i="3" s="1"/>
  <c r="L111" i="3"/>
  <c r="L101" i="3" s="1"/>
  <c r="L97" i="3" s="1"/>
  <c r="K111" i="3"/>
  <c r="K101" i="3" s="1"/>
  <c r="K97" i="3" s="1"/>
  <c r="J111" i="3"/>
  <c r="H111" i="3"/>
  <c r="H101" i="3" s="1"/>
  <c r="H97" i="3" s="1"/>
  <c r="G111" i="3"/>
  <c r="G101" i="3" s="1"/>
  <c r="G97" i="3" s="1"/>
  <c r="F111" i="3"/>
  <c r="F101" i="3" s="1"/>
  <c r="F97" i="3" s="1"/>
  <c r="E111" i="3"/>
  <c r="E101" i="3" s="1"/>
  <c r="E97" i="3" s="1"/>
  <c r="M110" i="3"/>
  <c r="L110" i="3"/>
  <c r="K110" i="3"/>
  <c r="H110" i="3"/>
  <c r="G110" i="3"/>
  <c r="F110" i="3"/>
  <c r="E110" i="3"/>
  <c r="O137" i="1" l="1"/>
  <c r="K137" i="1"/>
  <c r="K182" i="1" l="1"/>
  <c r="L174" i="1"/>
  <c r="L195" i="1" l="1"/>
  <c r="G180" i="1"/>
  <c r="F180" i="1"/>
  <c r="F175" i="1"/>
  <c r="J172" i="1"/>
  <c r="E172" i="1"/>
  <c r="O167" i="1"/>
  <c r="K167" i="1"/>
  <c r="O154" i="1"/>
  <c r="L153" i="1"/>
  <c r="L131" i="1" s="1"/>
  <c r="O147" i="1"/>
  <c r="J147" i="1" s="1"/>
  <c r="K147" i="1"/>
  <c r="E148" i="1"/>
  <c r="E132" i="1" s="1"/>
  <c r="E147" i="1"/>
  <c r="J148" i="1"/>
  <c r="J132" i="1" s="1"/>
  <c r="F133" i="1"/>
  <c r="F125" i="1"/>
  <c r="O124" i="1"/>
  <c r="K124" i="1"/>
  <c r="K121" i="1" s="1"/>
  <c r="F122" i="1"/>
  <c r="F95" i="1"/>
  <c r="F86" i="1"/>
  <c r="F80" i="1"/>
  <c r="F78" i="1"/>
  <c r="F76" i="1" s="1"/>
  <c r="P172" i="1" l="1"/>
  <c r="P147" i="1"/>
  <c r="K126" i="3"/>
  <c r="P148" i="1"/>
  <c r="P132" i="1" s="1"/>
  <c r="O51" i="1"/>
  <c r="N51" i="1"/>
  <c r="M51" i="1"/>
  <c r="L51" i="1"/>
  <c r="I51" i="1"/>
  <c r="H51" i="1"/>
  <c r="G51" i="1"/>
  <c r="N50" i="1"/>
  <c r="M50" i="1"/>
  <c r="I50" i="1"/>
  <c r="E74" i="1"/>
  <c r="J74" i="1"/>
  <c r="I148" i="3" s="1"/>
  <c r="L73" i="1"/>
  <c r="L50" i="1" s="1"/>
  <c r="O69" i="1"/>
  <c r="K69" i="1"/>
  <c r="F63" i="1"/>
  <c r="P74" i="1" l="1"/>
  <c r="O148" i="3" s="1"/>
  <c r="D148" i="3"/>
  <c r="J71" i="1"/>
  <c r="E71" i="1"/>
  <c r="D111" i="3" s="1"/>
  <c r="D101" i="3" s="1"/>
  <c r="D97" i="3" s="1"/>
  <c r="P71" i="1" l="1"/>
  <c r="O111" i="3" s="1"/>
  <c r="O101" i="3" s="1"/>
  <c r="O97" i="3" s="1"/>
  <c r="I111" i="3"/>
  <c r="I101" i="3" s="1"/>
  <c r="I97" i="3" s="1"/>
  <c r="J101" i="3"/>
  <c r="J97" i="3" s="1"/>
  <c r="F59" i="1"/>
  <c r="O57" i="1"/>
  <c r="K57" i="1"/>
  <c r="O70" i="1"/>
  <c r="N110" i="3" s="1"/>
  <c r="K70" i="1"/>
  <c r="J110" i="3" s="1"/>
  <c r="E70" i="1"/>
  <c r="F51" i="1"/>
  <c r="F52" i="1"/>
  <c r="F45" i="1"/>
  <c r="F35" i="1"/>
  <c r="F28" i="1"/>
  <c r="F23" i="1"/>
  <c r="F19" i="1"/>
  <c r="G19" i="1"/>
  <c r="F50" i="1" l="1"/>
  <c r="K50" i="1"/>
  <c r="O50" i="1"/>
  <c r="J70" i="1"/>
  <c r="P70" i="1" s="1"/>
  <c r="O136" i="1"/>
  <c r="K136" i="1"/>
  <c r="J170" i="1" l="1"/>
  <c r="I110" i="3" s="1"/>
  <c r="E170" i="1"/>
  <c r="D110" i="3" s="1"/>
  <c r="K166" i="1"/>
  <c r="O164" i="1"/>
  <c r="K164" i="1"/>
  <c r="P170" i="1" l="1"/>
  <c r="O110" i="3" s="1"/>
  <c r="O38" i="1" l="1"/>
  <c r="K38" i="1"/>
  <c r="F38" i="1"/>
  <c r="G117" i="1" l="1"/>
  <c r="F117" i="1"/>
  <c r="F109" i="1" l="1"/>
  <c r="G191" i="1"/>
  <c r="F191" i="1"/>
  <c r="G183" i="1"/>
  <c r="F183" i="1"/>
  <c r="G175" i="1"/>
  <c r="K160" i="1"/>
  <c r="G161" i="1"/>
  <c r="G160" i="1" s="1"/>
  <c r="F161" i="1"/>
  <c r="F160" i="1" s="1"/>
  <c r="G158" i="1"/>
  <c r="F158" i="1"/>
  <c r="I151" i="1"/>
  <c r="F151" i="1"/>
  <c r="G133" i="1"/>
  <c r="G131" i="1" s="1"/>
  <c r="G122" i="1"/>
  <c r="G95" i="1"/>
  <c r="G78" i="1"/>
  <c r="G76" i="1" s="1"/>
  <c r="G52" i="1"/>
  <c r="N129" i="3" l="1"/>
  <c r="N128" i="3" s="1"/>
  <c r="M129" i="3"/>
  <c r="M128" i="3" s="1"/>
  <c r="L129" i="3"/>
  <c r="L128" i="3" s="1"/>
  <c r="K129" i="3"/>
  <c r="K128" i="3" s="1"/>
  <c r="J129" i="3"/>
  <c r="J128" i="3" s="1"/>
  <c r="H129" i="3"/>
  <c r="H128" i="3" s="1"/>
  <c r="G129" i="3"/>
  <c r="G128" i="3" s="1"/>
  <c r="F129" i="3"/>
  <c r="F128" i="3" s="1"/>
  <c r="E129" i="3"/>
  <c r="E128" i="3" s="1"/>
  <c r="J92" i="1"/>
  <c r="I129" i="3" s="1"/>
  <c r="I128" i="3" s="1"/>
  <c r="E92" i="1"/>
  <c r="D129" i="3" s="1"/>
  <c r="D128" i="3" s="1"/>
  <c r="P92" i="1" l="1"/>
  <c r="D97" i="1"/>
  <c r="O129" i="3" l="1"/>
  <c r="O128" i="3" s="1"/>
  <c r="C167" i="1" l="1"/>
  <c r="D167" i="1"/>
  <c r="B167" i="1"/>
  <c r="E105" i="3"/>
  <c r="F105" i="3"/>
  <c r="G105" i="3"/>
  <c r="H105" i="3"/>
  <c r="J105" i="3"/>
  <c r="K105" i="3"/>
  <c r="L105" i="3"/>
  <c r="M105" i="3"/>
  <c r="N105" i="3"/>
  <c r="D105" i="3"/>
  <c r="J167" i="1"/>
  <c r="I105" i="3" s="1"/>
  <c r="P167" i="1" l="1"/>
  <c r="O105" i="3" s="1"/>
  <c r="E37" i="3"/>
  <c r="F37" i="3"/>
  <c r="G37" i="3"/>
  <c r="H37" i="3"/>
  <c r="I37" i="3"/>
  <c r="J37" i="3"/>
  <c r="K37" i="3"/>
  <c r="L37" i="3"/>
  <c r="M37" i="3"/>
  <c r="N37" i="3"/>
  <c r="E66" i="1"/>
  <c r="P66" i="1" s="1"/>
  <c r="O37" i="3" s="1"/>
  <c r="K51" i="1"/>
  <c r="J54" i="1"/>
  <c r="I24" i="3" s="1"/>
  <c r="E24" i="3"/>
  <c r="F24" i="3"/>
  <c r="G24" i="3"/>
  <c r="H24" i="3"/>
  <c r="J24" i="3"/>
  <c r="K24" i="3"/>
  <c r="L24" i="3"/>
  <c r="M24" i="3"/>
  <c r="N24" i="3"/>
  <c r="E54" i="1"/>
  <c r="D24" i="3" s="1"/>
  <c r="G50" i="1"/>
  <c r="P54" i="1" l="1"/>
  <c r="O24" i="3" s="1"/>
  <c r="D37" i="3"/>
  <c r="O40" i="1"/>
  <c r="K40" i="1"/>
  <c r="K18" i="1" s="1"/>
  <c r="F136" i="1" l="1"/>
  <c r="F131" i="1" s="1"/>
  <c r="I136" i="1"/>
  <c r="I131" i="1" s="1"/>
  <c r="D114" i="1" l="1"/>
  <c r="E147" i="3"/>
  <c r="F147" i="3"/>
  <c r="G147" i="3"/>
  <c r="H147" i="3"/>
  <c r="K147" i="3"/>
  <c r="L147" i="3"/>
  <c r="M147" i="3"/>
  <c r="F127" i="3"/>
  <c r="G127" i="3"/>
  <c r="H127" i="3"/>
  <c r="J127" i="3"/>
  <c r="K127" i="3"/>
  <c r="L127" i="3"/>
  <c r="M127" i="3"/>
  <c r="N127" i="3"/>
  <c r="E107" i="3"/>
  <c r="F107" i="3"/>
  <c r="G107" i="3"/>
  <c r="H107" i="3"/>
  <c r="J107" i="3"/>
  <c r="K107" i="3"/>
  <c r="L107" i="3"/>
  <c r="M107" i="3"/>
  <c r="N107" i="3"/>
  <c r="F95" i="3"/>
  <c r="G95" i="3"/>
  <c r="H95" i="3"/>
  <c r="J95" i="3"/>
  <c r="K95" i="3"/>
  <c r="L95" i="3"/>
  <c r="M95" i="3"/>
  <c r="N95" i="3"/>
  <c r="F19" i="3"/>
  <c r="G19" i="3"/>
  <c r="H19" i="3"/>
  <c r="J19" i="3"/>
  <c r="K19" i="3"/>
  <c r="L19" i="3"/>
  <c r="M19" i="3"/>
  <c r="N19" i="3"/>
  <c r="G94" i="1"/>
  <c r="H94" i="1"/>
  <c r="I94" i="1"/>
  <c r="L94" i="1"/>
  <c r="M94" i="1"/>
  <c r="N94" i="1"/>
  <c r="G190" i="1"/>
  <c r="H190" i="1"/>
  <c r="I190" i="1"/>
  <c r="K190" i="1"/>
  <c r="L190" i="1"/>
  <c r="M190" i="1"/>
  <c r="N190" i="1"/>
  <c r="O190" i="1"/>
  <c r="G182" i="1"/>
  <c r="H182" i="1"/>
  <c r="L182" i="1"/>
  <c r="M182" i="1"/>
  <c r="N182" i="1"/>
  <c r="O182" i="1"/>
  <c r="G174" i="1"/>
  <c r="H174" i="1"/>
  <c r="I174" i="1"/>
  <c r="K174" i="1"/>
  <c r="M174" i="1"/>
  <c r="N174" i="1"/>
  <c r="O174" i="1"/>
  <c r="G121" i="1"/>
  <c r="H121" i="1"/>
  <c r="I121" i="1"/>
  <c r="L121" i="1"/>
  <c r="M121" i="1"/>
  <c r="N121" i="1"/>
  <c r="G116" i="1"/>
  <c r="H116" i="1"/>
  <c r="I116" i="1"/>
  <c r="K116" i="1"/>
  <c r="L116" i="1"/>
  <c r="M116" i="1"/>
  <c r="N116" i="1"/>
  <c r="O116" i="1"/>
  <c r="G75" i="1"/>
  <c r="H75" i="1"/>
  <c r="I75" i="1"/>
  <c r="L75" i="1"/>
  <c r="M75" i="1"/>
  <c r="N75" i="1"/>
  <c r="G77" i="1"/>
  <c r="G200" i="1" s="1"/>
  <c r="H77" i="1"/>
  <c r="H200" i="1" s="1"/>
  <c r="I77" i="1"/>
  <c r="I200" i="1" s="1"/>
  <c r="K77" i="1"/>
  <c r="K200" i="1" s="1"/>
  <c r="L77" i="1"/>
  <c r="L200" i="1" s="1"/>
  <c r="M77" i="1"/>
  <c r="M200" i="1" s="1"/>
  <c r="N77" i="1"/>
  <c r="N200" i="1" s="1"/>
  <c r="O77" i="1"/>
  <c r="O200" i="1" s="1"/>
  <c r="G18" i="1"/>
  <c r="H18" i="1"/>
  <c r="I18" i="1"/>
  <c r="L18" i="1"/>
  <c r="M18" i="1"/>
  <c r="N18" i="1"/>
  <c r="F77" i="1" l="1"/>
  <c r="F200" i="1" s="1"/>
  <c r="H60" i="1" l="1"/>
  <c r="H50" i="1" s="1"/>
  <c r="O155" i="1"/>
  <c r="N147" i="3" s="1"/>
  <c r="K155" i="1"/>
  <c r="J147" i="3" s="1"/>
  <c r="F185" i="1" l="1"/>
  <c r="I185" i="1"/>
  <c r="I182" i="1" s="1"/>
  <c r="F188" i="1" l="1"/>
  <c r="E127" i="3" s="1"/>
  <c r="O152" i="1"/>
  <c r="O131" i="1" s="1"/>
  <c r="K152" i="1"/>
  <c r="K131" i="1" s="1"/>
  <c r="F182" i="1" l="1"/>
  <c r="F174" i="1"/>
  <c r="F116" i="1"/>
  <c r="F75" i="1"/>
  <c r="E19" i="3" l="1"/>
  <c r="O18" i="1"/>
  <c r="O121" i="1"/>
  <c r="D155" i="1" l="1"/>
  <c r="F39" i="1" l="1"/>
  <c r="F196" i="1" l="1"/>
  <c r="F190" i="1" s="1"/>
  <c r="F121" i="1" l="1"/>
  <c r="O83" i="1" l="1"/>
  <c r="O76" i="1" s="1"/>
  <c r="K83" i="1"/>
  <c r="K76" i="1" s="1"/>
  <c r="O75" i="1" l="1"/>
  <c r="K75" i="1"/>
  <c r="E138" i="3"/>
  <c r="F138" i="3"/>
  <c r="G138" i="3"/>
  <c r="H138" i="3"/>
  <c r="J138" i="3"/>
  <c r="K138" i="3"/>
  <c r="L138" i="3"/>
  <c r="M138" i="3"/>
  <c r="N138" i="3"/>
  <c r="J129" i="1"/>
  <c r="E129" i="1"/>
  <c r="C129" i="1"/>
  <c r="D129" i="1"/>
  <c r="B129" i="1"/>
  <c r="P129" i="1" l="1"/>
  <c r="E20" i="3"/>
  <c r="F20" i="3"/>
  <c r="G20" i="3"/>
  <c r="H20" i="3"/>
  <c r="J20" i="3"/>
  <c r="K20" i="3"/>
  <c r="L20" i="3"/>
  <c r="M20" i="3"/>
  <c r="N20" i="3"/>
  <c r="E23" i="3"/>
  <c r="F23" i="3"/>
  <c r="G23" i="3"/>
  <c r="H23" i="3"/>
  <c r="K23" i="3"/>
  <c r="L23" i="3"/>
  <c r="M23" i="3"/>
  <c r="N23" i="3"/>
  <c r="E25" i="3"/>
  <c r="F25" i="3"/>
  <c r="G25" i="3"/>
  <c r="H25" i="3"/>
  <c r="K25" i="3"/>
  <c r="L25" i="3"/>
  <c r="M25" i="3"/>
  <c r="E26" i="3"/>
  <c r="F26" i="3"/>
  <c r="G26" i="3"/>
  <c r="H26" i="3"/>
  <c r="J26" i="3"/>
  <c r="K26" i="3"/>
  <c r="L26" i="3"/>
  <c r="M26" i="3"/>
  <c r="N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E31" i="3"/>
  <c r="F31" i="3"/>
  <c r="G31" i="3"/>
  <c r="H31" i="3"/>
  <c r="J31" i="3"/>
  <c r="K31" i="3"/>
  <c r="L31" i="3"/>
  <c r="M31" i="3"/>
  <c r="N31" i="3"/>
  <c r="E32" i="3"/>
  <c r="F32" i="3"/>
  <c r="G32" i="3"/>
  <c r="H32" i="3"/>
  <c r="J32" i="3"/>
  <c r="K32" i="3"/>
  <c r="L32" i="3"/>
  <c r="M32" i="3"/>
  <c r="N32" i="3"/>
  <c r="E33" i="3"/>
  <c r="F33" i="3"/>
  <c r="G33" i="3"/>
  <c r="H33" i="3"/>
  <c r="J33" i="3"/>
  <c r="K33" i="3"/>
  <c r="L33" i="3"/>
  <c r="M33" i="3"/>
  <c r="N33" i="3"/>
  <c r="E34" i="3"/>
  <c r="F34" i="3"/>
  <c r="G34" i="3"/>
  <c r="H34" i="3"/>
  <c r="J34" i="3"/>
  <c r="K34" i="3"/>
  <c r="L34" i="3"/>
  <c r="M34" i="3"/>
  <c r="N34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40" i="3"/>
  <c r="F40" i="3"/>
  <c r="G40" i="3"/>
  <c r="H40" i="3"/>
  <c r="J40" i="3"/>
  <c r="K40" i="3"/>
  <c r="L40" i="3"/>
  <c r="M40" i="3"/>
  <c r="N40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2" i="3"/>
  <c r="F52" i="3"/>
  <c r="G52" i="3"/>
  <c r="H52" i="3"/>
  <c r="K52" i="3"/>
  <c r="L52" i="3"/>
  <c r="M52" i="3"/>
  <c r="E53" i="3"/>
  <c r="F53" i="3"/>
  <c r="G53" i="3"/>
  <c r="H53" i="3"/>
  <c r="J53" i="3"/>
  <c r="K53" i="3"/>
  <c r="L53" i="3"/>
  <c r="M53" i="3"/>
  <c r="N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F68" i="3"/>
  <c r="G68" i="3"/>
  <c r="H68" i="3"/>
  <c r="J68" i="3"/>
  <c r="K68" i="3"/>
  <c r="L68" i="3"/>
  <c r="M68" i="3"/>
  <c r="N68" i="3"/>
  <c r="E69" i="3"/>
  <c r="F69" i="3"/>
  <c r="G69" i="3"/>
  <c r="H69" i="3"/>
  <c r="J69" i="3"/>
  <c r="K69" i="3"/>
  <c r="L69" i="3"/>
  <c r="M69" i="3"/>
  <c r="N69" i="3"/>
  <c r="E70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6" i="3"/>
  <c r="F76" i="3"/>
  <c r="G76" i="3"/>
  <c r="H76" i="3"/>
  <c r="J76" i="3"/>
  <c r="K76" i="3"/>
  <c r="L76" i="3"/>
  <c r="M76" i="3"/>
  <c r="N76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E79" i="3"/>
  <c r="F79" i="3"/>
  <c r="G79" i="3"/>
  <c r="H79" i="3"/>
  <c r="J79" i="3"/>
  <c r="K79" i="3"/>
  <c r="L79" i="3"/>
  <c r="M79" i="3"/>
  <c r="N79" i="3"/>
  <c r="E81" i="3"/>
  <c r="F81" i="3"/>
  <c r="G81" i="3"/>
  <c r="H81" i="3"/>
  <c r="J81" i="3"/>
  <c r="K81" i="3"/>
  <c r="L81" i="3"/>
  <c r="M81" i="3"/>
  <c r="N81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88" i="3"/>
  <c r="F88" i="3"/>
  <c r="G88" i="3"/>
  <c r="H88" i="3"/>
  <c r="J88" i="3"/>
  <c r="K88" i="3"/>
  <c r="L88" i="3"/>
  <c r="M88" i="3"/>
  <c r="N88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9" i="3"/>
  <c r="E98" i="3" s="1"/>
  <c r="F99" i="3"/>
  <c r="F98" i="3" s="1"/>
  <c r="G99" i="3"/>
  <c r="G98" i="3" s="1"/>
  <c r="H99" i="3"/>
  <c r="H98" i="3" s="1"/>
  <c r="J99" i="3"/>
  <c r="J98" i="3" s="1"/>
  <c r="K99" i="3"/>
  <c r="K98" i="3" s="1"/>
  <c r="L99" i="3"/>
  <c r="L98" i="3" s="1"/>
  <c r="M99" i="3"/>
  <c r="M98" i="3" s="1"/>
  <c r="N99" i="3"/>
  <c r="N98" i="3" s="1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6" i="3"/>
  <c r="F106" i="3"/>
  <c r="G106" i="3"/>
  <c r="H106" i="3"/>
  <c r="J106" i="3"/>
  <c r="K106" i="3"/>
  <c r="L106" i="3"/>
  <c r="M106" i="3"/>
  <c r="N106" i="3"/>
  <c r="E109" i="3"/>
  <c r="F109" i="3"/>
  <c r="G109" i="3"/>
  <c r="H109" i="3"/>
  <c r="J109" i="3"/>
  <c r="K109" i="3"/>
  <c r="L109" i="3"/>
  <c r="M109" i="3"/>
  <c r="N109" i="3"/>
  <c r="E114" i="3"/>
  <c r="E112" i="3" s="1"/>
  <c r="F114" i="3"/>
  <c r="F112" i="3" s="1"/>
  <c r="G114" i="3"/>
  <c r="G112" i="3" s="1"/>
  <c r="H114" i="3"/>
  <c r="H112" i="3" s="1"/>
  <c r="J114" i="3"/>
  <c r="J112" i="3" s="1"/>
  <c r="K114" i="3"/>
  <c r="K112" i="3" s="1"/>
  <c r="L114" i="3"/>
  <c r="L112" i="3" s="1"/>
  <c r="M114" i="3"/>
  <c r="M112" i="3" s="1"/>
  <c r="N114" i="3"/>
  <c r="N112" i="3" s="1"/>
  <c r="E118" i="3"/>
  <c r="E117" i="3" s="1"/>
  <c r="F118" i="3"/>
  <c r="F117" i="3" s="1"/>
  <c r="G118" i="3"/>
  <c r="G117" i="3" s="1"/>
  <c r="H118" i="3"/>
  <c r="H117" i="3" s="1"/>
  <c r="J118" i="3"/>
  <c r="J117" i="3" s="1"/>
  <c r="K118" i="3"/>
  <c r="K117" i="3" s="1"/>
  <c r="L118" i="3"/>
  <c r="L117" i="3" s="1"/>
  <c r="M118" i="3"/>
  <c r="M117" i="3" s="1"/>
  <c r="N118" i="3"/>
  <c r="N117" i="3" s="1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F125" i="3"/>
  <c r="G125" i="3"/>
  <c r="H125" i="3"/>
  <c r="J125" i="3"/>
  <c r="K125" i="3"/>
  <c r="L125" i="3"/>
  <c r="M125" i="3"/>
  <c r="N125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5" i="3"/>
  <c r="E134" i="3" s="1"/>
  <c r="F135" i="3"/>
  <c r="F134" i="3" s="1"/>
  <c r="G135" i="3"/>
  <c r="G134" i="3" s="1"/>
  <c r="H135" i="3"/>
  <c r="H134" i="3" s="1"/>
  <c r="J135" i="3"/>
  <c r="J134" i="3" s="1"/>
  <c r="K135" i="3"/>
  <c r="K134" i="3" s="1"/>
  <c r="L135" i="3"/>
  <c r="L134" i="3" s="1"/>
  <c r="M135" i="3"/>
  <c r="M134" i="3" s="1"/>
  <c r="N135" i="3"/>
  <c r="N134" i="3" s="1"/>
  <c r="E137" i="3"/>
  <c r="E136" i="3" s="1"/>
  <c r="F137" i="3"/>
  <c r="F136" i="3" s="1"/>
  <c r="G137" i="3"/>
  <c r="H137" i="3"/>
  <c r="J137" i="3"/>
  <c r="K137" i="3"/>
  <c r="K136" i="3" s="1"/>
  <c r="L137" i="3"/>
  <c r="M137" i="3"/>
  <c r="M136" i="3" s="1"/>
  <c r="N137" i="3"/>
  <c r="E140" i="3"/>
  <c r="E139" i="3" s="1"/>
  <c r="F140" i="3"/>
  <c r="F139" i="3" s="1"/>
  <c r="G140" i="3"/>
  <c r="G139" i="3" s="1"/>
  <c r="H140" i="3"/>
  <c r="H139" i="3" s="1"/>
  <c r="J140" i="3"/>
  <c r="J139" i="3" s="1"/>
  <c r="K140" i="3"/>
  <c r="K139" i="3" s="1"/>
  <c r="L140" i="3"/>
  <c r="L139" i="3" s="1"/>
  <c r="M140" i="3"/>
  <c r="M139" i="3" s="1"/>
  <c r="N140" i="3"/>
  <c r="N139" i="3" s="1"/>
  <c r="E141" i="3"/>
  <c r="F141" i="3"/>
  <c r="G141" i="3"/>
  <c r="H141" i="3"/>
  <c r="J141" i="3"/>
  <c r="K141" i="3"/>
  <c r="L141" i="3"/>
  <c r="M141" i="3"/>
  <c r="N141" i="3"/>
  <c r="D142" i="3"/>
  <c r="E142" i="3"/>
  <c r="F142" i="3"/>
  <c r="G142" i="3"/>
  <c r="H142" i="3"/>
  <c r="J142" i="3"/>
  <c r="K142" i="3"/>
  <c r="L142" i="3"/>
  <c r="M142" i="3"/>
  <c r="N142" i="3"/>
  <c r="E145" i="3"/>
  <c r="E144" i="3" s="1"/>
  <c r="F145" i="3"/>
  <c r="F144" i="3" s="1"/>
  <c r="G145" i="3"/>
  <c r="G144" i="3" s="1"/>
  <c r="H145" i="3"/>
  <c r="H144" i="3" s="1"/>
  <c r="J145" i="3"/>
  <c r="J144" i="3" s="1"/>
  <c r="K145" i="3"/>
  <c r="K144" i="3" s="1"/>
  <c r="L145" i="3"/>
  <c r="L144" i="3" s="1"/>
  <c r="M145" i="3"/>
  <c r="M144" i="3" s="1"/>
  <c r="N145" i="3"/>
  <c r="N144" i="3" s="1"/>
  <c r="E146" i="3"/>
  <c r="F146" i="3"/>
  <c r="G146" i="3"/>
  <c r="H146" i="3"/>
  <c r="J146" i="3"/>
  <c r="K146" i="3"/>
  <c r="L146" i="3"/>
  <c r="M146" i="3"/>
  <c r="N146" i="3"/>
  <c r="O171" i="1"/>
  <c r="O160" i="1" s="1"/>
  <c r="J53" i="1"/>
  <c r="I23" i="3" s="1"/>
  <c r="J192" i="1"/>
  <c r="J193" i="1"/>
  <c r="J194" i="1"/>
  <c r="I137" i="3" s="1"/>
  <c r="J195" i="1"/>
  <c r="J196" i="1"/>
  <c r="I141" i="3" s="1"/>
  <c r="J197" i="1"/>
  <c r="I142" i="3" s="1"/>
  <c r="J198" i="1"/>
  <c r="I145" i="3" s="1"/>
  <c r="I144" i="3" s="1"/>
  <c r="J191" i="1"/>
  <c r="J184" i="1"/>
  <c r="I99" i="3" s="1"/>
  <c r="I98" i="3" s="1"/>
  <c r="J185" i="1"/>
  <c r="J186" i="1"/>
  <c r="I122" i="3" s="1"/>
  <c r="J187" i="1"/>
  <c r="I123" i="3" s="1"/>
  <c r="J188" i="1"/>
  <c r="J183" i="1"/>
  <c r="J180" i="1"/>
  <c r="J162" i="1"/>
  <c r="J163" i="1"/>
  <c r="I94" i="3" s="1"/>
  <c r="J164" i="1"/>
  <c r="J165" i="1"/>
  <c r="I103" i="3" s="1"/>
  <c r="J166" i="1"/>
  <c r="I104" i="3" s="1"/>
  <c r="J168" i="1"/>
  <c r="J175" i="1"/>
  <c r="J176" i="1"/>
  <c r="J177" i="1"/>
  <c r="J161" i="1"/>
  <c r="J158" i="1"/>
  <c r="J134" i="1"/>
  <c r="J135" i="1"/>
  <c r="J136" i="1"/>
  <c r="I89" i="3" s="1"/>
  <c r="J137" i="1"/>
  <c r="I90" i="3" s="1"/>
  <c r="J138" i="1"/>
  <c r="I91" i="3" s="1"/>
  <c r="J139" i="1"/>
  <c r="I92" i="3" s="1"/>
  <c r="J140" i="1"/>
  <c r="J141" i="1"/>
  <c r="J142" i="1"/>
  <c r="J143" i="1"/>
  <c r="J145" i="1"/>
  <c r="I107" i="3" s="1"/>
  <c r="J146" i="1"/>
  <c r="I109" i="3" s="1"/>
  <c r="J151" i="1"/>
  <c r="J152" i="1"/>
  <c r="J154" i="1"/>
  <c r="J155" i="1"/>
  <c r="J133" i="1"/>
  <c r="J124" i="1"/>
  <c r="I76" i="3" s="1"/>
  <c r="J125" i="1"/>
  <c r="J126" i="1"/>
  <c r="J127" i="1"/>
  <c r="J128" i="1"/>
  <c r="J122" i="1"/>
  <c r="J118" i="1"/>
  <c r="I60" i="3" s="1"/>
  <c r="J119" i="1"/>
  <c r="I61" i="3" s="1"/>
  <c r="J117" i="1"/>
  <c r="J97" i="1"/>
  <c r="I53" i="3" s="1"/>
  <c r="J98" i="1"/>
  <c r="J99" i="1"/>
  <c r="I55" i="3" s="1"/>
  <c r="J100" i="1"/>
  <c r="J101" i="1"/>
  <c r="I57" i="3" s="1"/>
  <c r="J102" i="1"/>
  <c r="I58" i="3" s="1"/>
  <c r="J103" i="1"/>
  <c r="I59" i="3" s="1"/>
  <c r="J104" i="1"/>
  <c r="I65" i="3" s="1"/>
  <c r="J105" i="1"/>
  <c r="I66" i="3" s="1"/>
  <c r="J106" i="1"/>
  <c r="I67" i="3" s="1"/>
  <c r="J107" i="1"/>
  <c r="I68" i="3" s="1"/>
  <c r="J108" i="1"/>
  <c r="I69" i="3" s="1"/>
  <c r="J109" i="1"/>
  <c r="I70" i="3" s="1"/>
  <c r="J110" i="1"/>
  <c r="I71" i="3" s="1"/>
  <c r="J111" i="1"/>
  <c r="J112" i="1"/>
  <c r="J113" i="1"/>
  <c r="J114" i="1"/>
  <c r="J95" i="1"/>
  <c r="J79" i="1"/>
  <c r="I40" i="3" s="1"/>
  <c r="J80" i="1"/>
  <c r="J81" i="1"/>
  <c r="I42" i="3" s="1"/>
  <c r="J82" i="1"/>
  <c r="I43" i="3" s="1"/>
  <c r="J83" i="1"/>
  <c r="I44" i="3" s="1"/>
  <c r="J84" i="1"/>
  <c r="I45" i="3" s="1"/>
  <c r="J85" i="1"/>
  <c r="I46" i="3" s="1"/>
  <c r="J86" i="1"/>
  <c r="I47" i="3" s="1"/>
  <c r="J87" i="1"/>
  <c r="I48" i="3" s="1"/>
  <c r="J88" i="1"/>
  <c r="I49" i="3" s="1"/>
  <c r="J89" i="1"/>
  <c r="I50" i="3" s="1"/>
  <c r="J78" i="1"/>
  <c r="J56" i="1"/>
  <c r="J57" i="1"/>
  <c r="I27" i="3" s="1"/>
  <c r="J58" i="1"/>
  <c r="I28" i="3" s="1"/>
  <c r="J59" i="1"/>
  <c r="I29" i="3" s="1"/>
  <c r="J60" i="1"/>
  <c r="I31" i="3" s="1"/>
  <c r="J61" i="1"/>
  <c r="I32" i="3" s="1"/>
  <c r="J62" i="1"/>
  <c r="I33" i="3" s="1"/>
  <c r="J63" i="1"/>
  <c r="I34" i="3" s="1"/>
  <c r="J64" i="1"/>
  <c r="I35" i="3" s="1"/>
  <c r="J65" i="1"/>
  <c r="I36" i="3" s="1"/>
  <c r="J67" i="1"/>
  <c r="J68" i="1"/>
  <c r="J69" i="1"/>
  <c r="J72" i="1"/>
  <c r="J73" i="1"/>
  <c r="J52" i="1"/>
  <c r="J20" i="1"/>
  <c r="I20" i="3" s="1"/>
  <c r="J21" i="1"/>
  <c r="J22" i="1"/>
  <c r="J23" i="1"/>
  <c r="I62" i="3" s="1"/>
  <c r="J24" i="1"/>
  <c r="I63" i="3" s="1"/>
  <c r="J25" i="1"/>
  <c r="J26" i="1"/>
  <c r="J27" i="1"/>
  <c r="J28" i="1"/>
  <c r="J29" i="1"/>
  <c r="J30" i="1"/>
  <c r="J31" i="1"/>
  <c r="I81" i="3" s="1"/>
  <c r="J32" i="1"/>
  <c r="I82" i="3" s="1"/>
  <c r="J33" i="1"/>
  <c r="J34" i="1"/>
  <c r="I84" i="3" s="1"/>
  <c r="J35" i="1"/>
  <c r="I85" i="3" s="1"/>
  <c r="J36" i="1"/>
  <c r="I86" i="3" s="1"/>
  <c r="J37" i="1"/>
  <c r="I114" i="3" s="1"/>
  <c r="I112" i="3" s="1"/>
  <c r="J38" i="1"/>
  <c r="I118" i="3" s="1"/>
  <c r="I117" i="3" s="1"/>
  <c r="J39" i="1"/>
  <c r="J40" i="1"/>
  <c r="J41" i="1"/>
  <c r="I125" i="3" s="1"/>
  <c r="J42" i="1"/>
  <c r="J43" i="1"/>
  <c r="J44" i="1"/>
  <c r="I132" i="3" s="1"/>
  <c r="J45" i="1"/>
  <c r="I133" i="3" s="1"/>
  <c r="J46" i="1"/>
  <c r="I135" i="3" s="1"/>
  <c r="I134" i="3" s="1"/>
  <c r="J47" i="1"/>
  <c r="J48" i="1"/>
  <c r="I140" i="3" s="1"/>
  <c r="I139" i="3" s="1"/>
  <c r="J19" i="1"/>
  <c r="L100" i="3" l="1"/>
  <c r="G100" i="3"/>
  <c r="E100" i="3"/>
  <c r="N100" i="3"/>
  <c r="J100" i="3"/>
  <c r="M100" i="3"/>
  <c r="K100" i="3"/>
  <c r="H100" i="3"/>
  <c r="F100" i="3"/>
  <c r="M143" i="3"/>
  <c r="K143" i="3"/>
  <c r="H143" i="3"/>
  <c r="F143" i="3"/>
  <c r="N143" i="3"/>
  <c r="L143" i="3"/>
  <c r="J143" i="3"/>
  <c r="G143" i="3"/>
  <c r="E143" i="3"/>
  <c r="J51" i="1"/>
  <c r="J200" i="1" s="1"/>
  <c r="M39" i="3"/>
  <c r="K39" i="3"/>
  <c r="H39" i="3"/>
  <c r="F39" i="3"/>
  <c r="N39" i="3"/>
  <c r="L39" i="3"/>
  <c r="J39" i="3"/>
  <c r="G39" i="3"/>
  <c r="E39" i="3"/>
  <c r="I88" i="3"/>
  <c r="I95" i="3"/>
  <c r="J190" i="1"/>
  <c r="I19" i="3"/>
  <c r="I18" i="3" s="1"/>
  <c r="I127" i="3"/>
  <c r="K119" i="3"/>
  <c r="I147" i="3"/>
  <c r="I146" i="3" s="1"/>
  <c r="I143" i="3" s="1"/>
  <c r="N22" i="3"/>
  <c r="L22" i="3"/>
  <c r="J22" i="3"/>
  <c r="G22" i="3"/>
  <c r="E22" i="3"/>
  <c r="M22" i="3"/>
  <c r="K22" i="3"/>
  <c r="H22" i="3"/>
  <c r="F22" i="3"/>
  <c r="N87" i="3"/>
  <c r="L87" i="3"/>
  <c r="J87" i="3"/>
  <c r="G87" i="3"/>
  <c r="M87" i="3"/>
  <c r="K87" i="3"/>
  <c r="H87" i="3"/>
  <c r="F87" i="3"/>
  <c r="L51" i="3"/>
  <c r="H51" i="3"/>
  <c r="F51" i="3"/>
  <c r="M51" i="3"/>
  <c r="K51" i="3"/>
  <c r="G51" i="3"/>
  <c r="I38" i="3"/>
  <c r="N38" i="3"/>
  <c r="L38" i="3"/>
  <c r="J38" i="3"/>
  <c r="G38" i="3"/>
  <c r="E38" i="3"/>
  <c r="M38" i="3"/>
  <c r="K38" i="3"/>
  <c r="H38" i="3"/>
  <c r="F38" i="3"/>
  <c r="L21" i="3"/>
  <c r="H21" i="3"/>
  <c r="F21" i="3"/>
  <c r="M21" i="3"/>
  <c r="K21" i="3"/>
  <c r="G21" i="3"/>
  <c r="E21" i="3"/>
  <c r="I26" i="3"/>
  <c r="I22" i="3" s="1"/>
  <c r="J182" i="1"/>
  <c r="J174" i="1"/>
  <c r="J173" i="1" s="1"/>
  <c r="J171" i="1"/>
  <c r="J160" i="1" s="1"/>
  <c r="J116" i="1"/>
  <c r="I79" i="3"/>
  <c r="I77" i="3"/>
  <c r="I41" i="3"/>
  <c r="I39" i="3" s="1"/>
  <c r="J77" i="1"/>
  <c r="I124" i="3"/>
  <c r="I78" i="3"/>
  <c r="J18" i="1"/>
  <c r="E85" i="3"/>
  <c r="E80" i="3" s="1"/>
  <c r="I106" i="3"/>
  <c r="I102" i="3"/>
  <c r="L131" i="3"/>
  <c r="J131" i="3"/>
  <c r="G131" i="3"/>
  <c r="I74" i="3"/>
  <c r="I54" i="3"/>
  <c r="I138" i="3"/>
  <c r="I136" i="3" s="1"/>
  <c r="I120" i="3"/>
  <c r="I83" i="3"/>
  <c r="I80" i="3" s="1"/>
  <c r="I64" i="3"/>
  <c r="I72" i="3"/>
  <c r="N121" i="3"/>
  <c r="N119" i="3" s="1"/>
  <c r="N131" i="3"/>
  <c r="H131" i="3"/>
  <c r="M131" i="3"/>
  <c r="M130" i="3" s="1"/>
  <c r="K131" i="3"/>
  <c r="K130" i="3" s="1"/>
  <c r="F131" i="3"/>
  <c r="F130" i="3" s="1"/>
  <c r="E131" i="3"/>
  <c r="E130" i="3" s="1"/>
  <c r="L18" i="3"/>
  <c r="I93" i="3"/>
  <c r="I131" i="3"/>
  <c r="M80" i="3"/>
  <c r="F80" i="3"/>
  <c r="I73" i="3"/>
  <c r="I56" i="3"/>
  <c r="N136" i="3"/>
  <c r="L136" i="3"/>
  <c r="J136" i="3"/>
  <c r="H136" i="3"/>
  <c r="G136" i="3"/>
  <c r="M119" i="3"/>
  <c r="F119" i="3"/>
  <c r="K80" i="3"/>
  <c r="L75" i="3"/>
  <c r="H75" i="3"/>
  <c r="N18" i="3"/>
  <c r="J18" i="3"/>
  <c r="H18" i="3"/>
  <c r="G18" i="3"/>
  <c r="M18" i="3"/>
  <c r="K18" i="3"/>
  <c r="F18" i="3"/>
  <c r="E18" i="3"/>
  <c r="L119" i="3"/>
  <c r="H119" i="3"/>
  <c r="G119" i="3"/>
  <c r="N75" i="3"/>
  <c r="J75" i="3"/>
  <c r="G75" i="3"/>
  <c r="M75" i="3"/>
  <c r="K75" i="3"/>
  <c r="F75" i="3"/>
  <c r="E75" i="3"/>
  <c r="N80" i="3"/>
  <c r="L80" i="3"/>
  <c r="J80" i="3"/>
  <c r="H80" i="3"/>
  <c r="G80" i="3"/>
  <c r="J153" i="1"/>
  <c r="J131" i="1" s="1"/>
  <c r="I100" i="3" l="1"/>
  <c r="K150" i="3"/>
  <c r="L202" i="1" s="1"/>
  <c r="I126" i="3"/>
  <c r="G150" i="3"/>
  <c r="H202" i="1" s="1"/>
  <c r="J150" i="3"/>
  <c r="K202" i="1" s="1"/>
  <c r="N150" i="3"/>
  <c r="O202" i="1" s="1"/>
  <c r="M150" i="3"/>
  <c r="N202" i="1" s="1"/>
  <c r="H150" i="3"/>
  <c r="I202" i="1" s="1"/>
  <c r="I150" i="3"/>
  <c r="J202" i="1" s="1"/>
  <c r="E150" i="3"/>
  <c r="F202" i="1" s="1"/>
  <c r="L150" i="3"/>
  <c r="M202" i="1" s="1"/>
  <c r="F150" i="3"/>
  <c r="G202" i="1" s="1"/>
  <c r="I87" i="3"/>
  <c r="K96" i="3"/>
  <c r="K149" i="3" s="1"/>
  <c r="H96" i="3"/>
  <c r="M96" i="3"/>
  <c r="M149" i="3" s="1"/>
  <c r="G96" i="3"/>
  <c r="L96" i="3"/>
  <c r="F96" i="3"/>
  <c r="F149" i="3" s="1"/>
  <c r="N96" i="3"/>
  <c r="I75" i="3"/>
  <c r="L130" i="3"/>
  <c r="G130" i="3"/>
  <c r="N130" i="3"/>
  <c r="J130" i="3"/>
  <c r="I130" i="3"/>
  <c r="H130" i="3"/>
  <c r="F41" i="1"/>
  <c r="F18" i="1" s="1"/>
  <c r="E194" i="1"/>
  <c r="D137" i="3" s="1"/>
  <c r="C194" i="1"/>
  <c r="D194" i="1"/>
  <c r="B194" i="1"/>
  <c r="E95" i="3" l="1"/>
  <c r="E87" i="3" s="1"/>
  <c r="G149" i="3"/>
  <c r="L149" i="3"/>
  <c r="H149" i="3"/>
  <c r="E125" i="3"/>
  <c r="E119" i="3" s="1"/>
  <c r="E96" i="3" s="1"/>
  <c r="J91" i="1"/>
  <c r="J76" i="1" s="1"/>
  <c r="P194" i="1"/>
  <c r="O137" i="3" s="1"/>
  <c r="I121" i="3" l="1"/>
  <c r="I119" i="3" s="1"/>
  <c r="I96" i="3" s="1"/>
  <c r="J75" i="1"/>
  <c r="E146" i="1" l="1"/>
  <c r="C146" i="1"/>
  <c r="D146" i="1"/>
  <c r="B146" i="1"/>
  <c r="D109" i="3" l="1"/>
  <c r="P146" i="1"/>
  <c r="O109" i="3" s="1"/>
  <c r="F107" i="1"/>
  <c r="E68" i="3" l="1"/>
  <c r="F94" i="1"/>
  <c r="E51" i="3"/>
  <c r="E149" i="3" s="1"/>
  <c r="J23" i="3"/>
  <c r="N25" i="3" l="1"/>
  <c r="J25" i="3"/>
  <c r="J21" i="3" s="1"/>
  <c r="J55" i="1"/>
  <c r="J50" i="1" s="1"/>
  <c r="I25" i="3" l="1"/>
  <c r="N30" i="3"/>
  <c r="N21" i="3" s="1"/>
  <c r="J123" i="1"/>
  <c r="J121" i="1" s="1"/>
  <c r="D42" i="1"/>
  <c r="D177" i="1"/>
  <c r="D153" i="1"/>
  <c r="C125" i="1"/>
  <c r="D125" i="1"/>
  <c r="B125" i="1"/>
  <c r="D118" i="1"/>
  <c r="D65" i="1"/>
  <c r="D63" i="1"/>
  <c r="P197" i="1"/>
  <c r="O142" i="3" s="1"/>
  <c r="E192" i="1"/>
  <c r="E193" i="1"/>
  <c r="E195" i="1"/>
  <c r="E196" i="1"/>
  <c r="D141" i="3" s="1"/>
  <c r="E198" i="1"/>
  <c r="D145" i="3" s="1"/>
  <c r="D144" i="3" s="1"/>
  <c r="E191" i="1"/>
  <c r="K189" i="1"/>
  <c r="L189" i="1"/>
  <c r="M189" i="1"/>
  <c r="N189" i="1"/>
  <c r="O189" i="1"/>
  <c r="F189" i="1"/>
  <c r="G189" i="1"/>
  <c r="H189" i="1"/>
  <c r="I189" i="1"/>
  <c r="E184" i="1"/>
  <c r="D99" i="3" s="1"/>
  <c r="D98" i="3" s="1"/>
  <c r="E185" i="1"/>
  <c r="E186" i="1"/>
  <c r="D122" i="3" s="1"/>
  <c r="E187" i="1"/>
  <c r="D123" i="3" s="1"/>
  <c r="E188" i="1"/>
  <c r="E183" i="1"/>
  <c r="K181" i="1"/>
  <c r="L181" i="1"/>
  <c r="M181" i="1"/>
  <c r="N181" i="1"/>
  <c r="O181" i="1"/>
  <c r="F181" i="1"/>
  <c r="G181" i="1"/>
  <c r="H181" i="1"/>
  <c r="I181" i="1"/>
  <c r="J179" i="1"/>
  <c r="J178" i="1" s="1"/>
  <c r="E180" i="1"/>
  <c r="K179" i="1"/>
  <c r="K178" i="1" s="1"/>
  <c r="L179" i="1"/>
  <c r="L178" i="1" s="1"/>
  <c r="M179" i="1"/>
  <c r="M178" i="1" s="1"/>
  <c r="N179" i="1"/>
  <c r="N178" i="1" s="1"/>
  <c r="O179" i="1"/>
  <c r="O178" i="1" s="1"/>
  <c r="F179" i="1"/>
  <c r="F178" i="1" s="1"/>
  <c r="G179" i="1"/>
  <c r="G178" i="1" s="1"/>
  <c r="H179" i="1"/>
  <c r="H178" i="1" s="1"/>
  <c r="I179" i="1"/>
  <c r="I178" i="1" s="1"/>
  <c r="E179" i="1"/>
  <c r="E178" i="1" s="1"/>
  <c r="E176" i="1"/>
  <c r="E177" i="1"/>
  <c r="E175" i="1"/>
  <c r="K173" i="1"/>
  <c r="L173" i="1"/>
  <c r="M173" i="1"/>
  <c r="N173" i="1"/>
  <c r="O173" i="1"/>
  <c r="F173" i="1"/>
  <c r="G173" i="1"/>
  <c r="H173" i="1"/>
  <c r="I173" i="1"/>
  <c r="E162" i="1"/>
  <c r="E163" i="1"/>
  <c r="D94" i="3" s="1"/>
  <c r="E164" i="1"/>
  <c r="E165" i="1"/>
  <c r="D103" i="3" s="1"/>
  <c r="E166" i="1"/>
  <c r="D104" i="3" s="1"/>
  <c r="E168" i="1"/>
  <c r="E171" i="1"/>
  <c r="E161" i="1"/>
  <c r="K159" i="1"/>
  <c r="M159" i="1"/>
  <c r="N159" i="1"/>
  <c r="O159" i="1"/>
  <c r="F159" i="1"/>
  <c r="G159" i="1"/>
  <c r="H159" i="1"/>
  <c r="I159" i="1"/>
  <c r="J157" i="1"/>
  <c r="J156" i="1" s="1"/>
  <c r="E158" i="1"/>
  <c r="E157" i="1" s="1"/>
  <c r="E156" i="1" s="1"/>
  <c r="K157" i="1"/>
  <c r="K156" i="1" s="1"/>
  <c r="L157" i="1"/>
  <c r="L156" i="1" s="1"/>
  <c r="M157" i="1"/>
  <c r="M156" i="1" s="1"/>
  <c r="N157" i="1"/>
  <c r="N156" i="1" s="1"/>
  <c r="O157" i="1"/>
  <c r="O156" i="1" s="1"/>
  <c r="F157" i="1"/>
  <c r="F156" i="1" s="1"/>
  <c r="G157" i="1"/>
  <c r="G156" i="1" s="1"/>
  <c r="H157" i="1"/>
  <c r="H156" i="1" s="1"/>
  <c r="I157" i="1"/>
  <c r="I156" i="1" s="1"/>
  <c r="E134" i="1"/>
  <c r="P134" i="1" s="1"/>
  <c r="E135" i="1"/>
  <c r="D88" i="3" s="1"/>
  <c r="E136" i="1"/>
  <c r="E137" i="1"/>
  <c r="D90" i="3" s="1"/>
  <c r="E138" i="1"/>
  <c r="D91" i="3" s="1"/>
  <c r="E139" i="1"/>
  <c r="D92" i="3" s="1"/>
  <c r="E140" i="1"/>
  <c r="E141" i="1"/>
  <c r="E142" i="1"/>
  <c r="E143" i="1"/>
  <c r="P143" i="1" s="1"/>
  <c r="E145" i="1"/>
  <c r="D107" i="3" s="1"/>
  <c r="E151" i="1"/>
  <c r="E152" i="1"/>
  <c r="P152" i="1" s="1"/>
  <c r="E153" i="1"/>
  <c r="P153" i="1" s="1"/>
  <c r="E154" i="1"/>
  <c r="P154" i="1" s="1"/>
  <c r="E155" i="1"/>
  <c r="E133" i="1"/>
  <c r="K130" i="1"/>
  <c r="L130" i="1"/>
  <c r="M130" i="1"/>
  <c r="N130" i="1"/>
  <c r="O130" i="1"/>
  <c r="F130" i="1"/>
  <c r="G130" i="1"/>
  <c r="H130" i="1"/>
  <c r="I130" i="1"/>
  <c r="E123" i="1"/>
  <c r="D30" i="3" s="1"/>
  <c r="E124" i="1"/>
  <c r="D76" i="3" s="1"/>
  <c r="E125" i="1"/>
  <c r="E126" i="1"/>
  <c r="E127" i="1"/>
  <c r="E128" i="1"/>
  <c r="E122" i="1"/>
  <c r="K120" i="1"/>
  <c r="L120" i="1"/>
  <c r="M120" i="1"/>
  <c r="N120" i="1"/>
  <c r="F120" i="1"/>
  <c r="G120" i="1"/>
  <c r="H120" i="1"/>
  <c r="I120" i="1"/>
  <c r="E118" i="1"/>
  <c r="D60" i="3" s="1"/>
  <c r="E119" i="1"/>
  <c r="D61" i="3" s="1"/>
  <c r="E117" i="1"/>
  <c r="K115" i="1"/>
  <c r="L115" i="1"/>
  <c r="M115" i="1"/>
  <c r="N115" i="1"/>
  <c r="O115" i="1"/>
  <c r="F115" i="1"/>
  <c r="G115" i="1"/>
  <c r="H115" i="1"/>
  <c r="I115" i="1"/>
  <c r="E96" i="1"/>
  <c r="D52" i="3" s="1"/>
  <c r="E97" i="1"/>
  <c r="D53" i="3" s="1"/>
  <c r="E98" i="1"/>
  <c r="E99" i="1"/>
  <c r="D55" i="3" s="1"/>
  <c r="E100" i="1"/>
  <c r="E101" i="1"/>
  <c r="D57" i="3" s="1"/>
  <c r="E102" i="1"/>
  <c r="D58" i="3" s="1"/>
  <c r="E103" i="1"/>
  <c r="D59" i="3" s="1"/>
  <c r="E104" i="1"/>
  <c r="D65" i="3" s="1"/>
  <c r="E105" i="1"/>
  <c r="E106" i="1"/>
  <c r="D67" i="3" s="1"/>
  <c r="E107" i="1"/>
  <c r="D68" i="3" s="1"/>
  <c r="E108" i="1"/>
  <c r="D69" i="3" s="1"/>
  <c r="E109" i="1"/>
  <c r="D70" i="3" s="1"/>
  <c r="E110" i="1"/>
  <c r="D71" i="3" s="1"/>
  <c r="E111" i="1"/>
  <c r="E112" i="1"/>
  <c r="E113" i="1"/>
  <c r="P113" i="1" s="1"/>
  <c r="E114" i="1"/>
  <c r="E95" i="1"/>
  <c r="L93" i="1"/>
  <c r="M93" i="1"/>
  <c r="N93" i="1"/>
  <c r="F93" i="1"/>
  <c r="G93" i="1"/>
  <c r="H93" i="1"/>
  <c r="I93" i="1"/>
  <c r="E79" i="1"/>
  <c r="D40" i="3" s="1"/>
  <c r="E80" i="1"/>
  <c r="E81" i="1"/>
  <c r="D42" i="3" s="1"/>
  <c r="E82" i="1"/>
  <c r="D43" i="3" s="1"/>
  <c r="E83" i="1"/>
  <c r="D44" i="3" s="1"/>
  <c r="E84" i="1"/>
  <c r="D45" i="3" s="1"/>
  <c r="E85" i="1"/>
  <c r="D46" i="3" s="1"/>
  <c r="E86" i="1"/>
  <c r="D47" i="3" s="1"/>
  <c r="E87" i="1"/>
  <c r="D48" i="3" s="1"/>
  <c r="E88" i="1"/>
  <c r="D49" i="3" s="1"/>
  <c r="E89" i="1"/>
  <c r="D50" i="3" s="1"/>
  <c r="E91" i="1"/>
  <c r="E78" i="1"/>
  <c r="K49" i="1"/>
  <c r="L49" i="1"/>
  <c r="M49" i="1"/>
  <c r="N49" i="1"/>
  <c r="O49" i="1"/>
  <c r="F49" i="1"/>
  <c r="G49" i="1"/>
  <c r="H49" i="1"/>
  <c r="I49" i="1"/>
  <c r="E53" i="1"/>
  <c r="D23" i="3" s="1"/>
  <c r="E55" i="1"/>
  <c r="E56" i="1"/>
  <c r="E57" i="1"/>
  <c r="D27" i="3" s="1"/>
  <c r="E58" i="1"/>
  <c r="D28" i="3" s="1"/>
  <c r="E59" i="1"/>
  <c r="D29" i="3" s="1"/>
  <c r="E60" i="1"/>
  <c r="D31" i="3" s="1"/>
  <c r="E61" i="1"/>
  <c r="D32" i="3" s="1"/>
  <c r="E62" i="1"/>
  <c r="D33" i="3" s="1"/>
  <c r="E63" i="1"/>
  <c r="D34" i="3" s="1"/>
  <c r="E64" i="1"/>
  <c r="D35" i="3" s="1"/>
  <c r="E65" i="1"/>
  <c r="D36" i="3" s="1"/>
  <c r="E67" i="1"/>
  <c r="E68" i="1"/>
  <c r="E69" i="1"/>
  <c r="E72" i="1"/>
  <c r="E73" i="1"/>
  <c r="P73" i="1" s="1"/>
  <c r="E52" i="1"/>
  <c r="E20" i="1"/>
  <c r="D20" i="3" s="1"/>
  <c r="E21" i="1"/>
  <c r="E22" i="1"/>
  <c r="E23" i="1"/>
  <c r="D62" i="3" s="1"/>
  <c r="E24" i="1"/>
  <c r="D63" i="3" s="1"/>
  <c r="E25" i="1"/>
  <c r="E26" i="1"/>
  <c r="E27" i="1"/>
  <c r="E28" i="1"/>
  <c r="E29" i="1"/>
  <c r="E30" i="1"/>
  <c r="E31" i="1"/>
  <c r="D81" i="3" s="1"/>
  <c r="E32" i="1"/>
  <c r="D82" i="3" s="1"/>
  <c r="E33" i="1"/>
  <c r="E34" i="1"/>
  <c r="D84" i="3" s="1"/>
  <c r="E35" i="1"/>
  <c r="D85" i="3" s="1"/>
  <c r="E36" i="1"/>
  <c r="D86" i="3" s="1"/>
  <c r="E37" i="1"/>
  <c r="D114" i="3" s="1"/>
  <c r="D112" i="3" s="1"/>
  <c r="E38" i="1"/>
  <c r="D118" i="3" s="1"/>
  <c r="D117" i="3" s="1"/>
  <c r="E39" i="1"/>
  <c r="E40" i="1"/>
  <c r="E41" i="1"/>
  <c r="D125" i="3" s="1"/>
  <c r="E42" i="1"/>
  <c r="E43" i="1"/>
  <c r="E44" i="1"/>
  <c r="D132" i="3" s="1"/>
  <c r="E45" i="1"/>
  <c r="D133" i="3" s="1"/>
  <c r="E46" i="1"/>
  <c r="D135" i="3" s="1"/>
  <c r="D134" i="3" s="1"/>
  <c r="E47" i="1"/>
  <c r="E48" i="1"/>
  <c r="D140" i="3" s="1"/>
  <c r="D139" i="3" s="1"/>
  <c r="E19" i="1"/>
  <c r="K17" i="1"/>
  <c r="M17" i="1"/>
  <c r="N17" i="1"/>
  <c r="O17" i="1"/>
  <c r="F17" i="1"/>
  <c r="G17" i="1"/>
  <c r="H17" i="1"/>
  <c r="I17" i="1"/>
  <c r="L17" i="1"/>
  <c r="E131" i="1" l="1"/>
  <c r="E76" i="1"/>
  <c r="E75" i="1" s="1"/>
  <c r="E160" i="1"/>
  <c r="D126" i="3"/>
  <c r="E130" i="1"/>
  <c r="E51" i="1"/>
  <c r="D25" i="3"/>
  <c r="D21" i="3" s="1"/>
  <c r="E50" i="1"/>
  <c r="E49" i="1" s="1"/>
  <c r="D95" i="3"/>
  <c r="E159" i="1"/>
  <c r="E190" i="1"/>
  <c r="E189" i="1" s="1"/>
  <c r="H199" i="1"/>
  <c r="H201" i="1" s="1"/>
  <c r="N199" i="1"/>
  <c r="N201" i="1" s="1"/>
  <c r="D127" i="3"/>
  <c r="I199" i="1"/>
  <c r="I201" i="1" s="1"/>
  <c r="M199" i="1"/>
  <c r="M201" i="1" s="1"/>
  <c r="P155" i="1"/>
  <c r="D147" i="3"/>
  <c r="D146" i="3" s="1"/>
  <c r="D143" i="3" s="1"/>
  <c r="E94" i="1"/>
  <c r="E93" i="1" s="1"/>
  <c r="G199" i="1"/>
  <c r="G201" i="1" s="1"/>
  <c r="F199" i="1"/>
  <c r="F201" i="1" s="1"/>
  <c r="D19" i="3"/>
  <c r="D18" i="3" s="1"/>
  <c r="D89" i="3"/>
  <c r="D38" i="3"/>
  <c r="D26" i="3"/>
  <c r="D22" i="3" s="1"/>
  <c r="E174" i="1"/>
  <c r="E173" i="1" s="1"/>
  <c r="E182" i="1"/>
  <c r="E181" i="1" s="1"/>
  <c r="D93" i="3"/>
  <c r="E121" i="1"/>
  <c r="E120" i="1" s="1"/>
  <c r="E116" i="1"/>
  <c r="E115" i="1" s="1"/>
  <c r="D124" i="3"/>
  <c r="E77" i="1"/>
  <c r="E18" i="1"/>
  <c r="E17" i="1" s="1"/>
  <c r="D41" i="3"/>
  <c r="D39" i="3" s="1"/>
  <c r="D66" i="3"/>
  <c r="D120" i="3"/>
  <c r="P133" i="1"/>
  <c r="O120" i="1"/>
  <c r="D78" i="3"/>
  <c r="D121" i="3"/>
  <c r="D72" i="3"/>
  <c r="D102" i="3"/>
  <c r="D138" i="3"/>
  <c r="D136" i="3" s="1"/>
  <c r="D79" i="3"/>
  <c r="D77" i="3"/>
  <c r="D106" i="3"/>
  <c r="I30" i="3"/>
  <c r="I21" i="3" s="1"/>
  <c r="J120" i="1"/>
  <c r="D131" i="3"/>
  <c r="D74" i="3"/>
  <c r="D83" i="3"/>
  <c r="D80" i="3" s="1"/>
  <c r="D64" i="3"/>
  <c r="P114" i="1"/>
  <c r="D73" i="3"/>
  <c r="D56" i="3"/>
  <c r="D54" i="3"/>
  <c r="P19" i="1"/>
  <c r="P47" i="1"/>
  <c r="P45" i="1"/>
  <c r="O133" i="3" s="1"/>
  <c r="P43" i="1"/>
  <c r="P41" i="1"/>
  <c r="O125" i="3" s="1"/>
  <c r="P39" i="1"/>
  <c r="P69" i="1"/>
  <c r="P67" i="1"/>
  <c r="P65" i="1"/>
  <c r="O36" i="3" s="1"/>
  <c r="P64" i="1"/>
  <c r="O35" i="3" s="1"/>
  <c r="P63" i="1"/>
  <c r="O34" i="3" s="1"/>
  <c r="P61" i="1"/>
  <c r="O32" i="3" s="1"/>
  <c r="P59" i="1"/>
  <c r="O29" i="3" s="1"/>
  <c r="P57" i="1"/>
  <c r="O27" i="3" s="1"/>
  <c r="P55" i="1"/>
  <c r="O25" i="3" s="1"/>
  <c r="P78" i="1"/>
  <c r="P110" i="1"/>
  <c r="O71" i="3" s="1"/>
  <c r="P108" i="1"/>
  <c r="O69" i="3" s="1"/>
  <c r="P106" i="1"/>
  <c r="O67" i="3" s="1"/>
  <c r="P104" i="1"/>
  <c r="O65" i="3" s="1"/>
  <c r="P102" i="1"/>
  <c r="O58" i="3" s="1"/>
  <c r="P100" i="1"/>
  <c r="P98" i="1"/>
  <c r="P141" i="1"/>
  <c r="P139" i="1"/>
  <c r="O92" i="3" s="1"/>
  <c r="P136" i="1"/>
  <c r="O89" i="3" s="1"/>
  <c r="P165" i="1"/>
  <c r="O103" i="3" s="1"/>
  <c r="P198" i="1"/>
  <c r="O145" i="3" s="1"/>
  <c r="O144" i="3" s="1"/>
  <c r="P48" i="1"/>
  <c r="O140" i="3" s="1"/>
  <c r="O139" i="3" s="1"/>
  <c r="P46" i="1"/>
  <c r="O135" i="3" s="1"/>
  <c r="O134" i="3" s="1"/>
  <c r="P44" i="1"/>
  <c r="O132" i="3" s="1"/>
  <c r="P42" i="1"/>
  <c r="J119" i="3" s="1"/>
  <c r="J96" i="3" s="1"/>
  <c r="P40" i="1"/>
  <c r="O124" i="3" s="1"/>
  <c r="P38" i="1"/>
  <c r="O118" i="3" s="1"/>
  <c r="O117" i="3" s="1"/>
  <c r="P72" i="1"/>
  <c r="P68" i="1"/>
  <c r="P62" i="1"/>
  <c r="O33" i="3" s="1"/>
  <c r="P60" i="1"/>
  <c r="O31" i="3" s="1"/>
  <c r="P58" i="1"/>
  <c r="O28" i="3" s="1"/>
  <c r="P56" i="1"/>
  <c r="P95" i="1"/>
  <c r="P111" i="1"/>
  <c r="O72" i="3" s="1"/>
  <c r="P109" i="1"/>
  <c r="O70" i="3" s="1"/>
  <c r="P107" i="1"/>
  <c r="O68" i="3" s="1"/>
  <c r="P105" i="1"/>
  <c r="O66" i="3" s="1"/>
  <c r="P103" i="1"/>
  <c r="O59" i="3" s="1"/>
  <c r="P101" i="1"/>
  <c r="O57" i="3" s="1"/>
  <c r="P99" i="1"/>
  <c r="O55" i="3" s="1"/>
  <c r="P97" i="1"/>
  <c r="O53" i="3" s="1"/>
  <c r="P145" i="1"/>
  <c r="O107" i="3" s="1"/>
  <c r="P140" i="1"/>
  <c r="P138" i="1"/>
  <c r="O91" i="3" s="1"/>
  <c r="P137" i="1"/>
  <c r="O90" i="3" s="1"/>
  <c r="P166" i="1"/>
  <c r="O104" i="3" s="1"/>
  <c r="P191" i="1"/>
  <c r="J130" i="1"/>
  <c r="P151" i="1"/>
  <c r="P175" i="1"/>
  <c r="P176" i="1"/>
  <c r="P186" i="1"/>
  <c r="O122" i="3" s="1"/>
  <c r="J181" i="1"/>
  <c r="P195" i="1"/>
  <c r="P192" i="1"/>
  <c r="P119" i="1"/>
  <c r="O61" i="3" s="1"/>
  <c r="P118" i="1"/>
  <c r="O60" i="3" s="1"/>
  <c r="P37" i="1"/>
  <c r="O114" i="3" s="1"/>
  <c r="O112" i="3" s="1"/>
  <c r="P33" i="1"/>
  <c r="P31" i="1"/>
  <c r="O81" i="3" s="1"/>
  <c r="P29" i="1"/>
  <c r="P27" i="1"/>
  <c r="P25" i="1"/>
  <c r="P23" i="1"/>
  <c r="O62" i="3" s="1"/>
  <c r="P21" i="1"/>
  <c r="P122" i="1"/>
  <c r="P171" i="1"/>
  <c r="P180" i="1"/>
  <c r="P179" i="1" s="1"/>
  <c r="P178" i="1" s="1"/>
  <c r="P187" i="1"/>
  <c r="O123" i="3" s="1"/>
  <c r="P185" i="1"/>
  <c r="P184" i="1"/>
  <c r="O99" i="3" s="1"/>
  <c r="O98" i="3" s="1"/>
  <c r="P188" i="1"/>
  <c r="P142" i="1"/>
  <c r="P36" i="1"/>
  <c r="O86" i="3" s="1"/>
  <c r="P34" i="1"/>
  <c r="O84" i="3" s="1"/>
  <c r="P32" i="1"/>
  <c r="O82" i="3" s="1"/>
  <c r="P30" i="1"/>
  <c r="P26" i="1"/>
  <c r="P24" i="1"/>
  <c r="O63" i="3" s="1"/>
  <c r="P22" i="1"/>
  <c r="P91" i="1"/>
  <c r="P89" i="1"/>
  <c r="O50" i="3" s="1"/>
  <c r="P88" i="1"/>
  <c r="O49" i="3" s="1"/>
  <c r="P86" i="1"/>
  <c r="O47" i="3" s="1"/>
  <c r="P85" i="1"/>
  <c r="O46" i="3" s="1"/>
  <c r="P83" i="1"/>
  <c r="O44" i="3" s="1"/>
  <c r="P81" i="1"/>
  <c r="O42" i="3" s="1"/>
  <c r="P79" i="1"/>
  <c r="O40" i="3" s="1"/>
  <c r="P87" i="1"/>
  <c r="O48" i="3" s="1"/>
  <c r="P84" i="1"/>
  <c r="O45" i="3" s="1"/>
  <c r="P82" i="1"/>
  <c r="O43" i="3" s="1"/>
  <c r="P80" i="1"/>
  <c r="J115" i="1"/>
  <c r="P127" i="1"/>
  <c r="P128" i="1"/>
  <c r="P124" i="1"/>
  <c r="O76" i="3" s="1"/>
  <c r="P168" i="1"/>
  <c r="P164" i="1"/>
  <c r="P20" i="1"/>
  <c r="O20" i="3" s="1"/>
  <c r="P28" i="1"/>
  <c r="P135" i="1"/>
  <c r="O88" i="3" s="1"/>
  <c r="P177" i="1"/>
  <c r="P35" i="1"/>
  <c r="O85" i="3" s="1"/>
  <c r="P53" i="1"/>
  <c r="O23" i="3" s="1"/>
  <c r="P117" i="1"/>
  <c r="P126" i="1"/>
  <c r="P125" i="1"/>
  <c r="P193" i="1"/>
  <c r="P161" i="1"/>
  <c r="P162" i="1"/>
  <c r="P196" i="1"/>
  <c r="O141" i="3" s="1"/>
  <c r="J189" i="1"/>
  <c r="J49" i="1"/>
  <c r="P183" i="1"/>
  <c r="P158" i="1"/>
  <c r="P157" i="1" s="1"/>
  <c r="P156" i="1" s="1"/>
  <c r="P52" i="1"/>
  <c r="J17" i="1"/>
  <c r="P112" i="1"/>
  <c r="P123" i="1"/>
  <c r="O30" i="3" s="1"/>
  <c r="E200" i="1" l="1"/>
  <c r="P131" i="1"/>
  <c r="P76" i="1"/>
  <c r="P75" i="1" s="1"/>
  <c r="D100" i="3"/>
  <c r="D150" i="3"/>
  <c r="E202" i="1" s="1"/>
  <c r="O126" i="3"/>
  <c r="O106" i="3"/>
  <c r="P50" i="1"/>
  <c r="P49" i="1" s="1"/>
  <c r="P51" i="1"/>
  <c r="O127" i="3"/>
  <c r="O19" i="3"/>
  <c r="O18" i="3" s="1"/>
  <c r="O95" i="3"/>
  <c r="O147" i="3"/>
  <c r="O146" i="3" s="1"/>
  <c r="O143" i="3" s="1"/>
  <c r="D87" i="3"/>
  <c r="E199" i="1"/>
  <c r="D51" i="3"/>
  <c r="O38" i="3"/>
  <c r="O21" i="3"/>
  <c r="O26" i="3"/>
  <c r="O22" i="3" s="1"/>
  <c r="P190" i="1"/>
  <c r="P182" i="1"/>
  <c r="P174" i="1"/>
  <c r="P121" i="1"/>
  <c r="P116" i="1"/>
  <c r="O41" i="3"/>
  <c r="O39" i="3" s="1"/>
  <c r="P77" i="1"/>
  <c r="P18" i="1"/>
  <c r="O102" i="3"/>
  <c r="D119" i="3"/>
  <c r="O73" i="3"/>
  <c r="D130" i="3"/>
  <c r="D75" i="3"/>
  <c r="O120" i="3"/>
  <c r="O138" i="3"/>
  <c r="O136" i="3" s="1"/>
  <c r="O131" i="3"/>
  <c r="O93" i="3"/>
  <c r="O79" i="3"/>
  <c r="O78" i="3"/>
  <c r="O74" i="3"/>
  <c r="O56" i="3"/>
  <c r="O83" i="3"/>
  <c r="O80" i="3" s="1"/>
  <c r="O77" i="3"/>
  <c r="O121" i="3"/>
  <c r="O54" i="3"/>
  <c r="O64" i="3"/>
  <c r="L159" i="1"/>
  <c r="L199" i="1" s="1"/>
  <c r="L201" i="1" s="1"/>
  <c r="P200" i="1" l="1"/>
  <c r="D96" i="3"/>
  <c r="D149" i="3" s="1"/>
  <c r="E201" i="1" s="1"/>
  <c r="O100" i="3"/>
  <c r="O150" i="3"/>
  <c r="P202" i="1" s="1"/>
  <c r="O130" i="3"/>
  <c r="O119" i="3"/>
  <c r="O96" i="3" s="1"/>
  <c r="O75" i="3"/>
  <c r="P163" i="1"/>
  <c r="P160" i="1" s="1"/>
  <c r="J159" i="1"/>
  <c r="O94" i="3" l="1"/>
  <c r="O87" i="3" s="1"/>
  <c r="O96" i="1" l="1"/>
  <c r="K96" i="1"/>
  <c r="K94" i="1" s="1"/>
  <c r="J52" i="3" l="1"/>
  <c r="J51" i="3" s="1"/>
  <c r="J149" i="3" s="1"/>
  <c r="K93" i="1"/>
  <c r="K199" i="1" s="1"/>
  <c r="N52" i="3"/>
  <c r="O94" i="1"/>
  <c r="O93" i="1" s="1"/>
  <c r="O199" i="1" s="1"/>
  <c r="O201" i="1" s="1"/>
  <c r="N51" i="3"/>
  <c r="N149" i="3" s="1"/>
  <c r="J96" i="1"/>
  <c r="K201" i="1" l="1"/>
  <c r="I52" i="3"/>
  <c r="I51" i="3" s="1"/>
  <c r="I149" i="3" s="1"/>
  <c r="J94" i="1"/>
  <c r="P96" i="1"/>
  <c r="P17" i="1"/>
  <c r="P173" i="1"/>
  <c r="P189" i="1"/>
  <c r="O52" i="3" l="1"/>
  <c r="P94" i="1"/>
  <c r="P93" i="1" s="1"/>
  <c r="O51" i="3"/>
  <c r="O149" i="3" s="1"/>
  <c r="J93" i="1"/>
  <c r="J199" i="1" s="1"/>
  <c r="J201" i="1" s="1"/>
  <c r="P181" i="1"/>
  <c r="P159" i="1"/>
  <c r="P130" i="1"/>
  <c r="P120" i="1"/>
  <c r="P115" i="1"/>
  <c r="P199" i="1" l="1"/>
  <c r="P201" i="1" s="1"/>
  <c r="C45" i="1" l="1"/>
  <c r="C193" i="1" l="1"/>
  <c r="D193" i="1"/>
  <c r="B193" i="1"/>
  <c r="C152" i="1"/>
  <c r="D152" i="1"/>
  <c r="B152" i="1"/>
  <c r="C99" i="1" l="1"/>
  <c r="D99" i="1"/>
  <c r="B99" i="1"/>
  <c r="C28" i="1"/>
  <c r="D28" i="1"/>
  <c r="B28" i="1"/>
  <c r="C68" i="1"/>
  <c r="D68" i="1"/>
  <c r="B68" i="1"/>
  <c r="B86" i="1"/>
  <c r="C86" i="1"/>
  <c r="D86" i="1"/>
  <c r="D87" i="1"/>
  <c r="B105" i="1"/>
  <c r="C105" i="1"/>
  <c r="D105" i="1"/>
  <c r="B106" i="1"/>
  <c r="C106" i="1"/>
  <c r="D106" i="1"/>
  <c r="C102" i="1"/>
  <c r="D102" i="1"/>
  <c r="B102" i="1"/>
  <c r="C177" i="1"/>
  <c r="B177" i="1"/>
  <c r="C176" i="1"/>
  <c r="D176" i="1"/>
  <c r="B176" i="1"/>
  <c r="D89" i="1"/>
  <c r="C89" i="1"/>
  <c r="B89" i="1"/>
  <c r="C88" i="1"/>
  <c r="D88" i="1"/>
  <c r="B88" i="1"/>
  <c r="C42" i="1"/>
  <c r="B42" i="1"/>
  <c r="C114" i="1"/>
  <c r="B114" i="1"/>
  <c r="C112" i="1"/>
  <c r="D112" i="1"/>
  <c r="C113" i="1"/>
  <c r="D113" i="1"/>
  <c r="B113" i="1"/>
  <c r="B112" i="1"/>
  <c r="C111" i="1"/>
  <c r="D111" i="1"/>
  <c r="B111" i="1"/>
  <c r="C110" i="1"/>
  <c r="D110" i="1"/>
  <c r="B110" i="1"/>
  <c r="C109" i="1"/>
  <c r="D109" i="1"/>
  <c r="B109" i="1"/>
  <c r="C108" i="1"/>
  <c r="D108" i="1"/>
  <c r="B108" i="1"/>
  <c r="C107" i="1"/>
  <c r="D107" i="1"/>
  <c r="B107" i="1"/>
  <c r="C104" i="1"/>
  <c r="D104" i="1"/>
  <c r="B104" i="1"/>
  <c r="C103" i="1"/>
  <c r="D103" i="1"/>
  <c r="B103" i="1"/>
  <c r="C101" i="1"/>
  <c r="D101" i="1"/>
  <c r="B101" i="1"/>
  <c r="C100" i="1"/>
  <c r="D100" i="1"/>
  <c r="B100" i="1"/>
  <c r="C98" i="1"/>
  <c r="D98" i="1"/>
  <c r="B98" i="1"/>
  <c r="C97" i="1"/>
  <c r="B97" i="1"/>
  <c r="C96" i="1"/>
  <c r="D96" i="1"/>
  <c r="B96" i="1"/>
  <c r="C91" i="1"/>
  <c r="D91" i="1"/>
  <c r="B91" i="1"/>
  <c r="C85" i="1"/>
  <c r="D85" i="1"/>
  <c r="B85" i="1"/>
  <c r="C83" i="1"/>
  <c r="D83" i="1"/>
  <c r="B83" i="1"/>
  <c r="C81" i="1"/>
  <c r="D81" i="1"/>
  <c r="B81" i="1"/>
  <c r="C79" i="1"/>
  <c r="D79" i="1"/>
  <c r="B79" i="1"/>
  <c r="C73" i="1"/>
  <c r="D73" i="1"/>
  <c r="B73" i="1"/>
  <c r="C72" i="1"/>
  <c r="D72" i="1"/>
  <c r="B72" i="1"/>
  <c r="C69" i="1"/>
  <c r="D69" i="1"/>
  <c r="B69" i="1"/>
  <c r="D67" i="1"/>
  <c r="C67" i="1"/>
  <c r="B67" i="1"/>
  <c r="C63" i="1"/>
  <c r="C64" i="1"/>
  <c r="D64" i="1"/>
  <c r="B64" i="1"/>
  <c r="B63" i="1"/>
  <c r="C62" i="1"/>
  <c r="D62" i="1"/>
  <c r="B62" i="1"/>
  <c r="C60" i="1"/>
  <c r="D60" i="1"/>
  <c r="B60" i="1"/>
  <c r="C59" i="1"/>
  <c r="D59" i="1"/>
  <c r="B59" i="1"/>
  <c r="C57" i="1"/>
  <c r="D57" i="1"/>
  <c r="B57" i="1"/>
  <c r="C55" i="1"/>
  <c r="D55" i="1"/>
  <c r="B55" i="1"/>
  <c r="C53" i="1"/>
  <c r="D53" i="1"/>
  <c r="B53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26" i="1"/>
  <c r="D26" i="1"/>
  <c r="C27" i="1"/>
  <c r="D27" i="1"/>
  <c r="B27" i="1"/>
  <c r="B26" i="1"/>
  <c r="C29" i="1"/>
  <c r="D29" i="1"/>
  <c r="C30" i="1"/>
  <c r="D30" i="1"/>
  <c r="B30" i="1"/>
  <c r="B29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31" i="1"/>
  <c r="D31" i="1"/>
  <c r="B31" i="1"/>
  <c r="C25" i="1"/>
  <c r="D25" i="1"/>
  <c r="B25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D119" i="1"/>
  <c r="C119" i="1"/>
  <c r="B119" i="1"/>
  <c r="C123" i="1"/>
  <c r="D123" i="1"/>
  <c r="B123" i="1"/>
  <c r="C124" i="1"/>
  <c r="D124" i="1"/>
  <c r="B124" i="1"/>
  <c r="C126" i="1"/>
  <c r="D126" i="1"/>
  <c r="C127" i="1"/>
  <c r="D127" i="1"/>
  <c r="B127" i="1"/>
  <c r="B126" i="1"/>
  <c r="C128" i="1"/>
  <c r="D128" i="1"/>
  <c r="B128" i="1"/>
  <c r="C134" i="1"/>
  <c r="D134" i="1"/>
  <c r="B134" i="1"/>
  <c r="C138" i="1"/>
  <c r="D138" i="1"/>
  <c r="B138" i="1"/>
  <c r="C137" i="1"/>
  <c r="D137" i="1"/>
  <c r="B137" i="1"/>
  <c r="C136" i="1"/>
  <c r="D136" i="1"/>
  <c r="B136" i="1"/>
  <c r="C135" i="1"/>
  <c r="D135" i="1"/>
  <c r="B135" i="1"/>
  <c r="C139" i="1"/>
  <c r="D139" i="1"/>
  <c r="B139" i="1"/>
  <c r="C140" i="1"/>
  <c r="D140" i="1"/>
  <c r="B140" i="1"/>
  <c r="C141" i="1"/>
  <c r="D141" i="1"/>
  <c r="B141" i="1"/>
  <c r="C142" i="1"/>
  <c r="D142" i="1"/>
  <c r="B142" i="1"/>
  <c r="C143" i="1"/>
  <c r="D143" i="1"/>
  <c r="B143" i="1"/>
  <c r="C145" i="1"/>
  <c r="D145" i="1"/>
  <c r="B145" i="1"/>
  <c r="C151" i="1"/>
  <c r="D151" i="1"/>
  <c r="B151" i="1"/>
  <c r="C154" i="1"/>
  <c r="D154" i="1"/>
  <c r="B154" i="1"/>
  <c r="C155" i="1"/>
  <c r="B155" i="1"/>
  <c r="C162" i="1"/>
  <c r="D162" i="1"/>
  <c r="B162" i="1"/>
  <c r="C163" i="1"/>
  <c r="D163" i="1"/>
  <c r="B163" i="1"/>
  <c r="C164" i="1"/>
  <c r="D164" i="1"/>
  <c r="B164" i="1"/>
  <c r="C166" i="1"/>
  <c r="D166" i="1"/>
  <c r="B166" i="1"/>
  <c r="C165" i="1"/>
  <c r="D165" i="1"/>
  <c r="B165" i="1"/>
  <c r="C168" i="1"/>
  <c r="D168" i="1"/>
  <c r="B168" i="1"/>
  <c r="C171" i="1"/>
  <c r="D171" i="1"/>
  <c r="B171" i="1"/>
  <c r="C184" i="1"/>
  <c r="D184" i="1"/>
  <c r="B184" i="1"/>
  <c r="C185" i="1"/>
  <c r="D185" i="1"/>
  <c r="B185" i="1"/>
  <c r="C186" i="1"/>
  <c r="D186" i="1"/>
  <c r="B186" i="1"/>
  <c r="C187" i="1"/>
  <c r="D187" i="1"/>
  <c r="B187" i="1"/>
  <c r="C188" i="1"/>
  <c r="D188" i="1"/>
  <c r="B188" i="1"/>
  <c r="C192" i="1"/>
  <c r="D192" i="1"/>
  <c r="B192" i="1"/>
  <c r="C195" i="1"/>
  <c r="D195" i="1"/>
  <c r="B195" i="1"/>
  <c r="C196" i="1"/>
  <c r="D196" i="1"/>
  <c r="B196" i="1"/>
  <c r="C197" i="1"/>
  <c r="D197" i="1"/>
  <c r="B197" i="1"/>
  <c r="C198" i="1"/>
  <c r="D198" i="1"/>
  <c r="B198" i="1"/>
  <c r="C191" i="1"/>
  <c r="B191" i="1"/>
  <c r="C183" i="1"/>
  <c r="B183" i="1"/>
  <c r="C180" i="1"/>
  <c r="B180" i="1"/>
  <c r="C175" i="1"/>
  <c r="B175" i="1"/>
  <c r="C161" i="1"/>
  <c r="B161" i="1"/>
  <c r="C158" i="1"/>
  <c r="B158" i="1"/>
  <c r="C133" i="1"/>
  <c r="B133" i="1"/>
  <c r="C122" i="1"/>
  <c r="B122" i="1"/>
  <c r="C117" i="1"/>
  <c r="B117" i="1"/>
  <c r="C95" i="1"/>
  <c r="B95" i="1"/>
  <c r="C78" i="1"/>
  <c r="B78" i="1"/>
  <c r="C52" i="1"/>
  <c r="B52" i="1"/>
  <c r="C19" i="1"/>
  <c r="B19" i="1"/>
  <c r="D191" i="1"/>
  <c r="D183" i="1"/>
  <c r="D180" i="1"/>
  <c r="D175" i="1"/>
  <c r="D161" i="1"/>
  <c r="D158" i="1"/>
  <c r="D133" i="1"/>
  <c r="D122" i="1"/>
  <c r="D117" i="1"/>
  <c r="D95" i="1"/>
  <c r="D78" i="1"/>
  <c r="D52" i="1"/>
  <c r="D19" i="1"/>
</calcChain>
</file>

<file path=xl/sharedStrings.xml><?xml version="1.0" encoding="utf-8"?>
<sst xmlns="http://schemas.openxmlformats.org/spreadsheetml/2006/main" count="613" uniqueCount="467">
  <si>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</si>
  <si>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</si>
  <si>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</si>
  <si>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</si>
  <si>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</si>
  <si>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</si>
  <si>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</si>
  <si>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</si>
  <si>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</si>
  <si>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</si>
  <si>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</si>
  <si>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</si>
  <si>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</si>
  <si>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</si>
  <si>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</si>
  <si>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</si>
  <si>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</si>
  <si>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</si>
  <si>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</si>
  <si>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</si>
  <si>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</si>
  <si>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</si>
  <si>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</si>
  <si>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</si>
  <si>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</si>
  <si>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</si>
  <si>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</si>
  <si>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</si>
  <si>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</si>
  <si>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</si>
  <si>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</si>
  <si>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</si>
  <si>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</si>
  <si>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</si>
  <si>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</si>
  <si>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</si>
  <si>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</si>
  <si>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</si>
  <si>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</si>
  <si>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</si>
  <si>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</si>
  <si>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</si>
  <si>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</si>
  <si>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</si>
  <si>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</si>
  <si>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</si>
  <si>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</si>
  <si>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</si>
  <si>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</si>
  <si>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</si>
  <si>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</si>
  <si>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</si>
  <si>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</si>
  <si>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</si>
  <si>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</si>
  <si>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</si>
  <si>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</si>
  <si>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</si>
  <si>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</si>
  <si>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</si>
  <si>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</si>
  <si>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</si>
  <si>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</si>
  <si>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</si>
  <si>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</si>
  <si>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</si>
  <si>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</si>
  <si>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</si>
  <si>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</si>
  <si>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</si>
  <si>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</si>
  <si>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</si>
  <si>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</si>
  <si>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</si>
  <si>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</si>
  <si>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</si>
  <si>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</si>
  <si>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</si>
  <si>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</si>
  <si>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</si>
  <si>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</si>
  <si>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</si>
  <si>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</si>
  <si>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</si>
  <si>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</si>
  <si>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</si>
  <si>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</si>
  <si>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</si>
  <si>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</si>
  <si>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</si>
  <si>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</si>
  <si>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</si>
  <si>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</si>
  <si>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</si>
  <si>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</si>
  <si>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</si>
  <si>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</si>
  <si>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</si>
  <si>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</si>
  <si>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</si>
  <si>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</si>
  <si>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</si>
  <si>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</si>
  <si>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</si>
  <si>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</si>
  <si>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</si>
  <si>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</si>
  <si>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</si>
  <si>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</si>
  <si>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</si>
  <si>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</si>
  <si>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</si>
  <si>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</si>
  <si>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</si>
  <si>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</si>
  <si>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</si>
  <si>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</si>
  <si>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</si>
  <si>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</si>
  <si>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</si>
  <si>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</si>
  <si>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</si>
  <si>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</si>
  <si>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</si>
  <si>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</si>
  <si>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</si>
  <si>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</si>
  <si>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</si>
  <si>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</si>
  <si>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</si>
  <si>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</si>
  <si>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</si>
  <si>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</si>
  <si>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</si>
  <si>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</si>
  <si>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</si>
  <si>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</si>
  <si>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</si>
  <si>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</si>
  <si>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</si>
  <si>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</si>
  <si>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</si>
  <si>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</si>
  <si>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</si>
  <si>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</si>
  <si>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</si>
  <si>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</si>
  <si>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</si>
  <si>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</si>
  <si>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</si>
  <si>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</si>
  <si>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</si>
  <si>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</si>
  <si>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</si>
  <si>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</si>
  <si>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</si>
  <si>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</si>
  <si>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</si>
  <si>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</si>
  <si>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</si>
  <si>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</si>
  <si>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</si>
  <si>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</si>
  <si>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</si>
  <si>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</si>
  <si>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</si>
  <si>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</si>
  <si>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</si>
  <si>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</si>
  <si>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</si>
  <si>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</si>
  <si>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</si>
  <si>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</si>
  <si>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</si>
  <si>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</si>
  <si>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</si>
  <si>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</si>
  <si>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</si>
  <si>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</si>
  <si>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</si>
  <si>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</si>
  <si>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</si>
  <si>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</si>
  <si>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</si>
  <si>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</si>
  <si>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</si>
  <si>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</si>
  <si>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</si>
  <si>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</si>
  <si>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</si>
  <si>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</si>
  <si>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</si>
  <si>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</si>
  <si>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</si>
  <si>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</si>
  <si>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</si>
  <si>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</si>
  <si>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</si>
  <si>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</si>
  <si>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</si>
  <si>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</si>
  <si>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</si>
  <si>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</si>
  <si>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</si>
  <si>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</si>
  <si>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</si>
  <si>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</si>
  <si>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</si>
  <si>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</si>
  <si>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</si>
  <si>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</si>
  <si>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</si>
  <si>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</si>
  <si>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</si>
  <si>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</si>
  <si>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</si>
  <si>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</si>
  <si>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</si>
  <si>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</si>
  <si>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</si>
  <si>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</si>
  <si>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</si>
  <si>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</si>
  <si>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</si>
  <si>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</si>
  <si>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</si>
  <si>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</si>
  <si>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</si>
  <si>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</si>
  <si>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</si>
  <si>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</si>
  <si>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</si>
  <si>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</si>
  <si>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</si>
  <si>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</si>
  <si>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</si>
  <si>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</si>
  <si>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</si>
  <si>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</si>
  <si>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</si>
  <si>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</si>
  <si>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</si>
  <si>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</si>
  <si>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</si>
  <si>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</si>
  <si>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</si>
  <si>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</si>
  <si>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</si>
  <si>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</si>
  <si>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</si>
  <si>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</si>
  <si>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</si>
  <si>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</si>
  <si>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</si>
  <si>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</si>
  <si>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</si>
  <si>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</si>
  <si>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</si>
  <si>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</si>
  <si>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</si>
  <si>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</si>
  <si>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</si>
  <si>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</si>
  <si>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</si>
  <si>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</si>
  <si>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</si>
  <si>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</si>
  <si>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</si>
  <si>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</si>
  <si>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</si>
  <si>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</si>
  <si>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</si>
  <si>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</si>
  <si>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</si>
  <si>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</si>
  <si>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</si>
  <si>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</si>
  <si>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</si>
  <si>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</si>
  <si>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</si>
  <si>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</si>
  <si>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</si>
  <si>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</si>
  <si>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</si>
  <si>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</si>
  <si>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</si>
  <si>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</si>
  <si>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</si>
  <si>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</si>
  <si>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</si>
  <si>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</si>
  <si>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</si>
  <si>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</si>
  <si>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</si>
  <si>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</si>
  <si>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</si>
  <si>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</si>
  <si>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</si>
  <si>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</si>
  <si>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</si>
  <si>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</si>
  <si>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</si>
  <si>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</si>
  <si>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</si>
  <si>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</si>
  <si>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</si>
  <si>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</si>
  <si>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</si>
  <si>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</si>
  <si>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</si>
  <si>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</si>
  <si>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</si>
  <si>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</si>
  <si>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</si>
  <si>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</si>
  <si>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</si>
  <si>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</si>
  <si>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</si>
  <si>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</si>
  <si>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</si>
  <si>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</si>
  <si>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</si>
  <si>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</si>
  <si>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</si>
  <si>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</si>
  <si>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</si>
  <si>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</si>
  <si>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</si>
  <si>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</si>
  <si>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</si>
  <si>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</si>
  <si>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</si>
  <si>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</si>
  <si>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</si>
  <si>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</si>
  <si>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</si>
  <si>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</si>
  <si>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</si>
  <si>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</si>
  <si>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</si>
  <si>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</si>
  <si>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</si>
  <si>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</si>
  <si>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</si>
  <si>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</si>
  <si>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</si>
  <si>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</si>
  <si>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</si>
  <si>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</si>
  <si>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</si>
  <si>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</si>
  <si>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</si>
  <si>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</si>
  <si>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</si>
  <si>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</si>
  <si>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</si>
  <si>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</si>
  <si>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</si>
  <si>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</si>
  <si>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</si>
  <si>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</si>
  <si>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</si>
  <si>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</si>
  <si>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</si>
  <si>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</si>
  <si>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</si>
  <si>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</si>
  <si>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</si>
  <si>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</si>
  <si>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</si>
  <si>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</si>
  <si>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</si>
  <si>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</si>
  <si>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</si>
  <si>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</si>
  <si>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</si>
  <si>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</si>
  <si>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</si>
  <si>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</si>
  <si>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</si>
  <si>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</si>
  <si>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</si>
  <si>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</si>
  <si>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</si>
  <si>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</si>
  <si>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</si>
  <si>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</si>
  <si>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</si>
  <si>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</si>
  <si>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</si>
  <si>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</si>
  <si>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</si>
  <si>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</si>
  <si>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</si>
  <si>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</si>
  <si>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</si>
  <si>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</si>
  <si>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</si>
  <si>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</si>
  <si>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</si>
  <si>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</si>
  <si>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</si>
  <si>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</si>
  <si>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</si>
  <si>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</si>
  <si>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</si>
  <si>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</si>
  <si>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</si>
  <si>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</si>
  <si>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</si>
  <si>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</si>
  <si>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</si>
  <si>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</si>
  <si>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</si>
  <si>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</si>
  <si>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</si>
  <si>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</si>
  <si>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</si>
  <si>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</si>
  <si>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</si>
  <si>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</si>
  <si>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</si>
  <si>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</si>
  <si>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</si>
  <si>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</si>
  <si>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</si>
  <si>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</si>
  <si>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</si>
  <si>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</si>
  <si>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</si>
  <si>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</si>
  <si>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</si>
  <si>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</si>
  <si>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</si>
  <si>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</si>
  <si>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</si>
  <si>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</si>
  <si>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</si>
  <si>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</si>
  <si>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</si>
  <si>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</si>
  <si>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</si>
  <si>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</si>
  <si>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</si>
  <si>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</si>
  <si>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</si>
  <si>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</si>
  <si>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</si>
  <si>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</si>
  <si>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</si>
  <si>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</si>
  <si>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</si>
  <si>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Утримання та розвиток автомобільних доріг та дорожньої інфраструктури за рахунок субвенції з державного бюджету</t>
  </si>
  <si>
    <t>1217462</t>
  </si>
  <si>
    <t xml:space="preserve">                        Додаток № 3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</si>
  <si>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</si>
  <si>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</si>
  <si>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</si>
  <si>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</si>
  <si>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 xml:space="preserve">"Про бюджет Сумської міської об'єднаної </t>
  </si>
  <si>
    <t xml:space="preserve">територіальної   громади   на   2020   рік»  </t>
  </si>
  <si>
    <t>Сумський міський голова</t>
  </si>
  <si>
    <t>О.М. Лисенко</t>
  </si>
  <si>
    <t>Виконавець: Липова С.А.</t>
  </si>
  <si>
    <t xml:space="preserve"> __________________</t>
  </si>
  <si>
    <t>від  25  березня  2020   року  № 6631 -  МР</t>
  </si>
  <si>
    <t xml:space="preserve">                        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</si>
</sst>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61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" fontId="23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0" fontId="47" fillId="0" borderId="0" xfId="0" applyFont="1" applyFill="1" applyAlignment="1">
      <alignment vertical="center" wrapText="1"/>
    </xf>
    <xf numFmtId="49" fontId="44" fillId="0" borderId="0" xfId="0" applyNumberFormat="1" applyFont="1" applyFill="1" applyAlignment="1" applyProtection="1">
      <alignment vertical="center"/>
    </xf>
    <xf numFmtId="0" fontId="45" fillId="0" borderId="0" xfId="0" applyNumberFormat="1" applyFont="1" applyFill="1" applyAlignment="1" applyProtection="1">
      <alignment vertical="top"/>
    </xf>
    <xf numFmtId="0" fontId="47" fillId="0" borderId="0" xfId="0" applyNumberFormat="1" applyFont="1" applyFill="1" applyAlignment="1" applyProtection="1"/>
    <xf numFmtId="3" fontId="47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 applyProtection="1">
      <alignment horizontal="left" wrapText="1"/>
    </xf>
    <xf numFmtId="3" fontId="4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40" fillId="0" borderId="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0" fontId="45" fillId="0" borderId="0" xfId="0" applyNumberFormat="1" applyFont="1" applyFill="1" applyAlignment="1" applyProtection="1">
      <alignment horizontal="center" vertical="top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I699"/>
  <sheetViews>
    <sheetView showGridLines="0" showZeros="0" view="pageBreakPreview" topLeftCell="A135" zoomScale="70" zoomScaleNormal="71" zoomScaleSheetLayoutView="70" workbookViewId="0">
      <selection activeCell="K135" sqref="K135"/>
    </sheetView>
  </sheetViews>
  <sheetFormatPr defaultColWidth="9.1640625" defaultRowHeight="15" x14ac:dyDescent="0.25"/>
  <cols>
    <col min="1" max="1" width="16.6640625" style="92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0" style="59" customWidth="1"/>
    <col min="12" max="12" width="20.1640625" style="59" customWidth="1"/>
    <col min="13" max="13" width="18.33203125" style="59" customWidth="1"/>
    <col min="14" max="14" width="19.83203125" style="59" customWidth="1"/>
    <col min="15" max="15" width="18.83203125" style="59" customWidth="1"/>
    <col min="16" max="16" width="21.5" style="81" customWidth="1"/>
    <col min="17" max="529" width="9.1640625" style="34"/>
    <col min="530" max="16384" width="9.1640625" style="20"/>
  </cols>
  <sheetData>
    <row r="1" spans="1:529" ht="26.25" customHeight="1" x14ac:dyDescent="0.25">
      <c r="K1" s="132" t="s">
        <v>451</v>
      </c>
      <c r="L1" s="150" t="s">
        <v>454</v>
      </c>
      <c r="M1" s="150"/>
      <c r="N1" s="150"/>
      <c r="O1" s="150"/>
      <c r="P1" s="123"/>
    </row>
    <row r="2" spans="1:529" ht="26.25" customHeight="1" x14ac:dyDescent="0.25">
      <c r="K2" s="132"/>
      <c r="L2" s="123" t="s">
        <v>455</v>
      </c>
      <c r="M2" s="123"/>
      <c r="N2" s="123"/>
      <c r="O2" s="123"/>
      <c r="P2" s="94"/>
    </row>
    <row r="3" spans="1:529" ht="26.25" customHeight="1" x14ac:dyDescent="0.25">
      <c r="K3" s="132"/>
      <c r="L3" s="152" t="s">
        <v>456</v>
      </c>
      <c r="M3" s="152"/>
      <c r="N3" s="152"/>
      <c r="O3" s="152"/>
      <c r="P3" s="152"/>
    </row>
    <row r="4" spans="1:529" ht="26.25" customHeight="1" x14ac:dyDescent="0.25">
      <c r="K4" s="132"/>
      <c r="L4" s="151" t="s">
        <v>457</v>
      </c>
      <c r="M4" s="151"/>
      <c r="N4" s="151"/>
      <c r="O4" s="151"/>
      <c r="P4" s="151"/>
    </row>
    <row r="5" spans="1:529" ht="26.25" customHeight="1" x14ac:dyDescent="0.25">
      <c r="K5" s="132"/>
      <c r="L5" s="123" t="s">
        <v>458</v>
      </c>
      <c r="M5" s="123"/>
      <c r="N5" s="123"/>
      <c r="O5" s="123"/>
      <c r="P5" s="123"/>
    </row>
    <row r="6" spans="1:529" ht="23.25" customHeight="1" x14ac:dyDescent="0.25">
      <c r="K6" s="135"/>
      <c r="L6" s="123" t="s">
        <v>459</v>
      </c>
      <c r="M6" s="123"/>
      <c r="N6" s="123"/>
      <c r="O6" s="123"/>
      <c r="P6" s="123"/>
    </row>
    <row r="7" spans="1:529" ht="26.25" customHeight="1" x14ac:dyDescent="0.25">
      <c r="K7" s="115"/>
      <c r="L7" s="123" t="s">
        <v>460</v>
      </c>
      <c r="M7" s="123"/>
      <c r="N7" s="123"/>
      <c r="O7" s="123"/>
      <c r="P7" s="123"/>
      <c r="Q7" s="115"/>
    </row>
    <row r="8" spans="1:529" ht="26.25" x14ac:dyDescent="0.4">
      <c r="L8" s="113" t="s">
        <v>465</v>
      </c>
      <c r="M8" s="113"/>
      <c r="N8" s="113"/>
      <c r="O8" s="113"/>
      <c r="P8" s="113"/>
    </row>
    <row r="9" spans="1:529" ht="26.25" x14ac:dyDescent="0.4">
      <c r="L9" s="113"/>
      <c r="M9" s="113"/>
      <c r="N9" s="113"/>
      <c r="O9" s="113"/>
      <c r="P9" s="113"/>
    </row>
    <row r="10" spans="1:529" s="56" customFormat="1" ht="59.25" customHeight="1" x14ac:dyDescent="0.3">
      <c r="A10" s="154" t="s">
        <v>418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</row>
    <row r="11" spans="1:529" s="56" customFormat="1" ht="42" customHeight="1" x14ac:dyDescent="0.3">
      <c r="A11" s="136" t="s">
        <v>424</v>
      </c>
      <c r="B11" s="136"/>
      <c r="C11" s="120"/>
      <c r="D11" s="120"/>
      <c r="E11" s="120"/>
      <c r="F11" s="120"/>
      <c r="G11" s="120"/>
      <c r="H11" s="120"/>
      <c r="I11" s="120"/>
      <c r="J11" s="120"/>
      <c r="K11" s="97"/>
      <c r="L11" s="97"/>
      <c r="M11" s="97"/>
      <c r="N11" s="97"/>
      <c r="O11" s="97"/>
      <c r="P11" s="97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</row>
    <row r="12" spans="1:529" s="56" customFormat="1" ht="46.5" customHeight="1" x14ac:dyDescent="0.3">
      <c r="A12" s="137" t="s">
        <v>446</v>
      </c>
      <c r="B12" s="137"/>
      <c r="C12" s="120"/>
      <c r="D12" s="120"/>
      <c r="E12" s="120"/>
      <c r="F12" s="120"/>
      <c r="G12" s="120"/>
      <c r="H12" s="120"/>
      <c r="I12" s="120"/>
      <c r="J12" s="120"/>
      <c r="K12" s="97"/>
      <c r="L12" s="97"/>
      <c r="M12" s="97"/>
      <c r="N12" s="97"/>
      <c r="O12" s="97"/>
      <c r="P12" s="97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</row>
    <row r="13" spans="1:529" s="58" customFormat="1" ht="14.25" customHeight="1" x14ac:dyDescent="0.3">
      <c r="A13" s="86"/>
      <c r="B13" s="63"/>
      <c r="C13" s="63"/>
      <c r="D13" s="19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22" t="s">
        <v>420</v>
      </c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7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7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7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  <c r="SI13" s="57"/>
      <c r="SJ13" s="57"/>
      <c r="SK13" s="57"/>
      <c r="SL13" s="57"/>
      <c r="SM13" s="57"/>
      <c r="SN13" s="57"/>
      <c r="SO13" s="57"/>
      <c r="SP13" s="57"/>
      <c r="SQ13" s="57"/>
      <c r="SR13" s="57"/>
      <c r="SS13" s="57"/>
      <c r="ST13" s="57"/>
      <c r="SU13" s="57"/>
      <c r="SV13" s="57"/>
      <c r="SW13" s="57"/>
      <c r="SX13" s="57"/>
      <c r="SY13" s="57"/>
      <c r="SZ13" s="57"/>
      <c r="TA13" s="57"/>
      <c r="TB13" s="57"/>
      <c r="TC13" s="57"/>
      <c r="TD13" s="57"/>
      <c r="TE13" s="57"/>
      <c r="TF13" s="57"/>
      <c r="TG13" s="57"/>
      <c r="TH13" s="57"/>
      <c r="TI13" s="57"/>
    </row>
    <row r="14" spans="1:529" s="21" customFormat="1" ht="34.5" customHeight="1" x14ac:dyDescent="0.2">
      <c r="A14" s="155" t="s">
        <v>397</v>
      </c>
      <c r="B14" s="149" t="s">
        <v>398</v>
      </c>
      <c r="C14" s="149" t="s">
        <v>384</v>
      </c>
      <c r="D14" s="149" t="s">
        <v>399</v>
      </c>
      <c r="E14" s="149" t="s">
        <v>265</v>
      </c>
      <c r="F14" s="149"/>
      <c r="G14" s="149"/>
      <c r="H14" s="149"/>
      <c r="I14" s="149"/>
      <c r="J14" s="149" t="s">
        <v>266</v>
      </c>
      <c r="K14" s="149"/>
      <c r="L14" s="149"/>
      <c r="M14" s="149"/>
      <c r="N14" s="149"/>
      <c r="O14" s="149"/>
      <c r="P14" s="149" t="s">
        <v>267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</row>
    <row r="15" spans="1:529" s="21" customFormat="1" ht="19.5" customHeight="1" x14ac:dyDescent="0.2">
      <c r="A15" s="155"/>
      <c r="B15" s="149"/>
      <c r="C15" s="149"/>
      <c r="D15" s="149"/>
      <c r="E15" s="149" t="s">
        <v>385</v>
      </c>
      <c r="F15" s="149" t="s">
        <v>268</v>
      </c>
      <c r="G15" s="149" t="s">
        <v>269</v>
      </c>
      <c r="H15" s="149"/>
      <c r="I15" s="149" t="s">
        <v>270</v>
      </c>
      <c r="J15" s="149" t="s">
        <v>385</v>
      </c>
      <c r="K15" s="149" t="s">
        <v>386</v>
      </c>
      <c r="L15" s="149" t="s">
        <v>268</v>
      </c>
      <c r="M15" s="149" t="s">
        <v>269</v>
      </c>
      <c r="N15" s="149"/>
      <c r="O15" s="149" t="s">
        <v>270</v>
      </c>
      <c r="P15" s="149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54" customHeight="1" x14ac:dyDescent="0.2">
      <c r="A16" s="155"/>
      <c r="B16" s="149"/>
      <c r="C16" s="149"/>
      <c r="D16" s="149"/>
      <c r="E16" s="149"/>
      <c r="F16" s="149"/>
      <c r="G16" s="121" t="s">
        <v>271</v>
      </c>
      <c r="H16" s="121" t="s">
        <v>272</v>
      </c>
      <c r="I16" s="149"/>
      <c r="J16" s="149"/>
      <c r="K16" s="149"/>
      <c r="L16" s="149"/>
      <c r="M16" s="79" t="s">
        <v>271</v>
      </c>
      <c r="N16" s="79" t="s">
        <v>272</v>
      </c>
      <c r="O16" s="149"/>
      <c r="P16" s="149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31" customFormat="1" ht="19.5" customHeight="1" x14ac:dyDescent="0.2">
      <c r="A17" s="87" t="s">
        <v>180</v>
      </c>
      <c r="B17" s="65"/>
      <c r="C17" s="65"/>
      <c r="D17" s="32" t="s">
        <v>48</v>
      </c>
      <c r="E17" s="66">
        <f>E18</f>
        <v>183580503</v>
      </c>
      <c r="F17" s="66">
        <f t="shared" ref="F17:J17" si="0">F18</f>
        <v>173580503</v>
      </c>
      <c r="G17" s="66">
        <f t="shared" si="0"/>
        <v>93458455</v>
      </c>
      <c r="H17" s="66">
        <f t="shared" si="0"/>
        <v>5289300</v>
      </c>
      <c r="I17" s="66">
        <f t="shared" si="0"/>
        <v>10000000</v>
      </c>
      <c r="J17" s="66">
        <f t="shared" si="0"/>
        <v>34549593.200000003</v>
      </c>
      <c r="K17" s="66">
        <f t="shared" ref="K17" si="1">K18</f>
        <v>34032750</v>
      </c>
      <c r="L17" s="66">
        <f t="shared" ref="L17" si="2">L18</f>
        <v>516843.2</v>
      </c>
      <c r="M17" s="66">
        <f t="shared" ref="M17" si="3">M18</f>
        <v>91105</v>
      </c>
      <c r="N17" s="66">
        <f t="shared" ref="N17" si="4">N18</f>
        <v>52450</v>
      </c>
      <c r="O17" s="66">
        <f t="shared" ref="O17:P17" si="5">O18</f>
        <v>34032750</v>
      </c>
      <c r="P17" s="66">
        <f t="shared" si="5"/>
        <v>218130096.19999999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</row>
    <row r="18" spans="1:529" s="40" customFormat="1" ht="19.5" customHeight="1" x14ac:dyDescent="0.25">
      <c r="A18" s="77" t="s">
        <v>181</v>
      </c>
      <c r="B18" s="67"/>
      <c r="C18" s="67"/>
      <c r="D18" s="33" t="s">
        <v>48</v>
      </c>
      <c r="E18" s="68">
        <f>E19+E20+E21+E22+E23+E24+E25+E26+E27+E28+E29+E30+E31+E32+E33+E34+E35+E36+E37+E38+E39+E40+E41+E42+E43+E44+E45+E46+E47+E48</f>
        <v>183580503</v>
      </c>
      <c r="F18" s="68">
        <f t="shared" ref="F18:P18" si="6">F19+F20+F21+F22+F23+F24+F25+F26+F27+F28+F29+F30+F31+F32+F33+F34+F35+F36+F37+F38+F39+F40+F41+F42+F43+F44+F45+F46+F47+F48</f>
        <v>173580503</v>
      </c>
      <c r="G18" s="68">
        <f t="shared" si="6"/>
        <v>93458455</v>
      </c>
      <c r="H18" s="68">
        <f t="shared" si="6"/>
        <v>5289300</v>
      </c>
      <c r="I18" s="68">
        <f t="shared" si="6"/>
        <v>10000000</v>
      </c>
      <c r="J18" s="68">
        <f t="shared" si="6"/>
        <v>34549593.200000003</v>
      </c>
      <c r="K18" s="68">
        <f>K19+K20+K21+K22+K23+K24+K25+K26+K27+K28+K29+K30+K31+K32+K33+K34+K35+K36+K37+K38+K39+K40+K41+K42+K43+K44+K45+K46+K47+K48</f>
        <v>34032750</v>
      </c>
      <c r="L18" s="68">
        <f t="shared" si="6"/>
        <v>516843.2</v>
      </c>
      <c r="M18" s="68">
        <f t="shared" si="6"/>
        <v>91105</v>
      </c>
      <c r="N18" s="68">
        <f t="shared" si="6"/>
        <v>52450</v>
      </c>
      <c r="O18" s="68">
        <f t="shared" si="6"/>
        <v>34032750</v>
      </c>
      <c r="P18" s="68">
        <f t="shared" si="6"/>
        <v>218130096.19999999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</row>
    <row r="19" spans="1:529" s="23" customFormat="1" ht="46.5" customHeight="1" x14ac:dyDescent="0.25">
      <c r="A19" s="43" t="s">
        <v>182</v>
      </c>
      <c r="B19" s="44" t="str">
        <f>'дод 4'!A19</f>
        <v>0160</v>
      </c>
      <c r="C19" s="44" t="str">
        <f>'дод 4'!B19</f>
        <v>0111</v>
      </c>
      <c r="D19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9" s="69">
        <f t="shared" ref="E19:E48" si="7">F19+I19</f>
        <v>100282882</v>
      </c>
      <c r="F19" s="69">
        <f>105070300+350000+405400-4697800+243482-1103300+14800</f>
        <v>100282882</v>
      </c>
      <c r="G19" s="69">
        <f>77144000-3850700+199575</f>
        <v>73492875</v>
      </c>
      <c r="H19" s="69">
        <v>2750400</v>
      </c>
      <c r="I19" s="69"/>
      <c r="J19" s="69">
        <f>L19+O19</f>
        <v>1230200</v>
      </c>
      <c r="K19" s="69">
        <v>1230200</v>
      </c>
      <c r="L19" s="69"/>
      <c r="M19" s="69"/>
      <c r="N19" s="69"/>
      <c r="O19" s="69">
        <v>1230200</v>
      </c>
      <c r="P19" s="69">
        <f t="shared" ref="P19:P48" si="8">E19+J19</f>
        <v>101513082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</row>
    <row r="20" spans="1:529" s="23" customFormat="1" ht="21.75" customHeight="1" x14ac:dyDescent="0.25">
      <c r="A20" s="43" t="s">
        <v>283</v>
      </c>
      <c r="B20" s="44" t="str">
        <f>'дод 4'!A20</f>
        <v>0180</v>
      </c>
      <c r="C20" s="44" t="str">
        <f>'дод 4'!B20</f>
        <v>0133</v>
      </c>
      <c r="D20" s="24" t="str">
        <f>'дод 4'!C20</f>
        <v>Інша діяльність у сфері державного управління</v>
      </c>
      <c r="E20" s="69">
        <f t="shared" si="7"/>
        <v>310000</v>
      </c>
      <c r="F20" s="69">
        <v>310000</v>
      </c>
      <c r="G20" s="69"/>
      <c r="H20" s="69"/>
      <c r="I20" s="69"/>
      <c r="J20" s="69">
        <f t="shared" ref="J20:J48" si="9">L20+O20</f>
        <v>0</v>
      </c>
      <c r="K20" s="69"/>
      <c r="L20" s="69"/>
      <c r="M20" s="69"/>
      <c r="N20" s="69"/>
      <c r="O20" s="69"/>
      <c r="P20" s="69">
        <f t="shared" si="8"/>
        <v>310000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</row>
    <row r="21" spans="1:529" s="23" customFormat="1" ht="43.5" customHeight="1" x14ac:dyDescent="0.25">
      <c r="A21" s="43" t="s">
        <v>299</v>
      </c>
      <c r="B21" s="44" t="str">
        <f>'дод 4'!A54</f>
        <v>3033</v>
      </c>
      <c r="C21" s="44" t="str">
        <f>'дод 4'!B54</f>
        <v>1070</v>
      </c>
      <c r="D21" s="24" t="str">
        <f>'дод 4'!C54</f>
        <v>Компенсаційні виплати на пільговий проїзд автомобільним транспортом окремим категоріям громадян</v>
      </c>
      <c r="E21" s="69">
        <f t="shared" si="7"/>
        <v>124200</v>
      </c>
      <c r="F21" s="69">
        <v>124200</v>
      </c>
      <c r="G21" s="69"/>
      <c r="H21" s="69"/>
      <c r="I21" s="69"/>
      <c r="J21" s="69">
        <f t="shared" si="9"/>
        <v>0</v>
      </c>
      <c r="K21" s="69"/>
      <c r="L21" s="69"/>
      <c r="M21" s="69"/>
      <c r="N21" s="69"/>
      <c r="O21" s="69"/>
      <c r="P21" s="69">
        <f t="shared" si="8"/>
        <v>124200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3" customFormat="1" ht="36.75" customHeight="1" x14ac:dyDescent="0.25">
      <c r="A22" s="43" t="s">
        <v>183</v>
      </c>
      <c r="B22" s="44" t="str">
        <f>'дод 4'!A56</f>
        <v>3036</v>
      </c>
      <c r="C22" s="44" t="str">
        <f>'дод 4'!B56</f>
        <v>1070</v>
      </c>
      <c r="D22" s="24" t="str">
        <f>'дод 4'!C56</f>
        <v>Компенсаційні виплати на пільговий проїзд електротранспортом окремим категоріям громадян</v>
      </c>
      <c r="E22" s="69">
        <f t="shared" si="7"/>
        <v>270325</v>
      </c>
      <c r="F22" s="69">
        <v>270325</v>
      </c>
      <c r="G22" s="69"/>
      <c r="H22" s="69"/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270325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36" customHeight="1" x14ac:dyDescent="0.25">
      <c r="A23" s="43" t="s">
        <v>184</v>
      </c>
      <c r="B23" s="44" t="str">
        <f>'дод 4'!A62</f>
        <v>3121</v>
      </c>
      <c r="C23" s="44" t="str">
        <f>'дод 4'!B62</f>
        <v>1040</v>
      </c>
      <c r="D23" s="24" t="str">
        <f>'дод 4'!C62</f>
        <v>Утримання та забезпечення діяльності центрів соціальних служб для сім’ї, дітей та молоді</v>
      </c>
      <c r="E23" s="69">
        <f t="shared" si="7"/>
        <v>2529735</v>
      </c>
      <c r="F23" s="69">
        <f>2487735+42000</f>
        <v>2529735</v>
      </c>
      <c r="G23" s="69">
        <v>1883250</v>
      </c>
      <c r="H23" s="69">
        <v>50170</v>
      </c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2529735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48.75" customHeight="1" x14ac:dyDescent="0.25">
      <c r="A24" s="43" t="s">
        <v>185</v>
      </c>
      <c r="B24" s="44" t="str">
        <f>'дод 4'!A63</f>
        <v>3131</v>
      </c>
      <c r="C24" s="44" t="str">
        <f>'дод 4'!B63</f>
        <v>1040</v>
      </c>
      <c r="D24" s="24" t="str">
        <f>'дод 4'!C63</f>
        <v>Здійснення заходів та реалізація проектів на виконання Державної цільової соціальної програми "Молодь України"</v>
      </c>
      <c r="E24" s="69">
        <f t="shared" si="7"/>
        <v>850000</v>
      </c>
      <c r="F24" s="69">
        <v>850000</v>
      </c>
      <c r="G24" s="69"/>
      <c r="H24" s="69"/>
      <c r="I24" s="69"/>
      <c r="J24" s="69">
        <f t="shared" si="9"/>
        <v>0</v>
      </c>
      <c r="K24" s="69"/>
      <c r="L24" s="69"/>
      <c r="M24" s="69"/>
      <c r="N24" s="69"/>
      <c r="O24" s="69"/>
      <c r="P24" s="69">
        <f t="shared" si="8"/>
        <v>850000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60" customHeight="1" x14ac:dyDescent="0.25">
      <c r="A25" s="43" t="s">
        <v>186</v>
      </c>
      <c r="B25" s="44" t="str">
        <f>'дод 4'!A64</f>
        <v>3140</v>
      </c>
      <c r="C25" s="44" t="str">
        <f>'дод 4'!B64</f>
        <v>1040</v>
      </c>
      <c r="D25" s="24" t="str">
        <f>'дод 4'!C64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5" s="69">
        <f t="shared" si="7"/>
        <v>560000</v>
      </c>
      <c r="F25" s="69">
        <v>560000</v>
      </c>
      <c r="G25" s="69"/>
      <c r="H25" s="69"/>
      <c r="I25" s="69"/>
      <c r="J25" s="69">
        <f t="shared" si="9"/>
        <v>0</v>
      </c>
      <c r="K25" s="69"/>
      <c r="L25" s="69"/>
      <c r="M25" s="69"/>
      <c r="N25" s="69"/>
      <c r="O25" s="69"/>
      <c r="P25" s="69">
        <f t="shared" si="8"/>
        <v>560000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37.5" customHeight="1" x14ac:dyDescent="0.25">
      <c r="A26" s="43" t="s">
        <v>355</v>
      </c>
      <c r="B26" s="44" t="str">
        <f>'дод 4'!A73</f>
        <v>3241</v>
      </c>
      <c r="C26" s="44" t="str">
        <f>'дод 4'!B73</f>
        <v>1090</v>
      </c>
      <c r="D26" s="24" t="str">
        <f>'дод 4'!C73</f>
        <v>Забезпечення діяльності інших закладів у сфері соціального захисту і соціального забезпечення</v>
      </c>
      <c r="E26" s="69">
        <f t="shared" si="7"/>
        <v>1198395</v>
      </c>
      <c r="F26" s="69">
        <v>1198395</v>
      </c>
      <c r="G26" s="69">
        <v>852910</v>
      </c>
      <c r="H26" s="69">
        <v>114300</v>
      </c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1198395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33.75" customHeight="1" x14ac:dyDescent="0.25">
      <c r="A27" s="43" t="s">
        <v>356</v>
      </c>
      <c r="B27" s="44" t="str">
        <f>'дод 4'!A74</f>
        <v>3242</v>
      </c>
      <c r="C27" s="44" t="str">
        <f>'дод 4'!B74</f>
        <v>1090</v>
      </c>
      <c r="D27" s="24" t="str">
        <f>'дод 4'!C74</f>
        <v>Інші заходи у сфері соціального захисту і соціального забезпечення</v>
      </c>
      <c r="E27" s="69">
        <f t="shared" si="7"/>
        <v>218310</v>
      </c>
      <c r="F27" s="69">
        <v>218310</v>
      </c>
      <c r="G27" s="69"/>
      <c r="H27" s="69"/>
      <c r="I27" s="69"/>
      <c r="J27" s="69">
        <f t="shared" si="9"/>
        <v>0</v>
      </c>
      <c r="K27" s="69"/>
      <c r="L27" s="69"/>
      <c r="M27" s="69"/>
      <c r="N27" s="69"/>
      <c r="O27" s="69"/>
      <c r="P27" s="69">
        <f t="shared" si="8"/>
        <v>218310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3.75" customHeight="1" x14ac:dyDescent="0.25">
      <c r="A28" s="43" t="s">
        <v>375</v>
      </c>
      <c r="B28" s="44" t="str">
        <f>'дод 4'!A77</f>
        <v>4060</v>
      </c>
      <c r="C28" s="44" t="str">
        <f>'дод 4'!B77</f>
        <v>0828</v>
      </c>
      <c r="D28" s="24" t="str">
        <f>'дод 4'!C77</f>
        <v>Забезпечення діяльності палаців i будинків культури, клубів, центрів дозвілля та iнших клубних закладів</v>
      </c>
      <c r="E28" s="69">
        <f t="shared" si="7"/>
        <v>4595000</v>
      </c>
      <c r="F28" s="70">
        <f>4745000-150000</f>
        <v>4595000</v>
      </c>
      <c r="G28" s="69">
        <v>2098000</v>
      </c>
      <c r="H28" s="69">
        <v>727600</v>
      </c>
      <c r="I28" s="69"/>
      <c r="J28" s="69">
        <f t="shared" si="9"/>
        <v>25500</v>
      </c>
      <c r="K28" s="69">
        <v>25500</v>
      </c>
      <c r="L28" s="69"/>
      <c r="M28" s="69"/>
      <c r="N28" s="69"/>
      <c r="O28" s="69">
        <v>25500</v>
      </c>
      <c r="P28" s="69">
        <f t="shared" si="8"/>
        <v>4620500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0.75" customHeight="1" x14ac:dyDescent="0.25">
      <c r="A29" s="43" t="s">
        <v>353</v>
      </c>
      <c r="B29" s="44" t="str">
        <f>'дод 4'!A78</f>
        <v>4081</v>
      </c>
      <c r="C29" s="44" t="str">
        <f>'дод 4'!B78</f>
        <v>0829</v>
      </c>
      <c r="D29" s="24" t="str">
        <f>'дод 4'!C78</f>
        <v>Забезпечення діяльності інших закладів в галузі культури і мистецтва</v>
      </c>
      <c r="E29" s="69">
        <f t="shared" si="7"/>
        <v>3437900</v>
      </c>
      <c r="F29" s="69">
        <f>2374900+300000+276000+150000+337000</f>
        <v>3437900</v>
      </c>
      <c r="G29" s="69">
        <v>1389000</v>
      </c>
      <c r="H29" s="69">
        <v>91200</v>
      </c>
      <c r="I29" s="69"/>
      <c r="J29" s="69">
        <f t="shared" si="9"/>
        <v>224000</v>
      </c>
      <c r="K29" s="69">
        <v>224000</v>
      </c>
      <c r="L29" s="69"/>
      <c r="M29" s="69"/>
      <c r="N29" s="69"/>
      <c r="O29" s="69">
        <v>224000</v>
      </c>
      <c r="P29" s="69">
        <f t="shared" si="8"/>
        <v>3661900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25.5" customHeight="1" x14ac:dyDescent="0.25">
      <c r="A30" s="43" t="s">
        <v>354</v>
      </c>
      <c r="B30" s="44" t="str">
        <f>'дод 4'!A79</f>
        <v>4082</v>
      </c>
      <c r="C30" s="44" t="str">
        <f>'дод 4'!B79</f>
        <v>0829</v>
      </c>
      <c r="D30" s="24" t="str">
        <f>'дод 4'!C79</f>
        <v>Інші заходи в галузі культури і мистецтва</v>
      </c>
      <c r="E30" s="69">
        <f t="shared" si="7"/>
        <v>465000</v>
      </c>
      <c r="F30" s="69">
        <v>465000</v>
      </c>
      <c r="G30" s="69"/>
      <c r="H30" s="69"/>
      <c r="I30" s="69"/>
      <c r="J30" s="69">
        <f t="shared" si="9"/>
        <v>0</v>
      </c>
      <c r="K30" s="69"/>
      <c r="L30" s="69"/>
      <c r="M30" s="69"/>
      <c r="N30" s="69"/>
      <c r="O30" s="69"/>
      <c r="P30" s="69">
        <f t="shared" si="8"/>
        <v>465000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36.75" customHeight="1" x14ac:dyDescent="0.25">
      <c r="A31" s="52" t="s">
        <v>187</v>
      </c>
      <c r="B31" s="45" t="str">
        <f>'дод 4'!A81</f>
        <v>5011</v>
      </c>
      <c r="C31" s="45" t="str">
        <f>'дод 4'!B81</f>
        <v>0810</v>
      </c>
      <c r="D31" s="22" t="str">
        <f>'дод 4'!C81</f>
        <v>Проведення навчально-тренувальних зборів і змагань з олімпійських видів спорту</v>
      </c>
      <c r="E31" s="69">
        <f t="shared" si="7"/>
        <v>1761000</v>
      </c>
      <c r="F31" s="69">
        <f>750000+1000000+11000</f>
        <v>1761000</v>
      </c>
      <c r="G31" s="69"/>
      <c r="H31" s="69"/>
      <c r="I31" s="69"/>
      <c r="J31" s="69">
        <f t="shared" si="9"/>
        <v>0</v>
      </c>
      <c r="K31" s="69"/>
      <c r="L31" s="69"/>
      <c r="M31" s="69"/>
      <c r="N31" s="69"/>
      <c r="O31" s="69"/>
      <c r="P31" s="69">
        <f t="shared" si="8"/>
        <v>1761000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34.5" customHeight="1" x14ac:dyDescent="0.25">
      <c r="A32" s="52" t="s">
        <v>188</v>
      </c>
      <c r="B32" s="45" t="str">
        <f>'дод 4'!A82</f>
        <v>5012</v>
      </c>
      <c r="C32" s="45" t="str">
        <f>'дод 4'!B82</f>
        <v>0810</v>
      </c>
      <c r="D32" s="22" t="str">
        <f>'дод 4'!C82</f>
        <v>Проведення навчально-тренувальних зборів і змагань з неолімпійських видів спорту</v>
      </c>
      <c r="E32" s="69">
        <f t="shared" si="7"/>
        <v>2275000</v>
      </c>
      <c r="F32" s="69">
        <f>750000+1300000+127000+98000</f>
        <v>2275000</v>
      </c>
      <c r="G32" s="69"/>
      <c r="H32" s="69"/>
      <c r="I32" s="69"/>
      <c r="J32" s="69">
        <f t="shared" si="9"/>
        <v>0</v>
      </c>
      <c r="K32" s="69"/>
      <c r="L32" s="69"/>
      <c r="M32" s="69"/>
      <c r="N32" s="69"/>
      <c r="O32" s="69"/>
      <c r="P32" s="69">
        <f t="shared" si="8"/>
        <v>2275000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9" customHeight="1" x14ac:dyDescent="0.25">
      <c r="A33" s="52" t="s">
        <v>189</v>
      </c>
      <c r="B33" s="45" t="str">
        <f>'дод 4'!A83</f>
        <v>5031</v>
      </c>
      <c r="C33" s="45" t="str">
        <f>'дод 4'!B83</f>
        <v>0810</v>
      </c>
      <c r="D33" s="22" t="str">
        <f>'дод 4'!C83</f>
        <v>Утримання та навчально-тренувальна робота комунальних дитячо-юнацьких спортивних шкіл</v>
      </c>
      <c r="E33" s="69">
        <f t="shared" si="7"/>
        <v>13555830</v>
      </c>
      <c r="F33" s="69">
        <f>13106830+37000+412000</f>
        <v>13555830</v>
      </c>
      <c r="G33" s="69">
        <v>9753300</v>
      </c>
      <c r="H33" s="69">
        <v>819990</v>
      </c>
      <c r="I33" s="69">
        <v>0</v>
      </c>
      <c r="J33" s="69">
        <f t="shared" si="9"/>
        <v>728000</v>
      </c>
      <c r="K33" s="69">
        <f>500000+228000</f>
        <v>728000</v>
      </c>
      <c r="L33" s="69"/>
      <c r="M33" s="69"/>
      <c r="N33" s="69"/>
      <c r="O33" s="69">
        <f>500000+228000</f>
        <v>728000</v>
      </c>
      <c r="P33" s="69">
        <f t="shared" si="8"/>
        <v>14283830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3.75" customHeight="1" x14ac:dyDescent="0.25">
      <c r="A34" s="52" t="s">
        <v>419</v>
      </c>
      <c r="B34" s="45" t="str">
        <f>'дод 4'!A84</f>
        <v>5032</v>
      </c>
      <c r="C34" s="45" t="str">
        <f>'дод 4'!B84</f>
        <v>0810</v>
      </c>
      <c r="D34" s="22" t="str">
        <f>'дод 4'!C84</f>
        <v>Фінансова підтримка дитячо-юнацьких спортивних шкіл фізкультурно-спортивних товариств</v>
      </c>
      <c r="E34" s="69">
        <f t="shared" si="7"/>
        <v>11306630</v>
      </c>
      <c r="F34" s="69">
        <f>11143630+20000+143000</f>
        <v>11306630</v>
      </c>
      <c r="G34" s="69"/>
      <c r="H34" s="69"/>
      <c r="I34" s="69"/>
      <c r="J34" s="69">
        <f t="shared" si="9"/>
        <v>100000</v>
      </c>
      <c r="K34" s="69">
        <f>93000+7000</f>
        <v>100000</v>
      </c>
      <c r="L34" s="69"/>
      <c r="M34" s="69"/>
      <c r="N34" s="69"/>
      <c r="O34" s="69">
        <f>93000+7000</f>
        <v>100000</v>
      </c>
      <c r="P34" s="69">
        <f t="shared" si="8"/>
        <v>11406630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48" customHeight="1" x14ac:dyDescent="0.25">
      <c r="A35" s="52" t="s">
        <v>190</v>
      </c>
      <c r="B35" s="45" t="str">
        <f>'дод 4'!A85</f>
        <v>5061</v>
      </c>
      <c r="C35" s="45" t="str">
        <f>'дод 4'!B85</f>
        <v>0810</v>
      </c>
      <c r="D35" s="22" t="str">
        <f>'дод 4'!C85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5" s="69">
        <f t="shared" si="7"/>
        <v>3943120</v>
      </c>
      <c r="F35" s="69">
        <f>3728120+165000+50000</f>
        <v>3943120</v>
      </c>
      <c r="G35" s="69">
        <v>2446900</v>
      </c>
      <c r="H35" s="69">
        <v>370100</v>
      </c>
      <c r="I35" s="69"/>
      <c r="J35" s="69">
        <f t="shared" si="9"/>
        <v>1079120</v>
      </c>
      <c r="K35" s="69">
        <v>900000</v>
      </c>
      <c r="L35" s="69">
        <v>179120</v>
      </c>
      <c r="M35" s="69">
        <v>91105</v>
      </c>
      <c r="N35" s="69">
        <v>51050</v>
      </c>
      <c r="O35" s="69">
        <v>900000</v>
      </c>
      <c r="P35" s="69">
        <f t="shared" si="8"/>
        <v>5022240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39" customHeight="1" x14ac:dyDescent="0.25">
      <c r="A36" s="52" t="s">
        <v>410</v>
      </c>
      <c r="B36" s="45" t="str">
        <f>'дод 4'!A86</f>
        <v>5062</v>
      </c>
      <c r="C36" s="45" t="str">
        <f>'дод 4'!B86</f>
        <v>0810</v>
      </c>
      <c r="D36" s="22" t="str">
        <f>'дод 4'!C86</f>
        <v>Підтримка спорту вищих досягнень та організацій, які здійснюють фізкультурно-спортивну діяльність в регіоні</v>
      </c>
      <c r="E36" s="69">
        <f t="shared" si="7"/>
        <v>7023390</v>
      </c>
      <c r="F36" s="69">
        <f>6608390+200000+215000</f>
        <v>7023390</v>
      </c>
      <c r="G36" s="69"/>
      <c r="H36" s="69"/>
      <c r="I36" s="69"/>
      <c r="J36" s="69">
        <f t="shared" si="9"/>
        <v>43450</v>
      </c>
      <c r="K36" s="69">
        <v>43450</v>
      </c>
      <c r="L36" s="69"/>
      <c r="M36" s="69"/>
      <c r="N36" s="69"/>
      <c r="O36" s="69">
        <v>43450</v>
      </c>
      <c r="P36" s="69">
        <f t="shared" si="8"/>
        <v>7066840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24" customHeight="1" x14ac:dyDescent="0.25">
      <c r="A37" s="52" t="s">
        <v>191</v>
      </c>
      <c r="B37" s="45" t="str">
        <f>'дод 4'!A114</f>
        <v>7412</v>
      </c>
      <c r="C37" s="45" t="str">
        <f>'дод 4'!B114</f>
        <v>0451</v>
      </c>
      <c r="D37" s="22" t="str">
        <f>'дод 4'!C114</f>
        <v>Регулювання цін на послуги місцевого автотранспорту</v>
      </c>
      <c r="E37" s="69">
        <f t="shared" si="7"/>
        <v>10000000</v>
      </c>
      <c r="F37" s="69"/>
      <c r="G37" s="69"/>
      <c r="H37" s="69"/>
      <c r="I37" s="69">
        <v>10000000</v>
      </c>
      <c r="J37" s="69">
        <f t="shared" si="9"/>
        <v>0</v>
      </c>
      <c r="K37" s="69"/>
      <c r="L37" s="69"/>
      <c r="M37" s="69"/>
      <c r="N37" s="69"/>
      <c r="O37" s="69"/>
      <c r="P37" s="69">
        <f t="shared" si="8"/>
        <v>10000000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31.5" customHeight="1" x14ac:dyDescent="0.25">
      <c r="A38" s="52" t="s">
        <v>275</v>
      </c>
      <c r="B38" s="45" t="str">
        <f>'дод 4'!A118</f>
        <v>7530</v>
      </c>
      <c r="C38" s="45" t="str">
        <f>'дод 4'!B118</f>
        <v>0460</v>
      </c>
      <c r="D38" s="22" t="str">
        <f>'дод 4'!C118</f>
        <v>Інші заходи у сфері зв'язку, телекомунікації та інформатики</v>
      </c>
      <c r="E38" s="69">
        <f t="shared" si="7"/>
        <v>13450000</v>
      </c>
      <c r="F38" s="69">
        <f>10000000+3450000</f>
        <v>13450000</v>
      </c>
      <c r="G38" s="69"/>
      <c r="H38" s="69"/>
      <c r="I38" s="69"/>
      <c r="J38" s="69">
        <f t="shared" si="9"/>
        <v>6050000</v>
      </c>
      <c r="K38" s="69">
        <f>5000000+1050000</f>
        <v>6050000</v>
      </c>
      <c r="L38" s="69"/>
      <c r="M38" s="69"/>
      <c r="N38" s="69"/>
      <c r="O38" s="69">
        <f>5000000+1050000</f>
        <v>6050000</v>
      </c>
      <c r="P38" s="69">
        <f t="shared" si="8"/>
        <v>19500000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20.25" customHeight="1" x14ac:dyDescent="0.25">
      <c r="A39" s="52" t="s">
        <v>192</v>
      </c>
      <c r="B39" s="45" t="str">
        <f>'дод 4'!A120</f>
        <v>7610</v>
      </c>
      <c r="C39" s="45" t="str">
        <f>'дод 4'!B120</f>
        <v>0411</v>
      </c>
      <c r="D39" s="22" t="str">
        <f>'дод 4'!C120</f>
        <v>Сприяння розвитку малого та середнього підприємництва</v>
      </c>
      <c r="E39" s="69">
        <f t="shared" si="7"/>
        <v>215000</v>
      </c>
      <c r="F39" s="69">
        <f>115000+100000</f>
        <v>215000</v>
      </c>
      <c r="G39" s="69"/>
      <c r="H39" s="69"/>
      <c r="I39" s="69"/>
      <c r="J39" s="69">
        <f t="shared" si="9"/>
        <v>0</v>
      </c>
      <c r="K39" s="69"/>
      <c r="L39" s="69"/>
      <c r="M39" s="69"/>
      <c r="N39" s="69"/>
      <c r="O39" s="69"/>
      <c r="P39" s="69">
        <f t="shared" si="8"/>
        <v>215000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ht="23.25" customHeight="1" x14ac:dyDescent="0.25">
      <c r="A40" s="52" t="s">
        <v>193</v>
      </c>
      <c r="B40" s="45" t="str">
        <f>'дод 4'!A124</f>
        <v>7670</v>
      </c>
      <c r="C40" s="45" t="str">
        <f>'дод 4'!B124</f>
        <v>0490</v>
      </c>
      <c r="D40" s="22" t="str">
        <f>'дод 4'!C124</f>
        <v>Внески до статутного капіталу суб’єктів господарювання</v>
      </c>
      <c r="E40" s="69">
        <f t="shared" si="7"/>
        <v>0</v>
      </c>
      <c r="F40" s="69"/>
      <c r="G40" s="69"/>
      <c r="H40" s="69"/>
      <c r="I40" s="69"/>
      <c r="J40" s="69">
        <f t="shared" si="9"/>
        <v>22572000</v>
      </c>
      <c r="K40" s="69">
        <f>22572000</f>
        <v>22572000</v>
      </c>
      <c r="L40" s="69"/>
      <c r="M40" s="69"/>
      <c r="N40" s="69"/>
      <c r="O40" s="69">
        <f>22572000</f>
        <v>22572000</v>
      </c>
      <c r="P40" s="69">
        <f t="shared" si="8"/>
        <v>22572000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36.75" customHeight="1" x14ac:dyDescent="0.25">
      <c r="A41" s="52" t="s">
        <v>289</v>
      </c>
      <c r="B41" s="45" t="str">
        <f>'дод 4'!A125</f>
        <v>7680</v>
      </c>
      <c r="C41" s="45" t="str">
        <f>'дод 4'!B125</f>
        <v>0490</v>
      </c>
      <c r="D41" s="22" t="str">
        <f>'дод 4'!C125</f>
        <v>Членські внески до асоціацій органів місцевого самоврядування</v>
      </c>
      <c r="E41" s="69">
        <f t="shared" si="7"/>
        <v>240069</v>
      </c>
      <c r="F41" s="69">
        <f>158069+82000</f>
        <v>240069</v>
      </c>
      <c r="G41" s="69"/>
      <c r="H41" s="69"/>
      <c r="I41" s="69"/>
      <c r="J41" s="69">
        <f t="shared" si="9"/>
        <v>0</v>
      </c>
      <c r="K41" s="69"/>
      <c r="L41" s="69"/>
      <c r="M41" s="69"/>
      <c r="N41" s="69"/>
      <c r="O41" s="69"/>
      <c r="P41" s="69">
        <f t="shared" si="8"/>
        <v>240069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90" customHeight="1" x14ac:dyDescent="0.25">
      <c r="A42" s="52" t="s">
        <v>351</v>
      </c>
      <c r="B42" s="45" t="str">
        <f>'дод 4'!A126</f>
        <v>7691</v>
      </c>
      <c r="C42" s="45" t="str">
        <f>'дод 4'!B126</f>
        <v>0490</v>
      </c>
      <c r="D42" s="22" t="str">
        <f>'дод 4'!C126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2" s="69">
        <f t="shared" si="7"/>
        <v>0</v>
      </c>
      <c r="F42" s="69"/>
      <c r="G42" s="69"/>
      <c r="H42" s="69"/>
      <c r="I42" s="69"/>
      <c r="J42" s="69">
        <f t="shared" si="9"/>
        <v>68223.199999999997</v>
      </c>
      <c r="K42" s="69"/>
      <c r="L42" s="69">
        <f>64711+3512.2</f>
        <v>68223.199999999997</v>
      </c>
      <c r="M42" s="69"/>
      <c r="N42" s="69"/>
      <c r="O42" s="69"/>
      <c r="P42" s="69">
        <f t="shared" si="8"/>
        <v>68223.199999999997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3.25" customHeight="1" x14ac:dyDescent="0.25">
      <c r="A43" s="52" t="s">
        <v>282</v>
      </c>
      <c r="B43" s="45" t="str">
        <f>'дод 4'!A127</f>
        <v>7693</v>
      </c>
      <c r="C43" s="45" t="str">
        <f>'дод 4'!B127</f>
        <v>0490</v>
      </c>
      <c r="D43" s="22" t="str">
        <f>'дод 4'!C127</f>
        <v>Інші заходи, пов'язані з економічною діяльністю</v>
      </c>
      <c r="E43" s="69">
        <f t="shared" si="7"/>
        <v>1870587</v>
      </c>
      <c r="F43" s="69">
        <f>1617587+250000+3000</f>
        <v>1870587</v>
      </c>
      <c r="G43" s="69"/>
      <c r="H43" s="69"/>
      <c r="I43" s="69"/>
      <c r="J43" s="69">
        <f t="shared" si="9"/>
        <v>0</v>
      </c>
      <c r="K43" s="69"/>
      <c r="L43" s="69"/>
      <c r="M43" s="69"/>
      <c r="N43" s="69"/>
      <c r="O43" s="69"/>
      <c r="P43" s="69">
        <f t="shared" si="8"/>
        <v>1870587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34.5" customHeight="1" x14ac:dyDescent="0.25">
      <c r="A44" s="52" t="s">
        <v>194</v>
      </c>
      <c r="B44" s="45" t="str">
        <f>'дод 4'!A132</f>
        <v>8110</v>
      </c>
      <c r="C44" s="45" t="str">
        <f>'дод 4'!B132</f>
        <v>0320</v>
      </c>
      <c r="D44" s="22" t="str">
        <f>'дод 4'!C132</f>
        <v>Заходи із запобігання та ліквідації надзвичайних ситуацій та наслідків стихійного лиха</v>
      </c>
      <c r="E44" s="69">
        <f t="shared" si="7"/>
        <v>284500</v>
      </c>
      <c r="F44" s="69">
        <v>284500</v>
      </c>
      <c r="G44" s="69"/>
      <c r="H44" s="69">
        <v>7500</v>
      </c>
      <c r="I44" s="69"/>
      <c r="J44" s="69">
        <f t="shared" si="9"/>
        <v>2159600</v>
      </c>
      <c r="K44" s="69">
        <v>2159600</v>
      </c>
      <c r="L44" s="69"/>
      <c r="M44" s="69"/>
      <c r="N44" s="69"/>
      <c r="O44" s="69">
        <v>2159600</v>
      </c>
      <c r="P44" s="69">
        <f t="shared" si="8"/>
        <v>2444100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19.5" customHeight="1" x14ac:dyDescent="0.25">
      <c r="A45" s="52" t="s">
        <v>264</v>
      </c>
      <c r="B45" s="45" t="str">
        <f>'дод 4'!A133</f>
        <v>8120</v>
      </c>
      <c r="C45" s="45" t="str">
        <f>'дод 4'!B133</f>
        <v>0320</v>
      </c>
      <c r="D45" s="22" t="str">
        <f>'дод 4'!C133</f>
        <v>Заходи з організації рятування на водах</v>
      </c>
      <c r="E45" s="69">
        <f t="shared" si="7"/>
        <v>2030270</v>
      </c>
      <c r="F45" s="69">
        <f>1892080+19210+32020+78970+7990</f>
        <v>2030270</v>
      </c>
      <c r="G45" s="69">
        <v>1542220</v>
      </c>
      <c r="H45" s="69">
        <v>79880</v>
      </c>
      <c r="I45" s="69"/>
      <c r="J45" s="69">
        <f t="shared" si="9"/>
        <v>5500</v>
      </c>
      <c r="K45" s="69"/>
      <c r="L45" s="69">
        <v>5500</v>
      </c>
      <c r="M45" s="69"/>
      <c r="N45" s="69">
        <v>1400</v>
      </c>
      <c r="O45" s="69"/>
      <c r="P45" s="69">
        <f t="shared" si="8"/>
        <v>2035770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1.75" customHeight="1" x14ac:dyDescent="0.25">
      <c r="A46" s="52" t="s">
        <v>285</v>
      </c>
      <c r="B46" s="45" t="str">
        <f>'дод 4'!A135</f>
        <v>8230</v>
      </c>
      <c r="C46" s="45" t="str">
        <f>'дод 4'!B135</f>
        <v>0380</v>
      </c>
      <c r="D46" s="22" t="str">
        <f>'дод 4'!C135</f>
        <v>Інші заходи громадського порядку та безпеки</v>
      </c>
      <c r="E46" s="69">
        <f t="shared" si="7"/>
        <v>683360</v>
      </c>
      <c r="F46" s="69">
        <v>683360</v>
      </c>
      <c r="G46" s="69"/>
      <c r="H46" s="69">
        <v>278160</v>
      </c>
      <c r="I46" s="69"/>
      <c r="J46" s="69">
        <f t="shared" si="9"/>
        <v>0</v>
      </c>
      <c r="K46" s="69"/>
      <c r="L46" s="69"/>
      <c r="M46" s="69"/>
      <c r="N46" s="69"/>
      <c r="O46" s="69"/>
      <c r="P46" s="69">
        <f t="shared" si="8"/>
        <v>683360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23.25" customHeight="1" x14ac:dyDescent="0.25">
      <c r="A47" s="43" t="s">
        <v>195</v>
      </c>
      <c r="B47" s="44" t="str">
        <f>'дод 4'!A138</f>
        <v>8340</v>
      </c>
      <c r="C47" s="44" t="str">
        <f>'дод 4'!B138</f>
        <v>0540</v>
      </c>
      <c r="D47" s="24" t="str">
        <f>'дод 4'!C138</f>
        <v>Природоохоронні заходи за рахунок цільових фондів</v>
      </c>
      <c r="E47" s="69">
        <f t="shared" si="7"/>
        <v>0</v>
      </c>
      <c r="F47" s="69"/>
      <c r="G47" s="69"/>
      <c r="H47" s="69"/>
      <c r="I47" s="69"/>
      <c r="J47" s="69">
        <f t="shared" si="9"/>
        <v>264000</v>
      </c>
      <c r="K47" s="69"/>
      <c r="L47" s="69">
        <v>264000</v>
      </c>
      <c r="M47" s="69"/>
      <c r="N47" s="69"/>
      <c r="O47" s="69"/>
      <c r="P47" s="69">
        <f t="shared" si="8"/>
        <v>264000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26.25" customHeight="1" x14ac:dyDescent="0.25">
      <c r="A48" s="52" t="s">
        <v>296</v>
      </c>
      <c r="B48" s="45" t="str">
        <f>'дод 4'!A140</f>
        <v>8420</v>
      </c>
      <c r="C48" s="45" t="str">
        <f>'дод 4'!B140</f>
        <v>0830</v>
      </c>
      <c r="D48" s="22" t="str">
        <f>'дод 4'!C140</f>
        <v>Інші заходи у сфері засобів масової інформації</v>
      </c>
      <c r="E48" s="69">
        <f t="shared" si="7"/>
        <v>100000</v>
      </c>
      <c r="F48" s="69">
        <v>100000</v>
      </c>
      <c r="G48" s="69"/>
      <c r="H48" s="69"/>
      <c r="I48" s="69"/>
      <c r="J48" s="69">
        <f t="shared" si="9"/>
        <v>0</v>
      </c>
      <c r="K48" s="69"/>
      <c r="L48" s="69"/>
      <c r="M48" s="69"/>
      <c r="N48" s="69"/>
      <c r="O48" s="69"/>
      <c r="P48" s="69">
        <f t="shared" si="8"/>
        <v>100000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31" customFormat="1" ht="23.25" customHeight="1" x14ac:dyDescent="0.2">
      <c r="A49" s="88" t="s">
        <v>196</v>
      </c>
      <c r="B49" s="72"/>
      <c r="C49" s="72"/>
      <c r="D49" s="30" t="s">
        <v>34</v>
      </c>
      <c r="E49" s="66">
        <f>E50</f>
        <v>971189864</v>
      </c>
      <c r="F49" s="66">
        <f t="shared" ref="F49:J49" si="10">F50</f>
        <v>971189864</v>
      </c>
      <c r="G49" s="66">
        <f t="shared" si="10"/>
        <v>651442027</v>
      </c>
      <c r="H49" s="66">
        <f t="shared" si="10"/>
        <v>83561807</v>
      </c>
      <c r="I49" s="66">
        <f t="shared" si="10"/>
        <v>0</v>
      </c>
      <c r="J49" s="66">
        <f t="shared" si="10"/>
        <v>87173293.549999997</v>
      </c>
      <c r="K49" s="66">
        <f t="shared" ref="K49" si="11">K50</f>
        <v>33456785.550000001</v>
      </c>
      <c r="L49" s="66">
        <f t="shared" ref="L49" si="12">L50</f>
        <v>53527508</v>
      </c>
      <c r="M49" s="66">
        <f t="shared" ref="M49" si="13">M50</f>
        <v>4208876</v>
      </c>
      <c r="N49" s="66">
        <f t="shared" ref="N49" si="14">N50</f>
        <v>3124191</v>
      </c>
      <c r="O49" s="66">
        <f t="shared" ref="O49:P49" si="15">O50</f>
        <v>33645785.549999997</v>
      </c>
      <c r="P49" s="66">
        <f t="shared" si="15"/>
        <v>1058363157.55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  <c r="JA49" s="38"/>
      <c r="JB49" s="38"/>
      <c r="JC49" s="38"/>
      <c r="JD49" s="38"/>
      <c r="JE49" s="38"/>
      <c r="JF49" s="38"/>
      <c r="JG49" s="38"/>
      <c r="JH49" s="38"/>
      <c r="JI49" s="38"/>
      <c r="JJ49" s="38"/>
      <c r="JK49" s="38"/>
      <c r="JL49" s="38"/>
      <c r="JM49" s="38"/>
      <c r="JN49" s="38"/>
      <c r="JO49" s="38"/>
      <c r="JP49" s="38"/>
      <c r="JQ49" s="38"/>
      <c r="JR49" s="38"/>
      <c r="JS49" s="38"/>
      <c r="JT49" s="38"/>
      <c r="JU49" s="38"/>
      <c r="JV49" s="38"/>
      <c r="JW49" s="38"/>
      <c r="JX49" s="38"/>
      <c r="JY49" s="38"/>
      <c r="JZ49" s="38"/>
      <c r="KA49" s="38"/>
      <c r="KB49" s="38"/>
      <c r="KC49" s="38"/>
      <c r="KD49" s="38"/>
      <c r="KE49" s="38"/>
      <c r="KF49" s="38"/>
      <c r="KG49" s="38"/>
      <c r="KH49" s="38"/>
      <c r="KI49" s="38"/>
      <c r="KJ49" s="38"/>
      <c r="KK49" s="38"/>
      <c r="KL49" s="38"/>
      <c r="KM49" s="38"/>
      <c r="KN49" s="38"/>
      <c r="KO49" s="38"/>
      <c r="KP49" s="38"/>
      <c r="KQ49" s="38"/>
      <c r="KR49" s="38"/>
      <c r="KS49" s="38"/>
      <c r="KT49" s="38"/>
      <c r="KU49" s="38"/>
      <c r="KV49" s="38"/>
      <c r="KW49" s="38"/>
      <c r="KX49" s="38"/>
      <c r="KY49" s="38"/>
      <c r="KZ49" s="38"/>
      <c r="LA49" s="38"/>
      <c r="LB49" s="38"/>
      <c r="LC49" s="38"/>
      <c r="LD49" s="38"/>
      <c r="LE49" s="38"/>
      <c r="LF49" s="38"/>
      <c r="LG49" s="38"/>
      <c r="LH49" s="38"/>
      <c r="LI49" s="38"/>
      <c r="LJ49" s="38"/>
      <c r="LK49" s="38"/>
      <c r="LL49" s="38"/>
      <c r="LM49" s="38"/>
      <c r="LN49" s="38"/>
      <c r="LO49" s="38"/>
      <c r="LP49" s="38"/>
      <c r="LQ49" s="38"/>
      <c r="LR49" s="38"/>
      <c r="LS49" s="38"/>
      <c r="LT49" s="38"/>
      <c r="LU49" s="38"/>
      <c r="LV49" s="38"/>
      <c r="LW49" s="38"/>
      <c r="LX49" s="38"/>
      <c r="LY49" s="38"/>
      <c r="LZ49" s="38"/>
      <c r="MA49" s="38"/>
      <c r="MB49" s="38"/>
      <c r="MC49" s="38"/>
      <c r="MD49" s="38"/>
      <c r="ME49" s="38"/>
      <c r="MF49" s="38"/>
      <c r="MG49" s="38"/>
      <c r="MH49" s="38"/>
      <c r="MI49" s="38"/>
      <c r="MJ49" s="38"/>
      <c r="MK49" s="38"/>
      <c r="ML49" s="38"/>
      <c r="MM49" s="38"/>
      <c r="MN49" s="38"/>
      <c r="MO49" s="38"/>
      <c r="MP49" s="38"/>
      <c r="MQ49" s="38"/>
      <c r="MR49" s="38"/>
      <c r="MS49" s="38"/>
      <c r="MT49" s="38"/>
      <c r="MU49" s="38"/>
      <c r="MV49" s="38"/>
      <c r="MW49" s="38"/>
      <c r="MX49" s="38"/>
      <c r="MY49" s="38"/>
      <c r="MZ49" s="38"/>
      <c r="NA49" s="38"/>
      <c r="NB49" s="38"/>
      <c r="NC49" s="38"/>
      <c r="ND49" s="38"/>
      <c r="NE49" s="38"/>
      <c r="NF49" s="38"/>
      <c r="NG49" s="38"/>
      <c r="NH49" s="38"/>
      <c r="NI49" s="38"/>
      <c r="NJ49" s="38"/>
      <c r="NK49" s="38"/>
      <c r="NL49" s="38"/>
      <c r="NM49" s="38"/>
      <c r="NN49" s="38"/>
      <c r="NO49" s="38"/>
      <c r="NP49" s="38"/>
      <c r="NQ49" s="38"/>
      <c r="NR49" s="38"/>
      <c r="NS49" s="38"/>
      <c r="NT49" s="38"/>
      <c r="NU49" s="38"/>
      <c r="NV49" s="38"/>
      <c r="NW49" s="38"/>
      <c r="NX49" s="38"/>
      <c r="NY49" s="38"/>
      <c r="NZ49" s="38"/>
      <c r="OA49" s="38"/>
      <c r="OB49" s="38"/>
      <c r="OC49" s="38"/>
      <c r="OD49" s="38"/>
      <c r="OE49" s="38"/>
      <c r="OF49" s="38"/>
      <c r="OG49" s="38"/>
      <c r="OH49" s="38"/>
      <c r="OI49" s="38"/>
      <c r="OJ49" s="38"/>
      <c r="OK49" s="38"/>
      <c r="OL49" s="38"/>
      <c r="OM49" s="38"/>
      <c r="ON49" s="38"/>
      <c r="OO49" s="38"/>
      <c r="OP49" s="38"/>
      <c r="OQ49" s="38"/>
      <c r="OR49" s="38"/>
      <c r="OS49" s="38"/>
      <c r="OT49" s="38"/>
      <c r="OU49" s="38"/>
      <c r="OV49" s="38"/>
      <c r="OW49" s="38"/>
      <c r="OX49" s="38"/>
      <c r="OY49" s="38"/>
      <c r="OZ49" s="38"/>
      <c r="PA49" s="38"/>
      <c r="PB49" s="38"/>
      <c r="PC49" s="38"/>
      <c r="PD49" s="38"/>
      <c r="PE49" s="38"/>
      <c r="PF49" s="38"/>
      <c r="PG49" s="38"/>
      <c r="PH49" s="38"/>
      <c r="PI49" s="38"/>
      <c r="PJ49" s="38"/>
      <c r="PK49" s="38"/>
      <c r="PL49" s="38"/>
      <c r="PM49" s="38"/>
      <c r="PN49" s="38"/>
      <c r="PO49" s="38"/>
      <c r="PP49" s="38"/>
      <c r="PQ49" s="38"/>
      <c r="PR49" s="38"/>
      <c r="PS49" s="38"/>
      <c r="PT49" s="38"/>
      <c r="PU49" s="38"/>
      <c r="PV49" s="38"/>
      <c r="PW49" s="38"/>
      <c r="PX49" s="38"/>
      <c r="PY49" s="38"/>
      <c r="PZ49" s="38"/>
      <c r="QA49" s="38"/>
      <c r="QB49" s="38"/>
      <c r="QC49" s="38"/>
      <c r="QD49" s="38"/>
      <c r="QE49" s="38"/>
      <c r="QF49" s="38"/>
      <c r="QG49" s="38"/>
      <c r="QH49" s="38"/>
      <c r="QI49" s="38"/>
      <c r="QJ49" s="38"/>
      <c r="QK49" s="38"/>
      <c r="QL49" s="38"/>
      <c r="QM49" s="38"/>
      <c r="QN49" s="38"/>
      <c r="QO49" s="38"/>
      <c r="QP49" s="38"/>
      <c r="QQ49" s="38"/>
      <c r="QR49" s="38"/>
      <c r="QS49" s="38"/>
      <c r="QT49" s="38"/>
      <c r="QU49" s="38"/>
      <c r="QV49" s="38"/>
      <c r="QW49" s="38"/>
      <c r="QX49" s="38"/>
      <c r="QY49" s="38"/>
      <c r="QZ49" s="38"/>
      <c r="RA49" s="38"/>
      <c r="RB49" s="38"/>
      <c r="RC49" s="38"/>
      <c r="RD49" s="38"/>
      <c r="RE49" s="38"/>
      <c r="RF49" s="38"/>
      <c r="RG49" s="38"/>
      <c r="RH49" s="38"/>
      <c r="RI49" s="38"/>
      <c r="RJ49" s="38"/>
      <c r="RK49" s="38"/>
      <c r="RL49" s="38"/>
      <c r="RM49" s="38"/>
      <c r="RN49" s="38"/>
      <c r="RO49" s="38"/>
      <c r="RP49" s="38"/>
      <c r="RQ49" s="38"/>
      <c r="RR49" s="38"/>
      <c r="RS49" s="38"/>
      <c r="RT49" s="38"/>
      <c r="RU49" s="38"/>
      <c r="RV49" s="38"/>
      <c r="RW49" s="38"/>
      <c r="RX49" s="38"/>
      <c r="RY49" s="38"/>
      <c r="RZ49" s="38"/>
      <c r="SA49" s="38"/>
      <c r="SB49" s="38"/>
      <c r="SC49" s="38"/>
      <c r="SD49" s="38"/>
      <c r="SE49" s="38"/>
      <c r="SF49" s="38"/>
      <c r="SG49" s="38"/>
      <c r="SH49" s="38"/>
      <c r="SI49" s="38"/>
      <c r="SJ49" s="38"/>
      <c r="SK49" s="38"/>
      <c r="SL49" s="38"/>
      <c r="SM49" s="38"/>
      <c r="SN49" s="38"/>
      <c r="SO49" s="38"/>
      <c r="SP49" s="38"/>
      <c r="SQ49" s="38"/>
      <c r="SR49" s="38"/>
      <c r="SS49" s="38"/>
      <c r="ST49" s="38"/>
      <c r="SU49" s="38"/>
      <c r="SV49" s="38"/>
      <c r="SW49" s="38"/>
      <c r="SX49" s="38"/>
      <c r="SY49" s="38"/>
      <c r="SZ49" s="38"/>
      <c r="TA49" s="38"/>
      <c r="TB49" s="38"/>
      <c r="TC49" s="38"/>
      <c r="TD49" s="38"/>
      <c r="TE49" s="38"/>
      <c r="TF49" s="38"/>
      <c r="TG49" s="38"/>
      <c r="TH49" s="38"/>
      <c r="TI49" s="38"/>
    </row>
    <row r="50" spans="1:529" s="40" customFormat="1" ht="26.25" customHeight="1" x14ac:dyDescent="0.25">
      <c r="A50" s="89" t="s">
        <v>197</v>
      </c>
      <c r="B50" s="73"/>
      <c r="C50" s="73"/>
      <c r="D50" s="33" t="s">
        <v>34</v>
      </c>
      <c r="E50" s="68">
        <f>E52+E53+E55+E57+E59+E60+E62+E63+E64+E65+E67+E68+E69+E70+E72+E73+E74</f>
        <v>971189864</v>
      </c>
      <c r="F50" s="68">
        <f t="shared" ref="F50:P50" si="16">F52+F53+F55+F57+F59+F60+F62+F63+F64+F65+F67+F68+F69+F70+F72+F73+F74</f>
        <v>971189864</v>
      </c>
      <c r="G50" s="68">
        <f t="shared" si="16"/>
        <v>651442027</v>
      </c>
      <c r="H50" s="68">
        <f t="shared" si="16"/>
        <v>83561807</v>
      </c>
      <c r="I50" s="68">
        <f t="shared" si="16"/>
        <v>0</v>
      </c>
      <c r="J50" s="68">
        <f t="shared" si="16"/>
        <v>87173293.549999997</v>
      </c>
      <c r="K50" s="68">
        <f>K52+K53+K55+K57+K59+K60+K62+K63+K64+K65+K67+K68+K69+K70+K72+K73+K74</f>
        <v>33456785.550000001</v>
      </c>
      <c r="L50" s="68">
        <f t="shared" si="16"/>
        <v>53527508</v>
      </c>
      <c r="M50" s="68">
        <f t="shared" si="16"/>
        <v>4208876</v>
      </c>
      <c r="N50" s="68">
        <f t="shared" si="16"/>
        <v>3124191</v>
      </c>
      <c r="O50" s="68">
        <f t="shared" si="16"/>
        <v>33645785.549999997</v>
      </c>
      <c r="P50" s="68">
        <f t="shared" si="16"/>
        <v>1058363157.55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  <c r="LM50" s="39"/>
      <c r="LN50" s="39"/>
      <c r="LO50" s="39"/>
      <c r="LP50" s="39"/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/>
      <c r="ME50" s="39"/>
      <c r="MF50" s="39"/>
      <c r="MG50" s="39"/>
      <c r="MH50" s="39"/>
      <c r="MI50" s="39"/>
      <c r="MJ50" s="39"/>
      <c r="MK50" s="39"/>
      <c r="ML50" s="39"/>
      <c r="MM50" s="39"/>
      <c r="MN50" s="39"/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/>
      <c r="NE50" s="39"/>
      <c r="NF50" s="39"/>
      <c r="NG50" s="39"/>
      <c r="NH50" s="39"/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/>
      <c r="NT50" s="39"/>
      <c r="NU50" s="39"/>
      <c r="NV50" s="39"/>
      <c r="NW50" s="39"/>
      <c r="NX50" s="39"/>
      <c r="NY50" s="39"/>
      <c r="NZ50" s="39"/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/>
      <c r="OT50" s="39"/>
      <c r="OU50" s="39"/>
      <c r="OV50" s="39"/>
      <c r="OW50" s="39"/>
      <c r="OX50" s="39"/>
      <c r="OY50" s="39"/>
      <c r="OZ50" s="39"/>
      <c r="PA50" s="39"/>
      <c r="PB50" s="39"/>
      <c r="PC50" s="39"/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/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/>
      <c r="RB50" s="39"/>
      <c r="RC50" s="39"/>
      <c r="RD50" s="39"/>
      <c r="RE50" s="39"/>
      <c r="RF50" s="39"/>
      <c r="RG50" s="39"/>
      <c r="RH50" s="39"/>
      <c r="RI50" s="39"/>
      <c r="RJ50" s="39"/>
      <c r="RK50" s="39"/>
      <c r="RL50" s="39"/>
      <c r="RM50" s="39"/>
      <c r="RN50" s="39"/>
      <c r="RO50" s="39"/>
      <c r="RP50" s="39"/>
      <c r="RQ50" s="39"/>
      <c r="RR50" s="39"/>
      <c r="RS50" s="39"/>
      <c r="RT50" s="39"/>
      <c r="RU50" s="39"/>
      <c r="RV50" s="39"/>
      <c r="RW50" s="39"/>
      <c r="RX50" s="39"/>
      <c r="RY50" s="39"/>
      <c r="RZ50" s="39"/>
      <c r="SA50" s="39"/>
      <c r="SB50" s="39"/>
      <c r="SC50" s="39"/>
      <c r="SD50" s="39"/>
      <c r="SE50" s="39"/>
      <c r="SF50" s="39"/>
      <c r="SG50" s="39"/>
      <c r="SH50" s="39"/>
      <c r="SI50" s="39"/>
      <c r="SJ50" s="39"/>
      <c r="SK50" s="39"/>
      <c r="SL50" s="39"/>
      <c r="SM50" s="39"/>
      <c r="SN50" s="39"/>
      <c r="SO50" s="39"/>
      <c r="SP50" s="39"/>
      <c r="SQ50" s="39"/>
      <c r="SR50" s="39"/>
      <c r="SS50" s="39"/>
      <c r="ST50" s="39"/>
      <c r="SU50" s="39"/>
      <c r="SV50" s="39"/>
      <c r="SW50" s="39"/>
      <c r="SX50" s="39"/>
      <c r="SY50" s="39"/>
      <c r="SZ50" s="39"/>
      <c r="TA50" s="39"/>
      <c r="TB50" s="39"/>
      <c r="TC50" s="39"/>
      <c r="TD50" s="39"/>
      <c r="TE50" s="39"/>
      <c r="TF50" s="39"/>
      <c r="TG50" s="39"/>
      <c r="TH50" s="39"/>
      <c r="TI50" s="39"/>
    </row>
    <row r="51" spans="1:529" s="40" customFormat="1" ht="18.75" customHeight="1" x14ac:dyDescent="0.25">
      <c r="A51" s="89"/>
      <c r="B51" s="73"/>
      <c r="C51" s="73"/>
      <c r="D51" s="33" t="s">
        <v>308</v>
      </c>
      <c r="E51" s="68">
        <f>E56++E58+E61+E54+E66+E71</f>
        <v>382256478</v>
      </c>
      <c r="F51" s="68">
        <f t="shared" ref="F51:P51" si="17">F56++F58+F61+F54+F66+F71</f>
        <v>382256478</v>
      </c>
      <c r="G51" s="68">
        <f t="shared" si="17"/>
        <v>307191100</v>
      </c>
      <c r="H51" s="68">
        <f t="shared" si="17"/>
        <v>0</v>
      </c>
      <c r="I51" s="68">
        <f t="shared" si="17"/>
        <v>0</v>
      </c>
      <c r="J51" s="68">
        <f>J56++J58+J61+J54+J66+J71</f>
        <v>1736617.55</v>
      </c>
      <c r="K51" s="68">
        <f t="shared" si="17"/>
        <v>1736617.55</v>
      </c>
      <c r="L51" s="68">
        <f t="shared" si="17"/>
        <v>0</v>
      </c>
      <c r="M51" s="68">
        <f t="shared" si="17"/>
        <v>0</v>
      </c>
      <c r="N51" s="68">
        <f t="shared" si="17"/>
        <v>0</v>
      </c>
      <c r="O51" s="68">
        <f t="shared" si="17"/>
        <v>1736617.55</v>
      </c>
      <c r="P51" s="68">
        <f t="shared" si="17"/>
        <v>383993095.55000001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</row>
    <row r="52" spans="1:529" s="23" customFormat="1" ht="46.5" customHeight="1" x14ac:dyDescent="0.25">
      <c r="A52" s="43" t="s">
        <v>198</v>
      </c>
      <c r="B52" s="44" t="str">
        <f>'дод 4'!A19</f>
        <v>0160</v>
      </c>
      <c r="C52" s="44" t="str">
        <f>'дод 4'!B19</f>
        <v>0111</v>
      </c>
      <c r="D52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52" s="69">
        <f t="shared" ref="E52:E74" si="18">F52+I52</f>
        <v>3554900</v>
      </c>
      <c r="F52" s="69">
        <f>3470000+3900-161800+242800</f>
        <v>3554900</v>
      </c>
      <c r="G52" s="69">
        <f>2711100-132600</f>
        <v>2578500</v>
      </c>
      <c r="H52" s="69">
        <v>48700</v>
      </c>
      <c r="I52" s="69"/>
      <c r="J52" s="69">
        <f>L52+O52</f>
        <v>0</v>
      </c>
      <c r="K52" s="69"/>
      <c r="L52" s="69"/>
      <c r="M52" s="69"/>
      <c r="N52" s="69"/>
      <c r="O52" s="69"/>
      <c r="P52" s="69">
        <f t="shared" ref="P52:P74" si="19">E52+J52</f>
        <v>3554900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</row>
    <row r="53" spans="1:529" s="23" customFormat="1" ht="21.75" customHeight="1" x14ac:dyDescent="0.25">
      <c r="A53" s="43" t="s">
        <v>199</v>
      </c>
      <c r="B53" s="44" t="str">
        <f>'дод 4'!A23</f>
        <v>1010</v>
      </c>
      <c r="C53" s="44" t="str">
        <f>'дод 4'!B23</f>
        <v>0910</v>
      </c>
      <c r="D53" s="24" t="str">
        <f>'дод 4'!C23</f>
        <v>Надання дошкільної освіти</v>
      </c>
      <c r="E53" s="69">
        <f t="shared" si="18"/>
        <v>242937226</v>
      </c>
      <c r="F53" s="69">
        <f>244339090+176336+1322957+112300-3000000-13457</f>
        <v>242937226</v>
      </c>
      <c r="G53" s="69">
        <f>159350000+144540-11030</f>
        <v>159483510</v>
      </c>
      <c r="H53" s="69">
        <v>26923940</v>
      </c>
      <c r="I53" s="69"/>
      <c r="J53" s="69">
        <f>L53+O53</f>
        <v>22916603</v>
      </c>
      <c r="K53" s="69">
        <f>4200000+500000+88136+760000+703043+347304-7536</f>
        <v>6590947</v>
      </c>
      <c r="L53" s="69">
        <v>16325656</v>
      </c>
      <c r="M53" s="69"/>
      <c r="N53" s="69"/>
      <c r="O53" s="69">
        <f>4200000+500000+88136+760000+703043+347304-7536</f>
        <v>6590947</v>
      </c>
      <c r="P53" s="69">
        <f t="shared" si="19"/>
        <v>265853829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</row>
    <row r="54" spans="1:529" s="23" customFormat="1" ht="21.75" customHeight="1" x14ac:dyDescent="0.25">
      <c r="A54" s="43"/>
      <c r="B54" s="44"/>
      <c r="C54" s="44"/>
      <c r="D54" s="22" t="s">
        <v>308</v>
      </c>
      <c r="E54" s="69">
        <f t="shared" si="18"/>
        <v>162879</v>
      </c>
      <c r="F54" s="69">
        <f>176336-13457</f>
        <v>162879</v>
      </c>
      <c r="G54" s="69">
        <f>144540-11030</f>
        <v>133510</v>
      </c>
      <c r="H54" s="69"/>
      <c r="I54" s="69"/>
      <c r="J54" s="69">
        <f>L54+O54</f>
        <v>80600</v>
      </c>
      <c r="K54" s="69">
        <f>88136-7536</f>
        <v>80600</v>
      </c>
      <c r="L54" s="69"/>
      <c r="M54" s="69"/>
      <c r="N54" s="69"/>
      <c r="O54" s="69">
        <f>88136-7536</f>
        <v>80600</v>
      </c>
      <c r="P54" s="69">
        <f t="shared" si="19"/>
        <v>243479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</row>
    <row r="55" spans="1:529" s="23" customFormat="1" ht="54" customHeight="1" x14ac:dyDescent="0.25">
      <c r="A55" s="43" t="s">
        <v>200</v>
      </c>
      <c r="B55" s="44" t="str">
        <f>'дод 4'!A25</f>
        <v>1020</v>
      </c>
      <c r="C55" s="44" t="str">
        <f>'дод 4'!B25</f>
        <v>0921</v>
      </c>
      <c r="D55" s="24" t="str">
        <f>'дод 4'!C25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5" s="69">
        <f t="shared" si="18"/>
        <v>541969603</v>
      </c>
      <c r="F55" s="69">
        <f>533365430-2738900+2738900-50000+2067000+1396248+800+1533444+15313000-11301200+106000+50000+70000+213600-7000000+208752+5996529</f>
        <v>541969603</v>
      </c>
      <c r="G55" s="69">
        <f>373446500+1144470+657+12572250-9278430+171100</f>
        <v>378056547</v>
      </c>
      <c r="H55" s="69">
        <v>40458440</v>
      </c>
      <c r="I55" s="69"/>
      <c r="J55" s="69">
        <f t="shared" ref="J55:J74" si="20">L55+O55</f>
        <v>50872804.640000001</v>
      </c>
      <c r="K55" s="69">
        <f>11599400+2199897+739872+3050000+2916586+700000-106000-7502.36+202738-76472+742539</f>
        <v>21961057.640000001</v>
      </c>
      <c r="L55" s="69">
        <v>28911747</v>
      </c>
      <c r="M55" s="69">
        <v>1713303</v>
      </c>
      <c r="N55" s="69">
        <v>147329</v>
      </c>
      <c r="O55" s="69">
        <f>11599400+2199897+739872+3050000+2916586+700000-106000-7502.36+202738-76472+742539</f>
        <v>21961057.640000001</v>
      </c>
      <c r="P55" s="69">
        <f t="shared" si="19"/>
        <v>592842407.63999999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</row>
    <row r="56" spans="1:529" s="23" customFormat="1" x14ac:dyDescent="0.25">
      <c r="A56" s="43"/>
      <c r="B56" s="44"/>
      <c r="C56" s="44"/>
      <c r="D56" s="22" t="s">
        <v>308</v>
      </c>
      <c r="E56" s="69">
        <f t="shared" si="18"/>
        <v>356817929</v>
      </c>
      <c r="F56" s="69">
        <f>331836400+2067000+1396248+15313000+208752+5996529</f>
        <v>356817929</v>
      </c>
      <c r="G56" s="69">
        <f>272443700+1144470+12572250+171100</f>
        <v>286331520</v>
      </c>
      <c r="H56" s="69"/>
      <c r="I56" s="69"/>
      <c r="J56" s="69">
        <f t="shared" si="20"/>
        <v>1405939</v>
      </c>
      <c r="K56" s="69">
        <f>739872-76472+742539</f>
        <v>1405939</v>
      </c>
      <c r="L56" s="69"/>
      <c r="M56" s="69"/>
      <c r="N56" s="69"/>
      <c r="O56" s="69">
        <f>739872+742539-76472</f>
        <v>1405939</v>
      </c>
      <c r="P56" s="69">
        <f t="shared" si="19"/>
        <v>358223868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23" customFormat="1" ht="63.75" customHeight="1" x14ac:dyDescent="0.25">
      <c r="A57" s="43" t="s">
        <v>431</v>
      </c>
      <c r="B57" s="44">
        <f>'дод 4'!A27</f>
        <v>1030</v>
      </c>
      <c r="C57" s="44" t="str">
        <f>'дод 4'!B27</f>
        <v>0922</v>
      </c>
      <c r="D57" s="24" t="str">
        <f>'дод 4'!C27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57" s="69">
        <f t="shared" si="18"/>
        <v>9418880</v>
      </c>
      <c r="F57" s="69">
        <f>9152880+50000+110000+106000</f>
        <v>9418880</v>
      </c>
      <c r="G57" s="69">
        <v>6532300</v>
      </c>
      <c r="H57" s="69">
        <v>709270</v>
      </c>
      <c r="I57" s="69">
        <v>0</v>
      </c>
      <c r="J57" s="69">
        <f t="shared" si="20"/>
        <v>172000</v>
      </c>
      <c r="K57" s="69">
        <f>150000+22000</f>
        <v>172000</v>
      </c>
      <c r="L57" s="69"/>
      <c r="M57" s="69"/>
      <c r="N57" s="69"/>
      <c r="O57" s="69">
        <f>150000+22000</f>
        <v>172000</v>
      </c>
      <c r="P57" s="69">
        <f t="shared" si="19"/>
        <v>9590880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</row>
    <row r="58" spans="1:529" s="23" customFormat="1" ht="17.25" customHeight="1" x14ac:dyDescent="0.25">
      <c r="A58" s="43"/>
      <c r="B58" s="44"/>
      <c r="C58" s="44"/>
      <c r="D58" s="22" t="s">
        <v>308</v>
      </c>
      <c r="E58" s="69">
        <f t="shared" si="18"/>
        <v>6214300</v>
      </c>
      <c r="F58" s="69">
        <v>6214300</v>
      </c>
      <c r="G58" s="69">
        <v>5102000</v>
      </c>
      <c r="H58" s="69">
        <v>0</v>
      </c>
      <c r="I58" s="69">
        <v>0</v>
      </c>
      <c r="J58" s="69">
        <f t="shared" si="20"/>
        <v>0</v>
      </c>
      <c r="K58" s="69"/>
      <c r="L58" s="69"/>
      <c r="M58" s="69"/>
      <c r="N58" s="69"/>
      <c r="O58" s="69"/>
      <c r="P58" s="69">
        <f t="shared" si="19"/>
        <v>6214300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</row>
    <row r="59" spans="1:529" s="23" customFormat="1" ht="32.25" customHeight="1" x14ac:dyDescent="0.25">
      <c r="A59" s="43" t="s">
        <v>263</v>
      </c>
      <c r="B59" s="44" t="str">
        <f>'дод 4'!A29</f>
        <v>1090</v>
      </c>
      <c r="C59" s="44" t="str">
        <f>'дод 4'!B29</f>
        <v>0960</v>
      </c>
      <c r="D59" s="24" t="str">
        <f>'дод 4'!C29</f>
        <v>Надання позашкільної освіти закладами позашкільної освіти, заходи із позашкільної роботи з дітьми</v>
      </c>
      <c r="E59" s="69">
        <f t="shared" si="18"/>
        <v>28023440</v>
      </c>
      <c r="F59" s="69">
        <f>27792840+230600</f>
        <v>28023440</v>
      </c>
      <c r="G59" s="69">
        <v>19715700</v>
      </c>
      <c r="H59" s="69">
        <v>3358190</v>
      </c>
      <c r="I59" s="69">
        <v>0</v>
      </c>
      <c r="J59" s="69">
        <f t="shared" si="20"/>
        <v>300000</v>
      </c>
      <c r="K59" s="69">
        <v>300000</v>
      </c>
      <c r="L59" s="69"/>
      <c r="M59" s="69"/>
      <c r="N59" s="69"/>
      <c r="O59" s="69">
        <v>300000</v>
      </c>
      <c r="P59" s="69">
        <f t="shared" si="19"/>
        <v>28323440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</row>
    <row r="60" spans="1:529" s="23" customFormat="1" ht="33.75" customHeight="1" x14ac:dyDescent="0.25">
      <c r="A60" s="43" t="s">
        <v>262</v>
      </c>
      <c r="B60" s="44" t="str">
        <f>'дод 4'!A31</f>
        <v>1110</v>
      </c>
      <c r="C60" s="44" t="str">
        <f>'дод 4'!B31</f>
        <v>0930</v>
      </c>
      <c r="D60" s="24" t="str">
        <f>'дод 4'!C31</f>
        <v>Підготовка кадрів закладами професійної (професійно-технічної) освіти та іншими закладами освіти</v>
      </c>
      <c r="E60" s="69">
        <f t="shared" si="18"/>
        <v>116807900</v>
      </c>
      <c r="F60" s="69">
        <f>116310900-341000+217000+621000</f>
        <v>116807900</v>
      </c>
      <c r="G60" s="69">
        <v>69744500</v>
      </c>
      <c r="H60" s="69">
        <f>11348217-341000</f>
        <v>11007217</v>
      </c>
      <c r="I60" s="69"/>
      <c r="J60" s="69">
        <f t="shared" si="20"/>
        <v>8079105</v>
      </c>
      <c r="K60" s="69"/>
      <c r="L60" s="69">
        <v>7974105</v>
      </c>
      <c r="M60" s="69">
        <v>2495573</v>
      </c>
      <c r="N60" s="69">
        <v>2976862</v>
      </c>
      <c r="O60" s="69">
        <v>105000</v>
      </c>
      <c r="P60" s="69">
        <f t="shared" si="19"/>
        <v>124887005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</row>
    <row r="61" spans="1:529" s="23" customFormat="1" ht="15.75" customHeight="1" x14ac:dyDescent="0.25">
      <c r="A61" s="43"/>
      <c r="B61" s="44"/>
      <c r="C61" s="44"/>
      <c r="D61" s="22" t="s">
        <v>308</v>
      </c>
      <c r="E61" s="69">
        <f t="shared" si="18"/>
        <v>17825000</v>
      </c>
      <c r="F61" s="69">
        <v>17825000</v>
      </c>
      <c r="G61" s="69">
        <v>14610650</v>
      </c>
      <c r="H61" s="69"/>
      <c r="I61" s="69"/>
      <c r="J61" s="69">
        <f t="shared" si="20"/>
        <v>0</v>
      </c>
      <c r="K61" s="69"/>
      <c r="L61" s="69"/>
      <c r="M61" s="69"/>
      <c r="N61" s="69"/>
      <c r="O61" s="69"/>
      <c r="P61" s="69">
        <f t="shared" si="19"/>
        <v>17825000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</row>
    <row r="62" spans="1:529" s="23" customFormat="1" ht="21.75" customHeight="1" x14ac:dyDescent="0.25">
      <c r="A62" s="43" t="s">
        <v>201</v>
      </c>
      <c r="B62" s="44" t="str">
        <f>'дод 4'!A33</f>
        <v>1150</v>
      </c>
      <c r="C62" s="44" t="str">
        <f>'дод 4'!B33</f>
        <v>0990</v>
      </c>
      <c r="D62" s="24" t="str">
        <f>'дод 4'!C33</f>
        <v>Методичне забезпечення діяльності закладів освіти</v>
      </c>
      <c r="E62" s="69">
        <f t="shared" si="18"/>
        <v>2893730</v>
      </c>
      <c r="F62" s="69">
        <v>2893730</v>
      </c>
      <c r="G62" s="69">
        <v>2237500</v>
      </c>
      <c r="H62" s="69">
        <v>120380</v>
      </c>
      <c r="I62" s="69"/>
      <c r="J62" s="69">
        <f t="shared" si="20"/>
        <v>0</v>
      </c>
      <c r="K62" s="69"/>
      <c r="L62" s="69"/>
      <c r="M62" s="69"/>
      <c r="N62" s="69"/>
      <c r="O62" s="69"/>
      <c r="P62" s="69">
        <f t="shared" si="19"/>
        <v>2893730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</row>
    <row r="63" spans="1:529" s="23" customFormat="1" ht="16.5" customHeight="1" x14ac:dyDescent="0.25">
      <c r="A63" s="43" t="s">
        <v>357</v>
      </c>
      <c r="B63" s="44" t="str">
        <f>'дод 4'!A34</f>
        <v>1161</v>
      </c>
      <c r="C63" s="44" t="str">
        <f>'дод 4'!B34</f>
        <v>0990</v>
      </c>
      <c r="D63" s="24" t="str">
        <f>'дод 4'!C34</f>
        <v>Забезпечення діяльності інших закладів у сфері освіти</v>
      </c>
      <c r="E63" s="69">
        <f t="shared" si="18"/>
        <v>9345170</v>
      </c>
      <c r="F63" s="69">
        <f>9333170+12000</f>
        <v>9345170</v>
      </c>
      <c r="G63" s="69">
        <v>6782550</v>
      </c>
      <c r="H63" s="69">
        <v>613500</v>
      </c>
      <c r="I63" s="69"/>
      <c r="J63" s="69">
        <f t="shared" si="20"/>
        <v>432000</v>
      </c>
      <c r="K63" s="69">
        <f>100000+200000+132000</f>
        <v>432000</v>
      </c>
      <c r="L63" s="69"/>
      <c r="M63" s="69"/>
      <c r="N63" s="69"/>
      <c r="O63" s="69">
        <f>100000+200000+132000</f>
        <v>432000</v>
      </c>
      <c r="P63" s="69">
        <f t="shared" si="19"/>
        <v>9777170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</row>
    <row r="64" spans="1:529" s="23" customFormat="1" ht="20.25" customHeight="1" x14ac:dyDescent="0.25">
      <c r="A64" s="43" t="s">
        <v>358</v>
      </c>
      <c r="B64" s="44" t="str">
        <f>'дод 4'!A35</f>
        <v>1162</v>
      </c>
      <c r="C64" s="44" t="str">
        <f>'дод 4'!B35</f>
        <v>0990</v>
      </c>
      <c r="D64" s="24" t="str">
        <f>'дод 4'!C35</f>
        <v>Інші програми та заходи у сфері освіти</v>
      </c>
      <c r="E64" s="69">
        <f t="shared" si="18"/>
        <v>107400</v>
      </c>
      <c r="F64" s="69">
        <v>107400</v>
      </c>
      <c r="G64" s="69"/>
      <c r="H64" s="69"/>
      <c r="I64" s="69"/>
      <c r="J64" s="69">
        <f t="shared" si="20"/>
        <v>0</v>
      </c>
      <c r="K64" s="69"/>
      <c r="L64" s="69"/>
      <c r="M64" s="69"/>
      <c r="N64" s="69"/>
      <c r="O64" s="69"/>
      <c r="P64" s="69">
        <f t="shared" si="19"/>
        <v>107400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</row>
    <row r="65" spans="1:529" s="23" customFormat="1" x14ac:dyDescent="0.25">
      <c r="A65" s="43" t="s">
        <v>395</v>
      </c>
      <c r="B65" s="44">
        <v>1170</v>
      </c>
      <c r="C65" s="44" t="s">
        <v>75</v>
      </c>
      <c r="D65" s="22" t="str">
        <f>'дод 4'!C36</f>
        <v>Забезпечення діяльності інклюзивно-ресурсних центрів</v>
      </c>
      <c r="E65" s="69">
        <f t="shared" si="18"/>
        <v>1627940</v>
      </c>
      <c r="F65" s="69">
        <v>1627940</v>
      </c>
      <c r="G65" s="69">
        <v>1224320</v>
      </c>
      <c r="H65" s="69">
        <v>81470</v>
      </c>
      <c r="I65" s="69"/>
      <c r="J65" s="69">
        <f t="shared" si="20"/>
        <v>0</v>
      </c>
      <c r="K65" s="69"/>
      <c r="L65" s="69"/>
      <c r="M65" s="69"/>
      <c r="N65" s="69"/>
      <c r="O65" s="69"/>
      <c r="P65" s="69">
        <f t="shared" si="19"/>
        <v>1627940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</row>
    <row r="66" spans="1:529" s="23" customFormat="1" x14ac:dyDescent="0.25">
      <c r="A66" s="43"/>
      <c r="B66" s="44"/>
      <c r="C66" s="44"/>
      <c r="D66" s="22" t="s">
        <v>308</v>
      </c>
      <c r="E66" s="69">
        <f t="shared" si="18"/>
        <v>1236370</v>
      </c>
      <c r="F66" s="69">
        <v>1236370</v>
      </c>
      <c r="G66" s="69">
        <v>1013420</v>
      </c>
      <c r="H66" s="69"/>
      <c r="I66" s="69"/>
      <c r="J66" s="69"/>
      <c r="K66" s="69"/>
      <c r="L66" s="69"/>
      <c r="M66" s="69"/>
      <c r="N66" s="69"/>
      <c r="O66" s="69"/>
      <c r="P66" s="69">
        <f t="shared" si="19"/>
        <v>1236370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</row>
    <row r="67" spans="1:529" s="23" customFormat="1" ht="64.5" customHeight="1" x14ac:dyDescent="0.25">
      <c r="A67" s="43" t="s">
        <v>202</v>
      </c>
      <c r="B67" s="44" t="str">
        <f>'дод 4'!A64</f>
        <v>3140</v>
      </c>
      <c r="C67" s="44" t="str">
        <f>'дод 4'!B64</f>
        <v>1040</v>
      </c>
      <c r="D67" s="24" t="str">
        <f>'дод 4'!C64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7" s="69">
        <f t="shared" si="18"/>
        <v>7000000</v>
      </c>
      <c r="F67" s="69">
        <v>7000000</v>
      </c>
      <c r="G67" s="69"/>
      <c r="H67" s="69"/>
      <c r="I67" s="69"/>
      <c r="J67" s="69">
        <f t="shared" si="20"/>
        <v>0</v>
      </c>
      <c r="K67" s="69"/>
      <c r="L67" s="69"/>
      <c r="M67" s="69"/>
      <c r="N67" s="69"/>
      <c r="O67" s="69"/>
      <c r="P67" s="69">
        <f t="shared" si="19"/>
        <v>7000000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</row>
    <row r="68" spans="1:529" s="23" customFormat="1" ht="31.5" customHeight="1" x14ac:dyDescent="0.25">
      <c r="A68" s="43" t="s">
        <v>374</v>
      </c>
      <c r="B68" s="44" t="str">
        <f>'дод 4'!A74</f>
        <v>3242</v>
      </c>
      <c r="C68" s="44" t="str">
        <f>'дод 4'!B74</f>
        <v>1090</v>
      </c>
      <c r="D68" s="24" t="str">
        <f>'дод 4'!C74</f>
        <v>Інші заходи у сфері соціального захисту і соціального забезпечення</v>
      </c>
      <c r="E68" s="69">
        <f t="shared" si="18"/>
        <v>52490</v>
      </c>
      <c r="F68" s="69">
        <v>52490</v>
      </c>
      <c r="G68" s="69"/>
      <c r="H68" s="69"/>
      <c r="I68" s="69"/>
      <c r="J68" s="69">
        <f t="shared" si="20"/>
        <v>0</v>
      </c>
      <c r="K68" s="69"/>
      <c r="L68" s="69"/>
      <c r="M68" s="69"/>
      <c r="N68" s="69"/>
      <c r="O68" s="69"/>
      <c r="P68" s="69">
        <f t="shared" si="19"/>
        <v>52490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</row>
    <row r="69" spans="1:529" s="23" customFormat="1" ht="33" customHeight="1" x14ac:dyDescent="0.25">
      <c r="A69" s="43" t="s">
        <v>203</v>
      </c>
      <c r="B69" s="44" t="str">
        <f>'дод 4'!A83</f>
        <v>5031</v>
      </c>
      <c r="C69" s="44" t="str">
        <f>'дод 4'!B83</f>
        <v>0810</v>
      </c>
      <c r="D69" s="24" t="str">
        <f>'дод 4'!C83</f>
        <v>Утримання та навчально-тренувальна робота комунальних дитячо-юнацьких спортивних шкіл</v>
      </c>
      <c r="E69" s="69">
        <f t="shared" si="18"/>
        <v>6787500</v>
      </c>
      <c r="F69" s="69">
        <f>6725500+60000+2000</f>
        <v>6787500</v>
      </c>
      <c r="G69" s="69">
        <v>5086600</v>
      </c>
      <c r="H69" s="69">
        <v>240700</v>
      </c>
      <c r="I69" s="69"/>
      <c r="J69" s="69">
        <f t="shared" si="20"/>
        <v>750000</v>
      </c>
      <c r="K69" s="69">
        <f>550000+200000</f>
        <v>750000</v>
      </c>
      <c r="L69" s="69"/>
      <c r="M69" s="69"/>
      <c r="N69" s="69"/>
      <c r="O69" s="69">
        <f>550000+200000</f>
        <v>750000</v>
      </c>
      <c r="P69" s="69">
        <f t="shared" si="19"/>
        <v>7537500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</row>
    <row r="70" spans="1:529" s="23" customFormat="1" ht="45.75" customHeight="1" x14ac:dyDescent="0.25">
      <c r="A70" s="43" t="s">
        <v>439</v>
      </c>
      <c r="B70" s="44">
        <v>7363</v>
      </c>
      <c r="C70" s="117" t="s">
        <v>102</v>
      </c>
      <c r="D70" s="118" t="s">
        <v>438</v>
      </c>
      <c r="E70" s="69">
        <f t="shared" si="18"/>
        <v>0</v>
      </c>
      <c r="F70" s="69"/>
      <c r="G70" s="69"/>
      <c r="H70" s="69"/>
      <c r="I70" s="69"/>
      <c r="J70" s="69">
        <f t="shared" si="20"/>
        <v>257580.90999999997</v>
      </c>
      <c r="K70" s="69">
        <f>7502.36+250078.55</f>
        <v>257580.90999999997</v>
      </c>
      <c r="L70" s="69"/>
      <c r="M70" s="69"/>
      <c r="N70" s="69"/>
      <c r="O70" s="69">
        <f>7502.36+250078.55</f>
        <v>257580.90999999997</v>
      </c>
      <c r="P70" s="69">
        <f t="shared" si="19"/>
        <v>257580.90999999997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</row>
    <row r="71" spans="1:529" s="23" customFormat="1" x14ac:dyDescent="0.25">
      <c r="A71" s="43"/>
      <c r="B71" s="44"/>
      <c r="C71" s="44"/>
      <c r="D71" s="22" t="s">
        <v>308</v>
      </c>
      <c r="E71" s="69">
        <f t="shared" ref="E71" si="21">F71+I71</f>
        <v>0</v>
      </c>
      <c r="F71" s="69"/>
      <c r="G71" s="69"/>
      <c r="H71" s="69"/>
      <c r="I71" s="69"/>
      <c r="J71" s="69">
        <f t="shared" ref="J71" si="22">L71+O71</f>
        <v>250078.55</v>
      </c>
      <c r="K71" s="69">
        <v>250078.55</v>
      </c>
      <c r="L71" s="69"/>
      <c r="M71" s="69"/>
      <c r="N71" s="69"/>
      <c r="O71" s="69">
        <v>250078.55</v>
      </c>
      <c r="P71" s="69">
        <f t="shared" si="19"/>
        <v>250078.55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</row>
    <row r="72" spans="1:529" s="23" customFormat="1" ht="25.5" customHeight="1" x14ac:dyDescent="0.25">
      <c r="A72" s="43" t="s">
        <v>204</v>
      </c>
      <c r="B72" s="44" t="str">
        <f>'дод 4'!A121</f>
        <v>7640</v>
      </c>
      <c r="C72" s="44" t="str">
        <f>'дод 4'!B121</f>
        <v>0470</v>
      </c>
      <c r="D72" s="24" t="str">
        <f>'дод 4'!C121</f>
        <v>Заходи з енергозбереження</v>
      </c>
      <c r="E72" s="69">
        <f t="shared" si="18"/>
        <v>578800</v>
      </c>
      <c r="F72" s="69">
        <v>578800</v>
      </c>
      <c r="G72" s="69"/>
      <c r="H72" s="69"/>
      <c r="I72" s="69"/>
      <c r="J72" s="69">
        <f t="shared" si="20"/>
        <v>2993200</v>
      </c>
      <c r="K72" s="69">
        <v>2993200</v>
      </c>
      <c r="L72" s="69"/>
      <c r="M72" s="69"/>
      <c r="N72" s="69"/>
      <c r="O72" s="69">
        <v>2993200</v>
      </c>
      <c r="P72" s="69">
        <f t="shared" si="19"/>
        <v>3572000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</row>
    <row r="73" spans="1:529" s="23" customFormat="1" ht="27" customHeight="1" x14ac:dyDescent="0.25">
      <c r="A73" s="43" t="s">
        <v>205</v>
      </c>
      <c r="B73" s="44" t="str">
        <f>'дод 4'!A138</f>
        <v>8340</v>
      </c>
      <c r="C73" s="44" t="str">
        <f>'дод 4'!B138</f>
        <v>0540</v>
      </c>
      <c r="D73" s="24" t="str">
        <f>'дод 4'!C138</f>
        <v>Природоохоронні заходи за рахунок цільових фондів</v>
      </c>
      <c r="E73" s="69">
        <f t="shared" si="18"/>
        <v>0</v>
      </c>
      <c r="F73" s="69"/>
      <c r="G73" s="69"/>
      <c r="H73" s="69"/>
      <c r="I73" s="69"/>
      <c r="J73" s="69">
        <f t="shared" si="20"/>
        <v>400000</v>
      </c>
      <c r="K73" s="69"/>
      <c r="L73" s="69">
        <f>306000+10000</f>
        <v>316000</v>
      </c>
      <c r="M73" s="69"/>
      <c r="N73" s="69"/>
      <c r="O73" s="69">
        <v>84000</v>
      </c>
      <c r="P73" s="69">
        <f t="shared" si="19"/>
        <v>400000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</row>
    <row r="74" spans="1:529" s="23" customFormat="1" ht="48.75" customHeight="1" x14ac:dyDescent="0.25">
      <c r="A74" s="43" t="s">
        <v>440</v>
      </c>
      <c r="B74" s="44">
        <v>9800</v>
      </c>
      <c r="C74" s="45" t="s">
        <v>59</v>
      </c>
      <c r="D74" s="119" t="s">
        <v>441</v>
      </c>
      <c r="E74" s="69">
        <f t="shared" si="18"/>
        <v>84885</v>
      </c>
      <c r="F74" s="69">
        <v>84885</v>
      </c>
      <c r="G74" s="69"/>
      <c r="H74" s="69"/>
      <c r="I74" s="69"/>
      <c r="J74" s="69">
        <f t="shared" si="20"/>
        <v>0</v>
      </c>
      <c r="K74" s="69"/>
      <c r="L74" s="69"/>
      <c r="M74" s="69"/>
      <c r="N74" s="69"/>
      <c r="O74" s="69"/>
      <c r="P74" s="69">
        <f t="shared" si="19"/>
        <v>84885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</row>
    <row r="75" spans="1:529" s="31" customFormat="1" ht="21" customHeight="1" x14ac:dyDescent="0.2">
      <c r="A75" s="76" t="s">
        <v>206</v>
      </c>
      <c r="B75" s="74"/>
      <c r="C75" s="74"/>
      <c r="D75" s="30" t="s">
        <v>36</v>
      </c>
      <c r="E75" s="66">
        <f>E76</f>
        <v>245410211</v>
      </c>
      <c r="F75" s="66">
        <f t="shared" ref="F75:P75" si="23">F76</f>
        <v>245211211</v>
      </c>
      <c r="G75" s="66">
        <f t="shared" si="23"/>
        <v>1641400</v>
      </c>
      <c r="H75" s="66">
        <f t="shared" si="23"/>
        <v>35400</v>
      </c>
      <c r="I75" s="66">
        <f t="shared" si="23"/>
        <v>199000</v>
      </c>
      <c r="J75" s="66">
        <f t="shared" si="23"/>
        <v>97305074</v>
      </c>
      <c r="K75" s="66">
        <f t="shared" si="23"/>
        <v>96420074</v>
      </c>
      <c r="L75" s="66">
        <f t="shared" si="23"/>
        <v>0</v>
      </c>
      <c r="M75" s="66">
        <f t="shared" si="23"/>
        <v>0</v>
      </c>
      <c r="N75" s="66">
        <f t="shared" si="23"/>
        <v>0</v>
      </c>
      <c r="O75" s="66">
        <f t="shared" si="23"/>
        <v>97305074</v>
      </c>
      <c r="P75" s="66">
        <f t="shared" si="23"/>
        <v>342715285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  <c r="IW75" s="38"/>
      <c r="IX75" s="38"/>
      <c r="IY75" s="38"/>
      <c r="IZ75" s="38"/>
      <c r="JA75" s="38"/>
      <c r="JB75" s="38"/>
      <c r="JC75" s="38"/>
      <c r="JD75" s="38"/>
      <c r="JE75" s="38"/>
      <c r="JF75" s="38"/>
      <c r="JG75" s="38"/>
      <c r="JH75" s="38"/>
      <c r="JI75" s="38"/>
      <c r="JJ75" s="38"/>
      <c r="JK75" s="38"/>
      <c r="JL75" s="38"/>
      <c r="JM75" s="38"/>
      <c r="JN75" s="38"/>
      <c r="JO75" s="38"/>
      <c r="JP75" s="38"/>
      <c r="JQ75" s="38"/>
      <c r="JR75" s="38"/>
      <c r="JS75" s="38"/>
      <c r="JT75" s="38"/>
      <c r="JU75" s="38"/>
      <c r="JV75" s="38"/>
      <c r="JW75" s="38"/>
      <c r="JX75" s="38"/>
      <c r="JY75" s="38"/>
      <c r="JZ75" s="38"/>
      <c r="KA75" s="38"/>
      <c r="KB75" s="38"/>
      <c r="KC75" s="38"/>
      <c r="KD75" s="38"/>
      <c r="KE75" s="38"/>
      <c r="KF75" s="38"/>
      <c r="KG75" s="38"/>
      <c r="KH75" s="38"/>
      <c r="KI75" s="38"/>
      <c r="KJ75" s="38"/>
      <c r="KK75" s="38"/>
      <c r="KL75" s="38"/>
      <c r="KM75" s="38"/>
      <c r="KN75" s="38"/>
      <c r="KO75" s="38"/>
      <c r="KP75" s="38"/>
      <c r="KQ75" s="38"/>
      <c r="KR75" s="38"/>
      <c r="KS75" s="38"/>
      <c r="KT75" s="38"/>
      <c r="KU75" s="38"/>
      <c r="KV75" s="38"/>
      <c r="KW75" s="38"/>
      <c r="KX75" s="38"/>
      <c r="KY75" s="38"/>
      <c r="KZ75" s="38"/>
      <c r="LA75" s="38"/>
      <c r="LB75" s="38"/>
      <c r="LC75" s="38"/>
      <c r="LD75" s="38"/>
      <c r="LE75" s="38"/>
      <c r="LF75" s="38"/>
      <c r="LG75" s="38"/>
      <c r="LH75" s="38"/>
      <c r="LI75" s="38"/>
      <c r="LJ75" s="38"/>
      <c r="LK75" s="38"/>
      <c r="LL75" s="38"/>
      <c r="LM75" s="38"/>
      <c r="LN75" s="38"/>
      <c r="LO75" s="38"/>
      <c r="LP75" s="38"/>
      <c r="LQ75" s="38"/>
      <c r="LR75" s="38"/>
      <c r="LS75" s="38"/>
      <c r="LT75" s="38"/>
      <c r="LU75" s="38"/>
      <c r="LV75" s="38"/>
      <c r="LW75" s="38"/>
      <c r="LX75" s="38"/>
      <c r="LY75" s="38"/>
      <c r="LZ75" s="38"/>
      <c r="MA75" s="38"/>
      <c r="MB75" s="38"/>
      <c r="MC75" s="38"/>
      <c r="MD75" s="38"/>
      <c r="ME75" s="38"/>
      <c r="MF75" s="38"/>
      <c r="MG75" s="38"/>
      <c r="MH75" s="38"/>
      <c r="MI75" s="38"/>
      <c r="MJ75" s="38"/>
      <c r="MK75" s="38"/>
      <c r="ML75" s="38"/>
      <c r="MM75" s="38"/>
      <c r="MN75" s="38"/>
      <c r="MO75" s="38"/>
      <c r="MP75" s="38"/>
      <c r="MQ75" s="38"/>
      <c r="MR75" s="38"/>
      <c r="MS75" s="38"/>
      <c r="MT75" s="38"/>
      <c r="MU75" s="38"/>
      <c r="MV75" s="38"/>
      <c r="MW75" s="38"/>
      <c r="MX75" s="38"/>
      <c r="MY75" s="38"/>
      <c r="MZ75" s="38"/>
      <c r="NA75" s="38"/>
      <c r="NB75" s="38"/>
      <c r="NC75" s="38"/>
      <c r="ND75" s="38"/>
      <c r="NE75" s="38"/>
      <c r="NF75" s="38"/>
      <c r="NG75" s="38"/>
      <c r="NH75" s="38"/>
      <c r="NI75" s="38"/>
      <c r="NJ75" s="38"/>
      <c r="NK75" s="38"/>
      <c r="NL75" s="38"/>
      <c r="NM75" s="38"/>
      <c r="NN75" s="38"/>
      <c r="NO75" s="38"/>
      <c r="NP75" s="38"/>
      <c r="NQ75" s="38"/>
      <c r="NR75" s="38"/>
      <c r="NS75" s="38"/>
      <c r="NT75" s="38"/>
      <c r="NU75" s="38"/>
      <c r="NV75" s="38"/>
      <c r="NW75" s="38"/>
      <c r="NX75" s="38"/>
      <c r="NY75" s="38"/>
      <c r="NZ75" s="38"/>
      <c r="OA75" s="38"/>
      <c r="OB75" s="38"/>
      <c r="OC75" s="38"/>
      <c r="OD75" s="38"/>
      <c r="OE75" s="38"/>
      <c r="OF75" s="38"/>
      <c r="OG75" s="38"/>
      <c r="OH75" s="38"/>
      <c r="OI75" s="38"/>
      <c r="OJ75" s="38"/>
      <c r="OK75" s="38"/>
      <c r="OL75" s="38"/>
      <c r="OM75" s="38"/>
      <c r="ON75" s="38"/>
      <c r="OO75" s="38"/>
      <c r="OP75" s="38"/>
      <c r="OQ75" s="38"/>
      <c r="OR75" s="38"/>
      <c r="OS75" s="38"/>
      <c r="OT75" s="38"/>
      <c r="OU75" s="38"/>
      <c r="OV75" s="38"/>
      <c r="OW75" s="38"/>
      <c r="OX75" s="38"/>
      <c r="OY75" s="38"/>
      <c r="OZ75" s="38"/>
      <c r="PA75" s="38"/>
      <c r="PB75" s="38"/>
      <c r="PC75" s="38"/>
      <c r="PD75" s="38"/>
      <c r="PE75" s="38"/>
      <c r="PF75" s="38"/>
      <c r="PG75" s="38"/>
      <c r="PH75" s="38"/>
      <c r="PI75" s="38"/>
      <c r="PJ75" s="38"/>
      <c r="PK75" s="38"/>
      <c r="PL75" s="38"/>
      <c r="PM75" s="38"/>
      <c r="PN75" s="38"/>
      <c r="PO75" s="38"/>
      <c r="PP75" s="38"/>
      <c r="PQ75" s="38"/>
      <c r="PR75" s="38"/>
      <c r="PS75" s="38"/>
      <c r="PT75" s="38"/>
      <c r="PU75" s="38"/>
      <c r="PV75" s="38"/>
      <c r="PW75" s="38"/>
      <c r="PX75" s="38"/>
      <c r="PY75" s="38"/>
      <c r="PZ75" s="38"/>
      <c r="QA75" s="38"/>
      <c r="QB75" s="38"/>
      <c r="QC75" s="38"/>
      <c r="QD75" s="38"/>
      <c r="QE75" s="38"/>
      <c r="QF75" s="38"/>
      <c r="QG75" s="38"/>
      <c r="QH75" s="38"/>
      <c r="QI75" s="38"/>
      <c r="QJ75" s="38"/>
      <c r="QK75" s="38"/>
      <c r="QL75" s="38"/>
      <c r="QM75" s="38"/>
      <c r="QN75" s="38"/>
      <c r="QO75" s="38"/>
      <c r="QP75" s="38"/>
      <c r="QQ75" s="38"/>
      <c r="QR75" s="38"/>
      <c r="QS75" s="38"/>
      <c r="QT75" s="38"/>
      <c r="QU75" s="38"/>
      <c r="QV75" s="38"/>
      <c r="QW75" s="38"/>
      <c r="QX75" s="38"/>
      <c r="QY75" s="38"/>
      <c r="QZ75" s="38"/>
      <c r="RA75" s="38"/>
      <c r="RB75" s="38"/>
      <c r="RC75" s="38"/>
      <c r="RD75" s="38"/>
      <c r="RE75" s="38"/>
      <c r="RF75" s="38"/>
      <c r="RG75" s="38"/>
      <c r="RH75" s="38"/>
      <c r="RI75" s="38"/>
      <c r="RJ75" s="38"/>
      <c r="RK75" s="38"/>
      <c r="RL75" s="38"/>
      <c r="RM75" s="38"/>
      <c r="RN75" s="38"/>
      <c r="RO75" s="38"/>
      <c r="RP75" s="38"/>
      <c r="RQ75" s="38"/>
      <c r="RR75" s="38"/>
      <c r="RS75" s="38"/>
      <c r="RT75" s="38"/>
      <c r="RU75" s="38"/>
      <c r="RV75" s="38"/>
      <c r="RW75" s="38"/>
      <c r="RX75" s="38"/>
      <c r="RY75" s="38"/>
      <c r="RZ75" s="38"/>
      <c r="SA75" s="38"/>
      <c r="SB75" s="38"/>
      <c r="SC75" s="38"/>
      <c r="SD75" s="38"/>
      <c r="SE75" s="38"/>
      <c r="SF75" s="38"/>
      <c r="SG75" s="38"/>
      <c r="SH75" s="38"/>
      <c r="SI75" s="38"/>
      <c r="SJ75" s="38"/>
      <c r="SK75" s="38"/>
      <c r="SL75" s="38"/>
      <c r="SM75" s="38"/>
      <c r="SN75" s="38"/>
      <c r="SO75" s="38"/>
      <c r="SP75" s="38"/>
      <c r="SQ75" s="38"/>
      <c r="SR75" s="38"/>
      <c r="SS75" s="38"/>
      <c r="ST75" s="38"/>
      <c r="SU75" s="38"/>
      <c r="SV75" s="38"/>
      <c r="SW75" s="38"/>
      <c r="SX75" s="38"/>
      <c r="SY75" s="38"/>
      <c r="SZ75" s="38"/>
      <c r="TA75" s="38"/>
      <c r="TB75" s="38"/>
      <c r="TC75" s="38"/>
      <c r="TD75" s="38"/>
      <c r="TE75" s="38"/>
      <c r="TF75" s="38"/>
      <c r="TG75" s="38"/>
      <c r="TH75" s="38"/>
      <c r="TI75" s="38"/>
    </row>
    <row r="76" spans="1:529" s="40" customFormat="1" ht="18.75" customHeight="1" x14ac:dyDescent="0.25">
      <c r="A76" s="77" t="s">
        <v>207</v>
      </c>
      <c r="B76" s="75"/>
      <c r="C76" s="75"/>
      <c r="D76" s="33" t="s">
        <v>36</v>
      </c>
      <c r="E76" s="68">
        <f>E78+E79+E81+E83+E85+E86+E88+E89+E90+E91+E92</f>
        <v>245410211</v>
      </c>
      <c r="F76" s="68">
        <f t="shared" ref="F76:P76" si="24">F78+F79+F81+F83+F85+F86+F88+F89+F90+F91+F92</f>
        <v>245211211</v>
      </c>
      <c r="G76" s="68">
        <f t="shared" si="24"/>
        <v>1641400</v>
      </c>
      <c r="H76" s="68">
        <f t="shared" si="24"/>
        <v>35400</v>
      </c>
      <c r="I76" s="68">
        <f t="shared" si="24"/>
        <v>199000</v>
      </c>
      <c r="J76" s="68">
        <f t="shared" si="24"/>
        <v>97305074</v>
      </c>
      <c r="K76" s="68">
        <f t="shared" si="24"/>
        <v>96420074</v>
      </c>
      <c r="L76" s="68">
        <f t="shared" si="24"/>
        <v>0</v>
      </c>
      <c r="M76" s="68">
        <f t="shared" si="24"/>
        <v>0</v>
      </c>
      <c r="N76" s="68">
        <f t="shared" si="24"/>
        <v>0</v>
      </c>
      <c r="O76" s="68">
        <f t="shared" si="24"/>
        <v>97305074</v>
      </c>
      <c r="P76" s="68">
        <f t="shared" si="24"/>
        <v>342715285</v>
      </c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  <c r="KR76" s="39"/>
      <c r="KS76" s="39"/>
      <c r="KT76" s="39"/>
      <c r="KU76" s="39"/>
      <c r="KV76" s="39"/>
      <c r="KW76" s="39"/>
      <c r="KX76" s="39"/>
      <c r="KY76" s="39"/>
      <c r="KZ76" s="39"/>
      <c r="LA76" s="39"/>
      <c r="LB76" s="39"/>
      <c r="LC76" s="39"/>
      <c r="LD76" s="39"/>
      <c r="LE76" s="39"/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/>
      <c r="LQ76" s="39"/>
      <c r="LR76" s="39"/>
      <c r="LS76" s="39"/>
      <c r="LT76" s="39"/>
      <c r="LU76" s="39"/>
      <c r="LV76" s="39"/>
      <c r="LW76" s="39"/>
      <c r="LX76" s="39"/>
      <c r="LY76" s="39"/>
      <c r="LZ76" s="39"/>
      <c r="MA76" s="39"/>
      <c r="MB76" s="39"/>
      <c r="MC76" s="39"/>
      <c r="MD76" s="39"/>
      <c r="ME76" s="39"/>
      <c r="MF76" s="39"/>
      <c r="MG76" s="39"/>
      <c r="MH76" s="39"/>
      <c r="MI76" s="39"/>
      <c r="MJ76" s="39"/>
      <c r="MK76" s="39"/>
      <c r="ML76" s="39"/>
      <c r="MM76" s="39"/>
      <c r="MN76" s="39"/>
      <c r="MO76" s="39"/>
      <c r="MP76" s="39"/>
      <c r="MQ76" s="39"/>
      <c r="MR76" s="39"/>
      <c r="MS76" s="39"/>
      <c r="MT76" s="39"/>
      <c r="MU76" s="39"/>
      <c r="MV76" s="39"/>
      <c r="MW76" s="39"/>
      <c r="MX76" s="39"/>
      <c r="MY76" s="39"/>
      <c r="MZ76" s="39"/>
      <c r="NA76" s="39"/>
      <c r="NB76" s="39"/>
      <c r="NC76" s="39"/>
      <c r="ND76" s="39"/>
      <c r="NE76" s="39"/>
      <c r="NF76" s="39"/>
      <c r="NG76" s="39"/>
      <c r="NH76" s="39"/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39"/>
      <c r="NT76" s="39"/>
      <c r="NU76" s="39"/>
      <c r="NV76" s="39"/>
      <c r="NW76" s="39"/>
      <c r="NX76" s="39"/>
      <c r="NY76" s="39"/>
      <c r="NZ76" s="39"/>
      <c r="OA76" s="39"/>
      <c r="OB76" s="39"/>
      <c r="OC76" s="39"/>
      <c r="OD76" s="39"/>
      <c r="OE76" s="39"/>
      <c r="OF76" s="39"/>
      <c r="OG76" s="39"/>
      <c r="OH76" s="39"/>
      <c r="OI76" s="39"/>
      <c r="OJ76" s="39"/>
      <c r="OK76" s="39"/>
      <c r="OL76" s="39"/>
      <c r="OM76" s="39"/>
      <c r="ON76" s="39"/>
      <c r="OO76" s="39"/>
      <c r="OP76" s="39"/>
      <c r="OQ76" s="39"/>
      <c r="OR76" s="39"/>
      <c r="OS76" s="39"/>
      <c r="OT76" s="39"/>
      <c r="OU76" s="39"/>
      <c r="OV76" s="39"/>
      <c r="OW76" s="39"/>
      <c r="OX76" s="39"/>
      <c r="OY76" s="39"/>
      <c r="OZ76" s="39"/>
      <c r="PA76" s="39"/>
      <c r="PB76" s="39"/>
      <c r="PC76" s="39"/>
      <c r="PD76" s="39"/>
      <c r="PE76" s="39"/>
      <c r="PF76" s="39"/>
      <c r="PG76" s="39"/>
      <c r="PH76" s="39"/>
      <c r="PI76" s="39"/>
      <c r="PJ76" s="39"/>
      <c r="PK76" s="39"/>
      <c r="PL76" s="39"/>
      <c r="PM76" s="39"/>
      <c r="PN76" s="39"/>
      <c r="PO76" s="39"/>
      <c r="PP76" s="39"/>
      <c r="PQ76" s="39"/>
      <c r="PR76" s="39"/>
      <c r="PS76" s="39"/>
      <c r="PT76" s="39"/>
      <c r="PU76" s="39"/>
      <c r="PV76" s="39"/>
      <c r="PW76" s="39"/>
      <c r="PX76" s="39"/>
      <c r="PY76" s="39"/>
      <c r="PZ76" s="39"/>
      <c r="QA76" s="39"/>
      <c r="QB76" s="39"/>
      <c r="QC76" s="39"/>
      <c r="QD76" s="39"/>
      <c r="QE76" s="39"/>
      <c r="QF76" s="39"/>
      <c r="QG76" s="39"/>
      <c r="QH76" s="39"/>
      <c r="QI76" s="39"/>
      <c r="QJ76" s="39"/>
      <c r="QK76" s="39"/>
      <c r="QL76" s="39"/>
      <c r="QM76" s="39"/>
      <c r="QN76" s="39"/>
      <c r="QO76" s="39"/>
      <c r="QP76" s="39"/>
      <c r="QQ76" s="39"/>
      <c r="QR76" s="39"/>
      <c r="QS76" s="39"/>
      <c r="QT76" s="39"/>
      <c r="QU76" s="39"/>
      <c r="QV76" s="39"/>
      <c r="QW76" s="39"/>
      <c r="QX76" s="39"/>
      <c r="QY76" s="39"/>
      <c r="QZ76" s="39"/>
      <c r="RA76" s="39"/>
      <c r="RB76" s="39"/>
      <c r="RC76" s="39"/>
      <c r="RD76" s="39"/>
      <c r="RE76" s="39"/>
      <c r="RF76" s="39"/>
      <c r="RG76" s="39"/>
      <c r="RH76" s="39"/>
      <c r="RI76" s="39"/>
      <c r="RJ76" s="39"/>
      <c r="RK76" s="39"/>
      <c r="RL76" s="39"/>
      <c r="RM76" s="39"/>
      <c r="RN76" s="39"/>
      <c r="RO76" s="39"/>
      <c r="RP76" s="39"/>
      <c r="RQ76" s="39"/>
      <c r="RR76" s="39"/>
      <c r="RS76" s="39"/>
      <c r="RT76" s="39"/>
      <c r="RU76" s="39"/>
      <c r="RV76" s="39"/>
      <c r="RW76" s="39"/>
      <c r="RX76" s="39"/>
      <c r="RY76" s="39"/>
      <c r="RZ76" s="39"/>
      <c r="SA76" s="39"/>
      <c r="SB76" s="39"/>
      <c r="SC76" s="39"/>
      <c r="SD76" s="39"/>
      <c r="SE76" s="39"/>
      <c r="SF76" s="39"/>
      <c r="SG76" s="39"/>
      <c r="SH76" s="39"/>
      <c r="SI76" s="39"/>
      <c r="SJ76" s="39"/>
      <c r="SK76" s="39"/>
      <c r="SL76" s="39"/>
      <c r="SM76" s="39"/>
      <c r="SN76" s="39"/>
      <c r="SO76" s="39"/>
      <c r="SP76" s="39"/>
      <c r="SQ76" s="39"/>
      <c r="SR76" s="39"/>
      <c r="SS76" s="39"/>
      <c r="ST76" s="39"/>
      <c r="SU76" s="39"/>
      <c r="SV76" s="39"/>
      <c r="SW76" s="39"/>
      <c r="SX76" s="39"/>
      <c r="SY76" s="39"/>
      <c r="SZ76" s="39"/>
      <c r="TA76" s="39"/>
      <c r="TB76" s="39"/>
      <c r="TC76" s="39"/>
      <c r="TD76" s="39"/>
      <c r="TE76" s="39"/>
      <c r="TF76" s="39"/>
      <c r="TG76" s="39"/>
      <c r="TH76" s="39"/>
      <c r="TI76" s="39"/>
    </row>
    <row r="77" spans="1:529" s="40" customFormat="1" ht="18.75" customHeight="1" x14ac:dyDescent="0.25">
      <c r="A77" s="77"/>
      <c r="B77" s="75"/>
      <c r="C77" s="75"/>
      <c r="D77" s="33" t="s">
        <v>308</v>
      </c>
      <c r="E77" s="68">
        <f>E80+E82+E84+E87</f>
        <v>57157811</v>
      </c>
      <c r="F77" s="68">
        <f t="shared" ref="F77:P77" si="25">F80+F82+F84+F87</f>
        <v>57157811</v>
      </c>
      <c r="G77" s="68">
        <f t="shared" si="25"/>
        <v>0</v>
      </c>
      <c r="H77" s="68">
        <f t="shared" si="25"/>
        <v>0</v>
      </c>
      <c r="I77" s="68">
        <f t="shared" si="25"/>
        <v>0</v>
      </c>
      <c r="J77" s="68">
        <f t="shared" si="25"/>
        <v>0</v>
      </c>
      <c r="K77" s="68">
        <f t="shared" si="25"/>
        <v>0</v>
      </c>
      <c r="L77" s="68">
        <f t="shared" si="25"/>
        <v>0</v>
      </c>
      <c r="M77" s="68">
        <f t="shared" si="25"/>
        <v>0</v>
      </c>
      <c r="N77" s="68">
        <f t="shared" si="25"/>
        <v>0</v>
      </c>
      <c r="O77" s="68">
        <f t="shared" si="25"/>
        <v>0</v>
      </c>
      <c r="P77" s="68">
        <f t="shared" si="25"/>
        <v>57157811</v>
      </c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  <c r="KR77" s="39"/>
      <c r="KS77" s="39"/>
      <c r="KT77" s="39"/>
      <c r="KU77" s="39"/>
      <c r="KV77" s="39"/>
      <c r="KW77" s="39"/>
      <c r="KX77" s="39"/>
      <c r="KY77" s="39"/>
      <c r="KZ77" s="39"/>
      <c r="LA77" s="39"/>
      <c r="LB77" s="39"/>
      <c r="LC77" s="39"/>
      <c r="LD77" s="39"/>
      <c r="LE77" s="39"/>
      <c r="LF77" s="39"/>
      <c r="LG77" s="39"/>
      <c r="LH77" s="39"/>
      <c r="LI77" s="39"/>
      <c r="LJ77" s="39"/>
      <c r="LK77" s="39"/>
      <c r="LL77" s="39"/>
      <c r="LM77" s="39"/>
      <c r="LN77" s="39"/>
      <c r="LO77" s="39"/>
      <c r="LP77" s="39"/>
      <c r="LQ77" s="39"/>
      <c r="LR77" s="39"/>
      <c r="LS77" s="39"/>
      <c r="LT77" s="39"/>
      <c r="LU77" s="39"/>
      <c r="LV77" s="39"/>
      <c r="LW77" s="39"/>
      <c r="LX77" s="39"/>
      <c r="LY77" s="39"/>
      <c r="LZ77" s="39"/>
      <c r="MA77" s="39"/>
      <c r="MB77" s="39"/>
      <c r="MC77" s="39"/>
      <c r="MD77" s="39"/>
      <c r="ME77" s="39"/>
      <c r="MF77" s="39"/>
      <c r="MG77" s="39"/>
      <c r="MH77" s="39"/>
      <c r="MI77" s="39"/>
      <c r="MJ77" s="39"/>
      <c r="MK77" s="39"/>
      <c r="ML77" s="39"/>
      <c r="MM77" s="39"/>
      <c r="MN77" s="39"/>
      <c r="MO77" s="39"/>
      <c r="MP77" s="39"/>
      <c r="MQ77" s="39"/>
      <c r="MR77" s="39"/>
      <c r="MS77" s="39"/>
      <c r="MT77" s="39"/>
      <c r="MU77" s="39"/>
      <c r="MV77" s="39"/>
      <c r="MW77" s="39"/>
      <c r="MX77" s="39"/>
      <c r="MY77" s="39"/>
      <c r="MZ77" s="39"/>
      <c r="NA77" s="39"/>
      <c r="NB77" s="39"/>
      <c r="NC77" s="39"/>
      <c r="ND77" s="39"/>
      <c r="NE77" s="39"/>
      <c r="NF77" s="39"/>
      <c r="NG77" s="39"/>
      <c r="NH77" s="39"/>
      <c r="NI77" s="39"/>
      <c r="NJ77" s="39"/>
      <c r="NK77" s="39"/>
      <c r="NL77" s="39"/>
      <c r="NM77" s="39"/>
      <c r="NN77" s="39"/>
      <c r="NO77" s="39"/>
      <c r="NP77" s="39"/>
      <c r="NQ77" s="39"/>
      <c r="NR77" s="39"/>
      <c r="NS77" s="39"/>
      <c r="NT77" s="39"/>
      <c r="NU77" s="39"/>
      <c r="NV77" s="39"/>
      <c r="NW77" s="39"/>
      <c r="NX77" s="39"/>
      <c r="NY77" s="39"/>
      <c r="NZ77" s="39"/>
      <c r="OA77" s="39"/>
      <c r="OB77" s="39"/>
      <c r="OC77" s="39"/>
      <c r="OD77" s="39"/>
      <c r="OE77" s="39"/>
      <c r="OF77" s="39"/>
      <c r="OG77" s="39"/>
      <c r="OH77" s="39"/>
      <c r="OI77" s="39"/>
      <c r="OJ77" s="39"/>
      <c r="OK77" s="39"/>
      <c r="OL77" s="39"/>
      <c r="OM77" s="39"/>
      <c r="ON77" s="39"/>
      <c r="OO77" s="39"/>
      <c r="OP77" s="39"/>
      <c r="OQ77" s="39"/>
      <c r="OR77" s="39"/>
      <c r="OS77" s="39"/>
      <c r="OT77" s="39"/>
      <c r="OU77" s="39"/>
      <c r="OV77" s="39"/>
      <c r="OW77" s="39"/>
      <c r="OX77" s="39"/>
      <c r="OY77" s="39"/>
      <c r="OZ77" s="39"/>
      <c r="PA77" s="39"/>
      <c r="PB77" s="39"/>
      <c r="PC77" s="39"/>
      <c r="PD77" s="39"/>
      <c r="PE77" s="39"/>
      <c r="PF77" s="39"/>
      <c r="PG77" s="39"/>
      <c r="PH77" s="39"/>
      <c r="PI77" s="39"/>
      <c r="PJ77" s="39"/>
      <c r="PK77" s="39"/>
      <c r="PL77" s="39"/>
      <c r="PM77" s="39"/>
      <c r="PN77" s="39"/>
      <c r="PO77" s="39"/>
      <c r="PP77" s="39"/>
      <c r="PQ77" s="39"/>
      <c r="PR77" s="39"/>
      <c r="PS77" s="39"/>
      <c r="PT77" s="39"/>
      <c r="PU77" s="39"/>
      <c r="PV77" s="39"/>
      <c r="PW77" s="39"/>
      <c r="PX77" s="39"/>
      <c r="PY77" s="39"/>
      <c r="PZ77" s="39"/>
      <c r="QA77" s="39"/>
      <c r="QB77" s="39"/>
      <c r="QC77" s="39"/>
      <c r="QD77" s="39"/>
      <c r="QE77" s="39"/>
      <c r="QF77" s="39"/>
      <c r="QG77" s="39"/>
      <c r="QH77" s="39"/>
      <c r="QI77" s="39"/>
      <c r="QJ77" s="39"/>
      <c r="QK77" s="39"/>
      <c r="QL77" s="39"/>
      <c r="QM77" s="39"/>
      <c r="QN77" s="39"/>
      <c r="QO77" s="39"/>
      <c r="QP77" s="39"/>
      <c r="QQ77" s="39"/>
      <c r="QR77" s="39"/>
      <c r="QS77" s="39"/>
      <c r="QT77" s="39"/>
      <c r="QU77" s="39"/>
      <c r="QV77" s="39"/>
      <c r="QW77" s="39"/>
      <c r="QX77" s="39"/>
      <c r="QY77" s="39"/>
      <c r="QZ77" s="39"/>
      <c r="RA77" s="39"/>
      <c r="RB77" s="39"/>
      <c r="RC77" s="39"/>
      <c r="RD77" s="39"/>
      <c r="RE77" s="39"/>
      <c r="RF77" s="39"/>
      <c r="RG77" s="39"/>
      <c r="RH77" s="39"/>
      <c r="RI77" s="39"/>
      <c r="RJ77" s="39"/>
      <c r="RK77" s="39"/>
      <c r="RL77" s="39"/>
      <c r="RM77" s="39"/>
      <c r="RN77" s="39"/>
      <c r="RO77" s="39"/>
      <c r="RP77" s="39"/>
      <c r="RQ77" s="39"/>
      <c r="RR77" s="39"/>
      <c r="RS77" s="39"/>
      <c r="RT77" s="39"/>
      <c r="RU77" s="39"/>
      <c r="RV77" s="39"/>
      <c r="RW77" s="39"/>
      <c r="RX77" s="39"/>
      <c r="RY77" s="39"/>
      <c r="RZ77" s="39"/>
      <c r="SA77" s="39"/>
      <c r="SB77" s="39"/>
      <c r="SC77" s="39"/>
      <c r="SD77" s="39"/>
      <c r="SE77" s="39"/>
      <c r="SF77" s="39"/>
      <c r="SG77" s="39"/>
      <c r="SH77" s="39"/>
      <c r="SI77" s="39"/>
      <c r="SJ77" s="39"/>
      <c r="SK77" s="39"/>
      <c r="SL77" s="39"/>
      <c r="SM77" s="39"/>
      <c r="SN77" s="39"/>
      <c r="SO77" s="39"/>
      <c r="SP77" s="39"/>
      <c r="SQ77" s="39"/>
      <c r="SR77" s="39"/>
      <c r="SS77" s="39"/>
      <c r="ST77" s="39"/>
      <c r="SU77" s="39"/>
      <c r="SV77" s="39"/>
      <c r="SW77" s="39"/>
      <c r="SX77" s="39"/>
      <c r="SY77" s="39"/>
      <c r="SZ77" s="39"/>
      <c r="TA77" s="39"/>
      <c r="TB77" s="39"/>
      <c r="TC77" s="39"/>
      <c r="TD77" s="39"/>
      <c r="TE77" s="39"/>
      <c r="TF77" s="39"/>
      <c r="TG77" s="39"/>
      <c r="TH77" s="39"/>
      <c r="TI77" s="39"/>
    </row>
    <row r="78" spans="1:529" s="23" customFormat="1" ht="50.25" customHeight="1" x14ac:dyDescent="0.25">
      <c r="A78" s="43" t="s">
        <v>208</v>
      </c>
      <c r="B78" s="44" t="str">
        <f>'дод 4'!A19</f>
        <v>0160</v>
      </c>
      <c r="C78" s="44" t="str">
        <f>'дод 4'!B19</f>
        <v>0111</v>
      </c>
      <c r="D78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78" s="69">
        <f t="shared" ref="E78:E92" si="26">F78+I78</f>
        <v>2351000</v>
      </c>
      <c r="F78" s="69">
        <f>2218500+30000+3500-97800+196800</f>
        <v>2351000</v>
      </c>
      <c r="G78" s="69">
        <f>1721600-80200</f>
        <v>1641400</v>
      </c>
      <c r="H78" s="69">
        <v>35400</v>
      </c>
      <c r="I78" s="69"/>
      <c r="J78" s="69">
        <f>L78+O78</f>
        <v>0</v>
      </c>
      <c r="K78" s="69"/>
      <c r="L78" s="69"/>
      <c r="M78" s="69"/>
      <c r="N78" s="69"/>
      <c r="O78" s="69"/>
      <c r="P78" s="69">
        <f t="shared" ref="P78:P92" si="27">E78+J78</f>
        <v>2351000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</row>
    <row r="79" spans="1:529" s="23" customFormat="1" ht="14.25" customHeight="1" x14ac:dyDescent="0.25">
      <c r="A79" s="43" t="s">
        <v>209</v>
      </c>
      <c r="B79" s="44" t="str">
        <f>'дод 4'!A40</f>
        <v>2010</v>
      </c>
      <c r="C79" s="44" t="str">
        <f>'дод 4'!B40</f>
        <v>0731</v>
      </c>
      <c r="D79" s="24" t="str">
        <f>'дод 4'!C40</f>
        <v>Багатопрофільна стаціонарна медична допомога населенню</v>
      </c>
      <c r="E79" s="69">
        <f t="shared" si="26"/>
        <v>119979491</v>
      </c>
      <c r="F79" s="69">
        <f>118457491+150000+717000-100000+30000+725000</f>
        <v>119979491</v>
      </c>
      <c r="G79" s="69"/>
      <c r="H79" s="69"/>
      <c r="I79" s="71"/>
      <c r="J79" s="69">
        <f t="shared" ref="J79:J92" si="28">L79+O79</f>
        <v>55265500</v>
      </c>
      <c r="K79" s="69">
        <f>27530000+1100000+1606500-3000000+1500000+10000000+6000000+75000+10000000+454000</f>
        <v>55265500</v>
      </c>
      <c r="L79" s="69"/>
      <c r="M79" s="69"/>
      <c r="N79" s="69"/>
      <c r="O79" s="69">
        <f>27530000+1100000+1606500-3000000+1500000+10000000+6000000+75000+10000000+454000</f>
        <v>55265500</v>
      </c>
      <c r="P79" s="69">
        <f t="shared" si="27"/>
        <v>175244991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</row>
    <row r="80" spans="1:529" s="23" customFormat="1" ht="17.25" customHeight="1" x14ac:dyDescent="0.25">
      <c r="A80" s="43"/>
      <c r="B80" s="44"/>
      <c r="C80" s="44"/>
      <c r="D80" s="22" t="s">
        <v>308</v>
      </c>
      <c r="E80" s="69">
        <f t="shared" si="26"/>
        <v>48187871</v>
      </c>
      <c r="F80" s="69">
        <f>45209900+2680300+147671+150000</f>
        <v>48187871</v>
      </c>
      <c r="G80" s="69"/>
      <c r="H80" s="69"/>
      <c r="I80" s="71"/>
      <c r="J80" s="69">
        <f t="shared" si="28"/>
        <v>0</v>
      </c>
      <c r="K80" s="69"/>
      <c r="L80" s="69"/>
      <c r="M80" s="69"/>
      <c r="N80" s="69"/>
      <c r="O80" s="69"/>
      <c r="P80" s="69">
        <f t="shared" si="27"/>
        <v>48187871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</row>
    <row r="81" spans="1:529" s="23" customFormat="1" ht="36.75" customHeight="1" x14ac:dyDescent="0.25">
      <c r="A81" s="43" t="s">
        <v>214</v>
      </c>
      <c r="B81" s="44" t="str">
        <f>'дод 4'!A42</f>
        <v>2030</v>
      </c>
      <c r="C81" s="44" t="str">
        <f>'дод 4'!B42</f>
        <v>0733</v>
      </c>
      <c r="D81" s="24" t="str">
        <f>'дод 4'!C42</f>
        <v>Лікарсько-акушерська допомога вагітним, породіллям та новонародженим</v>
      </c>
      <c r="E81" s="69">
        <f t="shared" si="26"/>
        <v>15420473</v>
      </c>
      <c r="F81" s="69">
        <f>15275473+50000+95000</f>
        <v>15420473</v>
      </c>
      <c r="G81" s="71"/>
      <c r="H81" s="71"/>
      <c r="I81" s="71"/>
      <c r="J81" s="69">
        <f t="shared" si="28"/>
        <v>15040600</v>
      </c>
      <c r="K81" s="69">
        <v>15040600</v>
      </c>
      <c r="L81" s="69"/>
      <c r="M81" s="69"/>
      <c r="N81" s="69"/>
      <c r="O81" s="69">
        <v>15040600</v>
      </c>
      <c r="P81" s="69">
        <f t="shared" si="27"/>
        <v>30461073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</row>
    <row r="82" spans="1:529" s="23" customFormat="1" ht="16.5" customHeight="1" x14ac:dyDescent="0.25">
      <c r="A82" s="43"/>
      <c r="B82" s="44"/>
      <c r="C82" s="44"/>
      <c r="D82" s="22" t="s">
        <v>308</v>
      </c>
      <c r="E82" s="69">
        <f t="shared" si="26"/>
        <v>6347600</v>
      </c>
      <c r="F82" s="69">
        <v>6347600</v>
      </c>
      <c r="G82" s="71"/>
      <c r="H82" s="71"/>
      <c r="I82" s="71"/>
      <c r="J82" s="69">
        <f t="shared" si="28"/>
        <v>0</v>
      </c>
      <c r="K82" s="69"/>
      <c r="L82" s="69"/>
      <c r="M82" s="69"/>
      <c r="N82" s="69"/>
      <c r="O82" s="69"/>
      <c r="P82" s="69">
        <f t="shared" si="27"/>
        <v>6347600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</row>
    <row r="83" spans="1:529" s="23" customFormat="1" ht="24" customHeight="1" x14ac:dyDescent="0.25">
      <c r="A83" s="43" t="s">
        <v>213</v>
      </c>
      <c r="B83" s="44" t="str">
        <f>'дод 4'!A44</f>
        <v>2100</v>
      </c>
      <c r="C83" s="44" t="str">
        <f>'дод 4'!B44</f>
        <v>0722</v>
      </c>
      <c r="D83" s="24" t="str">
        <f>'дод 4'!C44</f>
        <v>Стоматологічна допомога населенню</v>
      </c>
      <c r="E83" s="69">
        <f t="shared" si="26"/>
        <v>6663426</v>
      </c>
      <c r="F83" s="69">
        <v>6663426</v>
      </c>
      <c r="G83" s="71"/>
      <c r="H83" s="71"/>
      <c r="I83" s="71"/>
      <c r="J83" s="69">
        <f t="shared" si="28"/>
        <v>1130000</v>
      </c>
      <c r="K83" s="69">
        <f>1210600-80600</f>
        <v>1130000</v>
      </c>
      <c r="L83" s="69"/>
      <c r="M83" s="69"/>
      <c r="N83" s="69"/>
      <c r="O83" s="69">
        <f>1210600-80600</f>
        <v>1130000</v>
      </c>
      <c r="P83" s="69">
        <f t="shared" si="27"/>
        <v>7793426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</row>
    <row r="84" spans="1:529" s="23" customFormat="1" ht="15" customHeight="1" x14ac:dyDescent="0.25">
      <c r="A84" s="43"/>
      <c r="B84" s="44"/>
      <c r="C84" s="44"/>
      <c r="D84" s="22" t="s">
        <v>308</v>
      </c>
      <c r="E84" s="69">
        <f t="shared" si="26"/>
        <v>1132200</v>
      </c>
      <c r="F84" s="69">
        <v>1132200</v>
      </c>
      <c r="G84" s="71"/>
      <c r="H84" s="71"/>
      <c r="I84" s="71"/>
      <c r="J84" s="69">
        <f t="shared" si="28"/>
        <v>0</v>
      </c>
      <c r="K84" s="69"/>
      <c r="L84" s="69"/>
      <c r="M84" s="69"/>
      <c r="N84" s="69"/>
      <c r="O84" s="69"/>
      <c r="P84" s="69">
        <f t="shared" si="27"/>
        <v>1132200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</row>
    <row r="85" spans="1:529" s="23" customFormat="1" ht="40.5" customHeight="1" x14ac:dyDescent="0.25">
      <c r="A85" s="43" t="s">
        <v>212</v>
      </c>
      <c r="B85" s="44" t="str">
        <f>'дод 4'!A46</f>
        <v>2111</v>
      </c>
      <c r="C85" s="44" t="str">
        <f>'дод 4'!B46</f>
        <v>0726</v>
      </c>
      <c r="D85" s="24" t="str">
        <f>'дод 4'!C46</f>
        <v>Первинна медична допомога населенню, що надається центрами первинної медичної (медико-санітарної) допомоги</v>
      </c>
      <c r="E85" s="69">
        <f t="shared" si="26"/>
        <v>1882468</v>
      </c>
      <c r="F85" s="69">
        <f>1672468+173000+25000+12000</f>
        <v>1882468</v>
      </c>
      <c r="G85" s="71"/>
      <c r="H85" s="71"/>
      <c r="I85" s="71"/>
      <c r="J85" s="69">
        <f t="shared" si="28"/>
        <v>0</v>
      </c>
      <c r="K85" s="69"/>
      <c r="L85" s="69"/>
      <c r="M85" s="69"/>
      <c r="N85" s="69"/>
      <c r="O85" s="69"/>
      <c r="P85" s="69">
        <f t="shared" si="27"/>
        <v>1882468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</row>
    <row r="86" spans="1:529" s="23" customFormat="1" ht="32.25" customHeight="1" x14ac:dyDescent="0.25">
      <c r="A86" s="43" t="s">
        <v>211</v>
      </c>
      <c r="B86" s="44">
        <f>'дод 4'!A47</f>
        <v>2144</v>
      </c>
      <c r="C86" s="44" t="str">
        <f>'дод 4'!B47</f>
        <v>0763</v>
      </c>
      <c r="D86" s="25" t="str">
        <f>'дод 4'!C47</f>
        <v>Централізовані заходи з лікування хворих на цукровий та нецукровий діабет</v>
      </c>
      <c r="E86" s="69">
        <f t="shared" si="26"/>
        <v>3090140</v>
      </c>
      <c r="F86" s="69">
        <f>2090140+1000000</f>
        <v>3090140</v>
      </c>
      <c r="G86" s="71"/>
      <c r="H86" s="71"/>
      <c r="I86" s="71"/>
      <c r="J86" s="69">
        <f t="shared" si="28"/>
        <v>0</v>
      </c>
      <c r="K86" s="69"/>
      <c r="L86" s="69"/>
      <c r="M86" s="69"/>
      <c r="N86" s="69"/>
      <c r="O86" s="69"/>
      <c r="P86" s="69">
        <f t="shared" si="27"/>
        <v>3090140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</row>
    <row r="87" spans="1:529" s="23" customFormat="1" ht="18.75" customHeight="1" x14ac:dyDescent="0.25">
      <c r="A87" s="43"/>
      <c r="B87" s="44"/>
      <c r="C87" s="44"/>
      <c r="D87" s="25" t="str">
        <f>'дод 4'!C48</f>
        <v>у т.ч. за рахунок субвенцій з держбюджету</v>
      </c>
      <c r="E87" s="69">
        <f t="shared" si="26"/>
        <v>1490140</v>
      </c>
      <c r="F87" s="69">
        <v>1490140</v>
      </c>
      <c r="G87" s="71"/>
      <c r="H87" s="71"/>
      <c r="I87" s="71"/>
      <c r="J87" s="69">
        <f t="shared" si="28"/>
        <v>0</v>
      </c>
      <c r="K87" s="69"/>
      <c r="L87" s="69"/>
      <c r="M87" s="69"/>
      <c r="N87" s="69"/>
      <c r="O87" s="69"/>
      <c r="P87" s="69">
        <f t="shared" si="27"/>
        <v>1490140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3" customFormat="1" ht="30" customHeight="1" x14ac:dyDescent="0.25">
      <c r="A88" s="43" t="s">
        <v>382</v>
      </c>
      <c r="B88" s="45" t="str">
        <f>'дод 4'!A49</f>
        <v>2151</v>
      </c>
      <c r="C88" s="45" t="str">
        <f>'дод 4'!B49</f>
        <v>0763</v>
      </c>
      <c r="D88" s="24" t="str">
        <f>'дод 4'!C49</f>
        <v>Забезпечення діяльності інших закладів у сфері охорони здоров’я</v>
      </c>
      <c r="E88" s="69">
        <f t="shared" si="26"/>
        <v>2894213</v>
      </c>
      <c r="F88" s="69">
        <v>2894213</v>
      </c>
      <c r="G88" s="71"/>
      <c r="H88" s="71"/>
      <c r="I88" s="71"/>
      <c r="J88" s="69">
        <f t="shared" si="28"/>
        <v>0</v>
      </c>
      <c r="K88" s="69"/>
      <c r="L88" s="69"/>
      <c r="M88" s="69"/>
      <c r="N88" s="69"/>
      <c r="O88" s="69"/>
      <c r="P88" s="69">
        <f t="shared" si="27"/>
        <v>2894213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24.75" customHeight="1" x14ac:dyDescent="0.25">
      <c r="A89" s="43" t="s">
        <v>383</v>
      </c>
      <c r="B89" s="45" t="str">
        <f>'дод 4'!A50</f>
        <v>2152</v>
      </c>
      <c r="C89" s="45" t="str">
        <f>'дод 4'!B50</f>
        <v>0763</v>
      </c>
      <c r="D89" s="22" t="str">
        <f>'дод 4'!C50</f>
        <v>Інші програми та заходи у сфері охорони здоров’я</v>
      </c>
      <c r="E89" s="69">
        <f t="shared" si="26"/>
        <v>92930000</v>
      </c>
      <c r="F89" s="69">
        <f>18815000+3000000+7000000+625000+63490000</f>
        <v>92930000</v>
      </c>
      <c r="G89" s="69"/>
      <c r="H89" s="69"/>
      <c r="I89" s="69"/>
      <c r="J89" s="69">
        <f t="shared" si="28"/>
        <v>0</v>
      </c>
      <c r="K89" s="69"/>
      <c r="L89" s="69"/>
      <c r="M89" s="69"/>
      <c r="N89" s="69"/>
      <c r="O89" s="69"/>
      <c r="P89" s="69">
        <f t="shared" si="27"/>
        <v>92930000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3" customFormat="1" ht="44.25" customHeight="1" x14ac:dyDescent="0.25">
      <c r="A90" s="43" t="s">
        <v>450</v>
      </c>
      <c r="B90" s="45">
        <f>'дод 4'!A108</f>
        <v>7361</v>
      </c>
      <c r="C90" s="45" t="str">
        <f>'дод 4'!B108</f>
        <v>0490</v>
      </c>
      <c r="D90" s="22" t="str">
        <f>'дод 4'!C108</f>
        <v>Співфінансування інвестиційних проектів, що реалізуються за рахунок коштів державного фонду регіонального розвитку</v>
      </c>
      <c r="E90" s="69">
        <f t="shared" si="26"/>
        <v>0</v>
      </c>
      <c r="F90" s="69"/>
      <c r="G90" s="69"/>
      <c r="H90" s="69"/>
      <c r="I90" s="69"/>
      <c r="J90" s="69">
        <f t="shared" si="28"/>
        <v>3000000</v>
      </c>
      <c r="K90" s="69">
        <v>3000000</v>
      </c>
      <c r="L90" s="69"/>
      <c r="M90" s="69"/>
      <c r="N90" s="69"/>
      <c r="O90" s="69">
        <v>3000000</v>
      </c>
      <c r="P90" s="69">
        <f t="shared" si="27"/>
        <v>3000000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</row>
    <row r="91" spans="1:529" s="23" customFormat="1" ht="18.75" customHeight="1" x14ac:dyDescent="0.25">
      <c r="A91" s="43" t="s">
        <v>210</v>
      </c>
      <c r="B91" s="44" t="str">
        <f>'дод 4'!A121</f>
        <v>7640</v>
      </c>
      <c r="C91" s="44" t="str">
        <f>'дод 4'!B121</f>
        <v>0470</v>
      </c>
      <c r="D91" s="24" t="str">
        <f>'дод 4'!C121</f>
        <v>Заходи з енергозбереження</v>
      </c>
      <c r="E91" s="69">
        <f t="shared" si="26"/>
        <v>199000</v>
      </c>
      <c r="F91" s="69"/>
      <c r="G91" s="69"/>
      <c r="H91" s="69"/>
      <c r="I91" s="69">
        <v>199000</v>
      </c>
      <c r="J91" s="69">
        <f t="shared" si="28"/>
        <v>21983974</v>
      </c>
      <c r="K91" s="69">
        <f>17559604+14714700-6500000+1200000-1100000+9670-1500000-2400000</f>
        <v>21983974</v>
      </c>
      <c r="L91" s="69"/>
      <c r="M91" s="69"/>
      <c r="N91" s="69"/>
      <c r="O91" s="69">
        <f>17559604+14714700-6500000+1200000-1100000+9670-1500000-2400000</f>
        <v>21983974</v>
      </c>
      <c r="P91" s="69">
        <f t="shared" si="27"/>
        <v>22182974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</row>
    <row r="92" spans="1:529" s="23" customFormat="1" ht="45" customHeight="1" x14ac:dyDescent="0.25">
      <c r="A92" s="43" t="s">
        <v>425</v>
      </c>
      <c r="B92" s="44">
        <v>7700</v>
      </c>
      <c r="C92" s="43" t="s">
        <v>113</v>
      </c>
      <c r="D92" s="24" t="s">
        <v>426</v>
      </c>
      <c r="E92" s="69">
        <f t="shared" si="26"/>
        <v>0</v>
      </c>
      <c r="F92" s="69"/>
      <c r="G92" s="69"/>
      <c r="H92" s="69"/>
      <c r="I92" s="69"/>
      <c r="J92" s="69">
        <f t="shared" si="28"/>
        <v>885000</v>
      </c>
      <c r="K92" s="69"/>
      <c r="L92" s="69"/>
      <c r="M92" s="69"/>
      <c r="N92" s="69"/>
      <c r="O92" s="69">
        <v>885000</v>
      </c>
      <c r="P92" s="69">
        <f t="shared" si="27"/>
        <v>885000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</row>
    <row r="93" spans="1:529" s="31" customFormat="1" ht="36" customHeight="1" x14ac:dyDescent="0.2">
      <c r="A93" s="76" t="s">
        <v>215</v>
      </c>
      <c r="B93" s="74"/>
      <c r="C93" s="74"/>
      <c r="D93" s="30" t="s">
        <v>51</v>
      </c>
      <c r="E93" s="66">
        <f>E94</f>
        <v>187909726.63</v>
      </c>
      <c r="F93" s="66">
        <f t="shared" ref="F93:J93" si="29">F94</f>
        <v>187909726.63</v>
      </c>
      <c r="G93" s="66">
        <f t="shared" si="29"/>
        <v>55579225</v>
      </c>
      <c r="H93" s="66">
        <f t="shared" si="29"/>
        <v>1615490</v>
      </c>
      <c r="I93" s="66">
        <f t="shared" si="29"/>
        <v>0</v>
      </c>
      <c r="J93" s="66">
        <f t="shared" si="29"/>
        <v>1267640</v>
      </c>
      <c r="K93" s="66">
        <f t="shared" ref="K93" si="30">K94</f>
        <v>1159540</v>
      </c>
      <c r="L93" s="66">
        <f t="shared" ref="L93" si="31">L94</f>
        <v>108100</v>
      </c>
      <c r="M93" s="66">
        <f t="shared" ref="M93" si="32">M94</f>
        <v>85100</v>
      </c>
      <c r="N93" s="66">
        <f t="shared" ref="N93" si="33">N94</f>
        <v>0</v>
      </c>
      <c r="O93" s="66">
        <f t="shared" ref="O93:P93" si="34">O94</f>
        <v>1159540</v>
      </c>
      <c r="P93" s="66">
        <f t="shared" si="34"/>
        <v>189177366.63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JS93" s="38"/>
      <c r="JT93" s="38"/>
      <c r="JU93" s="38"/>
      <c r="JV93" s="38"/>
      <c r="JW93" s="38"/>
      <c r="JX93" s="38"/>
      <c r="JY93" s="38"/>
      <c r="JZ93" s="38"/>
      <c r="KA93" s="38"/>
      <c r="KB93" s="38"/>
      <c r="KC93" s="38"/>
      <c r="KD93" s="38"/>
      <c r="KE93" s="38"/>
      <c r="KF93" s="38"/>
      <c r="KG93" s="38"/>
      <c r="KH93" s="38"/>
      <c r="KI93" s="38"/>
      <c r="KJ93" s="38"/>
      <c r="KK93" s="38"/>
      <c r="KL93" s="38"/>
      <c r="KM93" s="38"/>
      <c r="KN93" s="38"/>
      <c r="KO93" s="38"/>
      <c r="KP93" s="38"/>
      <c r="KQ93" s="38"/>
      <c r="KR93" s="38"/>
      <c r="KS93" s="38"/>
      <c r="KT93" s="38"/>
      <c r="KU93" s="38"/>
      <c r="KV93" s="38"/>
      <c r="KW93" s="38"/>
      <c r="KX93" s="38"/>
      <c r="KY93" s="38"/>
      <c r="KZ93" s="38"/>
      <c r="LA93" s="38"/>
      <c r="LB93" s="38"/>
      <c r="LC93" s="38"/>
      <c r="LD93" s="38"/>
      <c r="LE93" s="38"/>
      <c r="LF93" s="38"/>
      <c r="LG93" s="38"/>
      <c r="LH93" s="38"/>
      <c r="LI93" s="38"/>
      <c r="LJ93" s="38"/>
      <c r="LK93" s="38"/>
      <c r="LL93" s="38"/>
      <c r="LM93" s="38"/>
      <c r="LN93" s="38"/>
      <c r="LO93" s="38"/>
      <c r="LP93" s="38"/>
      <c r="LQ93" s="38"/>
      <c r="LR93" s="38"/>
      <c r="LS93" s="38"/>
      <c r="LT93" s="38"/>
      <c r="LU93" s="38"/>
      <c r="LV93" s="38"/>
      <c r="LW93" s="38"/>
      <c r="LX93" s="38"/>
      <c r="LY93" s="38"/>
      <c r="LZ93" s="38"/>
      <c r="MA93" s="38"/>
      <c r="MB93" s="38"/>
      <c r="MC93" s="38"/>
      <c r="MD93" s="38"/>
      <c r="ME93" s="38"/>
      <c r="MF93" s="38"/>
      <c r="MG93" s="38"/>
      <c r="MH93" s="38"/>
      <c r="MI93" s="38"/>
      <c r="MJ93" s="38"/>
      <c r="MK93" s="38"/>
      <c r="ML93" s="38"/>
      <c r="MM93" s="38"/>
      <c r="MN93" s="38"/>
      <c r="MO93" s="38"/>
      <c r="MP93" s="38"/>
      <c r="MQ93" s="38"/>
      <c r="MR93" s="38"/>
      <c r="MS93" s="38"/>
      <c r="MT93" s="38"/>
      <c r="MU93" s="38"/>
      <c r="MV93" s="38"/>
      <c r="MW93" s="38"/>
      <c r="MX93" s="38"/>
      <c r="MY93" s="38"/>
      <c r="MZ93" s="38"/>
      <c r="NA93" s="38"/>
      <c r="NB93" s="38"/>
      <c r="NC93" s="38"/>
      <c r="ND93" s="38"/>
      <c r="NE93" s="38"/>
      <c r="NF93" s="38"/>
      <c r="NG93" s="38"/>
      <c r="NH93" s="3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38"/>
      <c r="OI93" s="38"/>
      <c r="OJ93" s="38"/>
      <c r="OK93" s="38"/>
      <c r="OL93" s="38"/>
      <c r="OM93" s="38"/>
      <c r="ON93" s="38"/>
      <c r="OO93" s="38"/>
      <c r="OP93" s="38"/>
      <c r="OQ93" s="38"/>
      <c r="OR93" s="38"/>
      <c r="OS93" s="38"/>
      <c r="OT93" s="38"/>
      <c r="OU93" s="38"/>
      <c r="OV93" s="38"/>
      <c r="OW93" s="38"/>
      <c r="OX93" s="38"/>
      <c r="OY93" s="38"/>
      <c r="OZ93" s="38"/>
      <c r="PA93" s="38"/>
      <c r="PB93" s="38"/>
      <c r="PC93" s="38"/>
      <c r="PD93" s="38"/>
      <c r="PE93" s="38"/>
      <c r="PF93" s="38"/>
      <c r="PG93" s="38"/>
      <c r="PH93" s="38"/>
      <c r="PI93" s="38"/>
      <c r="PJ93" s="38"/>
      <c r="PK93" s="38"/>
      <c r="PL93" s="38"/>
      <c r="PM93" s="38"/>
      <c r="PN93" s="38"/>
      <c r="PO93" s="38"/>
      <c r="PP93" s="38"/>
      <c r="PQ93" s="38"/>
      <c r="PR93" s="38"/>
      <c r="PS93" s="38"/>
      <c r="PT93" s="38"/>
      <c r="PU93" s="38"/>
      <c r="PV93" s="38"/>
      <c r="PW93" s="38"/>
      <c r="PX93" s="38"/>
      <c r="PY93" s="38"/>
      <c r="PZ93" s="38"/>
      <c r="QA93" s="38"/>
      <c r="QB93" s="38"/>
      <c r="QC93" s="38"/>
      <c r="QD93" s="38"/>
      <c r="QE93" s="38"/>
      <c r="QF93" s="38"/>
      <c r="QG93" s="38"/>
      <c r="QH93" s="38"/>
      <c r="QI93" s="38"/>
      <c r="QJ93" s="38"/>
      <c r="QK93" s="38"/>
      <c r="QL93" s="38"/>
      <c r="QM93" s="38"/>
      <c r="QN93" s="38"/>
      <c r="QO93" s="38"/>
      <c r="QP93" s="38"/>
      <c r="QQ93" s="38"/>
      <c r="QR93" s="38"/>
      <c r="QS93" s="38"/>
      <c r="QT93" s="38"/>
      <c r="QU93" s="38"/>
      <c r="QV93" s="38"/>
      <c r="QW93" s="38"/>
      <c r="QX93" s="38"/>
      <c r="QY93" s="38"/>
      <c r="QZ93" s="38"/>
      <c r="RA93" s="38"/>
      <c r="RB93" s="38"/>
      <c r="RC93" s="38"/>
      <c r="RD93" s="38"/>
      <c r="RE93" s="38"/>
      <c r="RF93" s="38"/>
      <c r="RG93" s="38"/>
      <c r="RH93" s="38"/>
      <c r="RI93" s="38"/>
      <c r="RJ93" s="38"/>
      <c r="RK93" s="38"/>
      <c r="RL93" s="38"/>
      <c r="RM93" s="38"/>
      <c r="RN93" s="38"/>
      <c r="RO93" s="38"/>
      <c r="RP93" s="38"/>
      <c r="RQ93" s="38"/>
      <c r="RR93" s="38"/>
      <c r="RS93" s="38"/>
      <c r="RT93" s="38"/>
      <c r="RU93" s="38"/>
      <c r="RV93" s="38"/>
      <c r="RW93" s="38"/>
      <c r="RX93" s="38"/>
      <c r="RY93" s="38"/>
      <c r="RZ93" s="38"/>
      <c r="SA93" s="38"/>
      <c r="SB93" s="38"/>
      <c r="SC93" s="38"/>
      <c r="SD93" s="38"/>
      <c r="SE93" s="38"/>
      <c r="SF93" s="38"/>
      <c r="SG93" s="38"/>
      <c r="SH93" s="38"/>
      <c r="SI93" s="38"/>
      <c r="SJ93" s="38"/>
      <c r="SK93" s="38"/>
      <c r="SL93" s="38"/>
      <c r="SM93" s="38"/>
      <c r="SN93" s="38"/>
      <c r="SO93" s="38"/>
      <c r="SP93" s="38"/>
      <c r="SQ93" s="38"/>
      <c r="SR93" s="38"/>
      <c r="SS93" s="38"/>
      <c r="ST93" s="38"/>
      <c r="SU93" s="38"/>
      <c r="SV93" s="38"/>
      <c r="SW93" s="38"/>
      <c r="SX93" s="38"/>
      <c r="SY93" s="38"/>
      <c r="SZ93" s="38"/>
      <c r="TA93" s="38"/>
      <c r="TB93" s="38"/>
      <c r="TC93" s="38"/>
      <c r="TD93" s="38"/>
      <c r="TE93" s="38"/>
      <c r="TF93" s="38"/>
      <c r="TG93" s="38"/>
      <c r="TH93" s="38"/>
      <c r="TI93" s="38"/>
    </row>
    <row r="94" spans="1:529" s="40" customFormat="1" ht="32.25" customHeight="1" x14ac:dyDescent="0.25">
      <c r="A94" s="77" t="s">
        <v>216</v>
      </c>
      <c r="B94" s="75"/>
      <c r="C94" s="75"/>
      <c r="D94" s="33" t="s">
        <v>51</v>
      </c>
      <c r="E94" s="68">
        <f>E95+E96+E97+E98+E99+E100+E101+E102+E103+E104+E105+E106+E107+E108+E109+E110+E111+E112+E113+E114</f>
        <v>187909726.63</v>
      </c>
      <c r="F94" s="68">
        <f t="shared" ref="F94:P94" si="35">F95+F96+F97+F98+F99+F100+F101+F102+F103+F104+F105+F106+F107+F108+F109+F110+F111+F112+F113+F114</f>
        <v>187909726.63</v>
      </c>
      <c r="G94" s="68">
        <f t="shared" si="35"/>
        <v>55579225</v>
      </c>
      <c r="H94" s="68">
        <f t="shared" si="35"/>
        <v>1615490</v>
      </c>
      <c r="I94" s="68">
        <f t="shared" si="35"/>
        <v>0</v>
      </c>
      <c r="J94" s="68">
        <f t="shared" si="35"/>
        <v>1267640</v>
      </c>
      <c r="K94" s="68">
        <f>K95+K96+K97+K98+K99+K100+K101+K102+K103+K104+K105+K106+K107+K108+K109+K110+K111+K112+K113+K114</f>
        <v>1159540</v>
      </c>
      <c r="L94" s="68">
        <f t="shared" si="35"/>
        <v>108100</v>
      </c>
      <c r="M94" s="68">
        <f t="shared" si="35"/>
        <v>85100</v>
      </c>
      <c r="N94" s="68">
        <f t="shared" si="35"/>
        <v>0</v>
      </c>
      <c r="O94" s="68">
        <f t="shared" si="35"/>
        <v>1159540</v>
      </c>
      <c r="P94" s="68">
        <f t="shared" si="35"/>
        <v>189177366.63</v>
      </c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/>
      <c r="IV94" s="39"/>
      <c r="IW94" s="39"/>
      <c r="IX94" s="39"/>
      <c r="IY94" s="39"/>
      <c r="IZ94" s="39"/>
      <c r="JA94" s="39"/>
      <c r="JB94" s="39"/>
      <c r="JC94" s="39"/>
      <c r="JD94" s="39"/>
      <c r="JE94" s="39"/>
      <c r="JF94" s="39"/>
      <c r="JG94" s="39"/>
      <c r="JH94" s="39"/>
      <c r="JI94" s="39"/>
      <c r="JJ94" s="39"/>
      <c r="JK94" s="39"/>
      <c r="JL94" s="39"/>
      <c r="JM94" s="39"/>
      <c r="JN94" s="39"/>
      <c r="JO94" s="39"/>
      <c r="JP94" s="39"/>
      <c r="JQ94" s="39"/>
      <c r="JR94" s="39"/>
      <c r="JS94" s="39"/>
      <c r="JT94" s="39"/>
      <c r="JU94" s="39"/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39"/>
      <c r="KH94" s="39"/>
      <c r="KI94" s="39"/>
      <c r="KJ94" s="39"/>
      <c r="KK94" s="39"/>
      <c r="KL94" s="39"/>
      <c r="KM94" s="39"/>
      <c r="KN94" s="39"/>
      <c r="KO94" s="39"/>
      <c r="KP94" s="39"/>
      <c r="KQ94" s="39"/>
      <c r="KR94" s="39"/>
      <c r="KS94" s="39"/>
      <c r="KT94" s="39"/>
      <c r="KU94" s="39"/>
      <c r="KV94" s="39"/>
      <c r="KW94" s="39"/>
      <c r="KX94" s="39"/>
      <c r="KY94" s="39"/>
      <c r="KZ94" s="39"/>
      <c r="LA94" s="39"/>
      <c r="LB94" s="39"/>
      <c r="LC94" s="39"/>
      <c r="LD94" s="39"/>
      <c r="LE94" s="39"/>
      <c r="LF94" s="39"/>
      <c r="LG94" s="39"/>
      <c r="LH94" s="39"/>
      <c r="LI94" s="39"/>
      <c r="LJ94" s="39"/>
      <c r="LK94" s="39"/>
      <c r="LL94" s="39"/>
      <c r="LM94" s="39"/>
      <c r="LN94" s="39"/>
      <c r="LO94" s="39"/>
      <c r="LP94" s="39"/>
      <c r="LQ94" s="39"/>
      <c r="LR94" s="39"/>
      <c r="LS94" s="39"/>
      <c r="LT94" s="39"/>
      <c r="LU94" s="39"/>
      <c r="LV94" s="39"/>
      <c r="LW94" s="39"/>
      <c r="LX94" s="39"/>
      <c r="LY94" s="39"/>
      <c r="LZ94" s="39"/>
      <c r="MA94" s="39"/>
      <c r="MB94" s="39"/>
      <c r="MC94" s="39"/>
      <c r="MD94" s="39"/>
      <c r="ME94" s="39"/>
      <c r="MF94" s="39"/>
      <c r="MG94" s="39"/>
      <c r="MH94" s="39"/>
      <c r="MI94" s="39"/>
      <c r="MJ94" s="39"/>
      <c r="MK94" s="39"/>
      <c r="ML94" s="39"/>
      <c r="MM94" s="39"/>
      <c r="MN94" s="39"/>
      <c r="MO94" s="39"/>
      <c r="MP94" s="39"/>
      <c r="MQ94" s="39"/>
      <c r="MR94" s="39"/>
      <c r="MS94" s="39"/>
      <c r="MT94" s="39"/>
      <c r="MU94" s="39"/>
      <c r="MV94" s="39"/>
      <c r="MW94" s="39"/>
      <c r="MX94" s="39"/>
      <c r="MY94" s="39"/>
      <c r="MZ94" s="39"/>
      <c r="NA94" s="39"/>
      <c r="NB94" s="39"/>
      <c r="NC94" s="39"/>
      <c r="ND94" s="39"/>
      <c r="NE94" s="39"/>
      <c r="NF94" s="39"/>
      <c r="NG94" s="39"/>
      <c r="NH94" s="39"/>
      <c r="NI94" s="39"/>
      <c r="NJ94" s="39"/>
      <c r="NK94" s="39"/>
      <c r="NL94" s="39"/>
      <c r="NM94" s="39"/>
      <c r="NN94" s="39"/>
      <c r="NO94" s="39"/>
      <c r="NP94" s="39"/>
      <c r="NQ94" s="39"/>
      <c r="NR94" s="39"/>
      <c r="NS94" s="39"/>
      <c r="NT94" s="39"/>
      <c r="NU94" s="39"/>
      <c r="NV94" s="39"/>
      <c r="NW94" s="39"/>
      <c r="NX94" s="39"/>
      <c r="NY94" s="39"/>
      <c r="NZ94" s="39"/>
      <c r="OA94" s="39"/>
      <c r="OB94" s="39"/>
      <c r="OC94" s="39"/>
      <c r="OD94" s="39"/>
      <c r="OE94" s="39"/>
      <c r="OF94" s="39"/>
      <c r="OG94" s="39"/>
      <c r="OH94" s="39"/>
      <c r="OI94" s="39"/>
      <c r="OJ94" s="39"/>
      <c r="OK94" s="39"/>
      <c r="OL94" s="39"/>
      <c r="OM94" s="39"/>
      <c r="ON94" s="39"/>
      <c r="OO94" s="39"/>
      <c r="OP94" s="39"/>
      <c r="OQ94" s="39"/>
      <c r="OR94" s="39"/>
      <c r="OS94" s="39"/>
      <c r="OT94" s="39"/>
      <c r="OU94" s="39"/>
      <c r="OV94" s="39"/>
      <c r="OW94" s="39"/>
      <c r="OX94" s="39"/>
      <c r="OY94" s="39"/>
      <c r="OZ94" s="39"/>
      <c r="PA94" s="39"/>
      <c r="PB94" s="39"/>
      <c r="PC94" s="39"/>
      <c r="PD94" s="39"/>
      <c r="PE94" s="39"/>
      <c r="PF94" s="39"/>
      <c r="PG94" s="39"/>
      <c r="PH94" s="39"/>
      <c r="PI94" s="39"/>
      <c r="PJ94" s="39"/>
      <c r="PK94" s="39"/>
      <c r="PL94" s="39"/>
      <c r="PM94" s="39"/>
      <c r="PN94" s="39"/>
      <c r="PO94" s="39"/>
      <c r="PP94" s="39"/>
      <c r="PQ94" s="39"/>
      <c r="PR94" s="39"/>
      <c r="PS94" s="39"/>
      <c r="PT94" s="39"/>
      <c r="PU94" s="39"/>
      <c r="PV94" s="39"/>
      <c r="PW94" s="39"/>
      <c r="PX94" s="39"/>
      <c r="PY94" s="39"/>
      <c r="PZ94" s="39"/>
      <c r="QA94" s="39"/>
      <c r="QB94" s="39"/>
      <c r="QC94" s="39"/>
      <c r="QD94" s="39"/>
      <c r="QE94" s="39"/>
      <c r="QF94" s="39"/>
      <c r="QG94" s="39"/>
      <c r="QH94" s="39"/>
      <c r="QI94" s="39"/>
      <c r="QJ94" s="39"/>
      <c r="QK94" s="39"/>
      <c r="QL94" s="39"/>
      <c r="QM94" s="39"/>
      <c r="QN94" s="39"/>
      <c r="QO94" s="39"/>
      <c r="QP94" s="39"/>
      <c r="QQ94" s="39"/>
      <c r="QR94" s="39"/>
      <c r="QS94" s="39"/>
      <c r="QT94" s="39"/>
      <c r="QU94" s="39"/>
      <c r="QV94" s="39"/>
      <c r="QW94" s="39"/>
      <c r="QX94" s="39"/>
      <c r="QY94" s="39"/>
      <c r="QZ94" s="39"/>
      <c r="RA94" s="39"/>
      <c r="RB94" s="39"/>
      <c r="RC94" s="39"/>
      <c r="RD94" s="39"/>
      <c r="RE94" s="39"/>
      <c r="RF94" s="39"/>
      <c r="RG94" s="39"/>
      <c r="RH94" s="39"/>
      <c r="RI94" s="39"/>
      <c r="RJ94" s="39"/>
      <c r="RK94" s="39"/>
      <c r="RL94" s="39"/>
      <c r="RM94" s="39"/>
      <c r="RN94" s="39"/>
      <c r="RO94" s="39"/>
      <c r="RP94" s="39"/>
      <c r="RQ94" s="39"/>
      <c r="RR94" s="39"/>
      <c r="RS94" s="39"/>
      <c r="RT94" s="39"/>
      <c r="RU94" s="39"/>
      <c r="RV94" s="39"/>
      <c r="RW94" s="39"/>
      <c r="RX94" s="39"/>
      <c r="RY94" s="39"/>
      <c r="RZ94" s="39"/>
      <c r="SA94" s="39"/>
      <c r="SB94" s="39"/>
      <c r="SC94" s="39"/>
      <c r="SD94" s="39"/>
      <c r="SE94" s="39"/>
      <c r="SF94" s="39"/>
      <c r="SG94" s="39"/>
      <c r="SH94" s="39"/>
      <c r="SI94" s="39"/>
      <c r="SJ94" s="39"/>
      <c r="SK94" s="39"/>
      <c r="SL94" s="39"/>
      <c r="SM94" s="39"/>
      <c r="SN94" s="39"/>
      <c r="SO94" s="39"/>
      <c r="SP94" s="39"/>
      <c r="SQ94" s="39"/>
      <c r="SR94" s="39"/>
      <c r="SS94" s="39"/>
      <c r="ST94" s="39"/>
      <c r="SU94" s="39"/>
      <c r="SV94" s="39"/>
      <c r="SW94" s="39"/>
      <c r="SX94" s="39"/>
      <c r="SY94" s="39"/>
      <c r="SZ94" s="39"/>
      <c r="TA94" s="39"/>
      <c r="TB94" s="39"/>
      <c r="TC94" s="39"/>
      <c r="TD94" s="39"/>
      <c r="TE94" s="39"/>
      <c r="TF94" s="39"/>
      <c r="TG94" s="39"/>
      <c r="TH94" s="39"/>
      <c r="TI94" s="39"/>
    </row>
    <row r="95" spans="1:529" s="23" customFormat="1" ht="45.75" customHeight="1" x14ac:dyDescent="0.25">
      <c r="A95" s="43" t="s">
        <v>217</v>
      </c>
      <c r="B95" s="44" t="str">
        <f>'дод 4'!A19</f>
        <v>0160</v>
      </c>
      <c r="C95" s="44" t="str">
        <f>'дод 4'!B19</f>
        <v>0111</v>
      </c>
      <c r="D95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95" s="69">
        <f t="shared" ref="E95:E114" si="36">F95+I95</f>
        <v>53425100</v>
      </c>
      <c r="F95" s="69">
        <f>55432800+254000-2496600+234900</f>
        <v>53425100</v>
      </c>
      <c r="G95" s="69">
        <f>43728800-2046400</f>
        <v>41682400</v>
      </c>
      <c r="H95" s="69">
        <v>841800</v>
      </c>
      <c r="I95" s="69"/>
      <c r="J95" s="69">
        <f>L95+O95</f>
        <v>0</v>
      </c>
      <c r="K95" s="69"/>
      <c r="L95" s="69"/>
      <c r="M95" s="69"/>
      <c r="N95" s="69"/>
      <c r="O95" s="69"/>
      <c r="P95" s="69">
        <f t="shared" ref="P95:P114" si="37">E95+J95</f>
        <v>53425100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26" customFormat="1" ht="36" customHeight="1" x14ac:dyDescent="0.25">
      <c r="A96" s="43" t="s">
        <v>218</v>
      </c>
      <c r="B96" s="44" t="str">
        <f>'дод 4'!A52</f>
        <v>3031</v>
      </c>
      <c r="C96" s="44" t="str">
        <f>'дод 4'!B52</f>
        <v>1030</v>
      </c>
      <c r="D96" s="24" t="str">
        <f>'дод 4'!C52</f>
        <v>Надання інших пільг окремим категоріям громадян відповідно до законодавства</v>
      </c>
      <c r="E96" s="69">
        <f t="shared" si="36"/>
        <v>582400</v>
      </c>
      <c r="F96" s="69">
        <v>582400</v>
      </c>
      <c r="G96" s="69"/>
      <c r="H96" s="69"/>
      <c r="I96" s="69"/>
      <c r="J96" s="69">
        <f t="shared" ref="J96:J111" si="38">L96+O96</f>
        <v>0</v>
      </c>
      <c r="K96" s="69">
        <f>232600-190600-42000</f>
        <v>0</v>
      </c>
      <c r="L96" s="69"/>
      <c r="M96" s="69"/>
      <c r="N96" s="69"/>
      <c r="O96" s="69">
        <f>232600-190600-42000</f>
        <v>0</v>
      </c>
      <c r="P96" s="69">
        <f t="shared" si="37"/>
        <v>582400</v>
      </c>
    </row>
    <row r="97" spans="1:529" s="26" customFormat="1" ht="42.75" customHeight="1" x14ac:dyDescent="0.25">
      <c r="A97" s="43" t="s">
        <v>219</v>
      </c>
      <c r="B97" s="44" t="str">
        <f>'дод 4'!A53</f>
        <v>3032</v>
      </c>
      <c r="C97" s="44" t="str">
        <f>'дод 4'!B53</f>
        <v>1070</v>
      </c>
      <c r="D97" s="24" t="str">
        <f>'дод 4'!C53</f>
        <v>Надання пільг окремим категоріям громадян з оплати послуг зв'язку</v>
      </c>
      <c r="E97" s="69">
        <f t="shared" si="36"/>
        <v>1300000</v>
      </c>
      <c r="F97" s="69">
        <v>1300000</v>
      </c>
      <c r="G97" s="69"/>
      <c r="H97" s="69"/>
      <c r="I97" s="69"/>
      <c r="J97" s="69">
        <f t="shared" si="38"/>
        <v>0</v>
      </c>
      <c r="K97" s="69"/>
      <c r="L97" s="69"/>
      <c r="M97" s="69"/>
      <c r="N97" s="69"/>
      <c r="O97" s="69"/>
      <c r="P97" s="69">
        <f t="shared" si="37"/>
        <v>1300000</v>
      </c>
    </row>
    <row r="98" spans="1:529" s="26" customFormat="1" ht="51.75" customHeight="1" x14ac:dyDescent="0.25">
      <c r="A98" s="43" t="s">
        <v>413</v>
      </c>
      <c r="B98" s="44" t="str">
        <f>'дод 4'!A54</f>
        <v>3033</v>
      </c>
      <c r="C98" s="44" t="str">
        <f>'дод 4'!B54</f>
        <v>1070</v>
      </c>
      <c r="D98" s="24" t="str">
        <f>'дод 4'!C54</f>
        <v>Компенсаційні виплати на пільговий проїзд автомобільним транспортом окремим категоріям громадян</v>
      </c>
      <c r="E98" s="69">
        <f t="shared" si="36"/>
        <v>26821763.129999999</v>
      </c>
      <c r="F98" s="69">
        <f>24500000+97100+2184757.11+39906.02</f>
        <v>26821763.129999999</v>
      </c>
      <c r="G98" s="69"/>
      <c r="H98" s="69"/>
      <c r="I98" s="69"/>
      <c r="J98" s="69">
        <f t="shared" si="38"/>
        <v>0</v>
      </c>
      <c r="K98" s="69"/>
      <c r="L98" s="69"/>
      <c r="M98" s="69"/>
      <c r="N98" s="69"/>
      <c r="O98" s="69"/>
      <c r="P98" s="69">
        <f t="shared" si="37"/>
        <v>26821763.129999999</v>
      </c>
    </row>
    <row r="99" spans="1:529" s="26" customFormat="1" ht="30" x14ac:dyDescent="0.25">
      <c r="A99" s="43" t="s">
        <v>381</v>
      </c>
      <c r="B99" s="44" t="str">
        <f>'дод 4'!A55</f>
        <v>3035</v>
      </c>
      <c r="C99" s="44" t="str">
        <f>'дод 4'!B55</f>
        <v>1070</v>
      </c>
      <c r="D99" s="24" t="str">
        <f>'дод 4'!C55</f>
        <v>Компенсаційні виплати за пільговий проїзд окремих категорій громадян на залізничному транспорті</v>
      </c>
      <c r="E99" s="69">
        <f t="shared" si="36"/>
        <v>1000000</v>
      </c>
      <c r="F99" s="69">
        <v>1000000</v>
      </c>
      <c r="G99" s="69"/>
      <c r="H99" s="69"/>
      <c r="I99" s="69"/>
      <c r="J99" s="69">
        <f t="shared" si="38"/>
        <v>0</v>
      </c>
      <c r="K99" s="69"/>
      <c r="L99" s="69"/>
      <c r="M99" s="69"/>
      <c r="N99" s="69"/>
      <c r="O99" s="69"/>
      <c r="P99" s="69">
        <f t="shared" si="37"/>
        <v>1000000</v>
      </c>
    </row>
    <row r="100" spans="1:529" s="26" customFormat="1" ht="36" customHeight="1" x14ac:dyDescent="0.25">
      <c r="A100" s="43" t="s">
        <v>220</v>
      </c>
      <c r="B100" s="44" t="str">
        <f>'дод 4'!A56</f>
        <v>3036</v>
      </c>
      <c r="C100" s="44" t="str">
        <f>'дод 4'!B56</f>
        <v>1070</v>
      </c>
      <c r="D100" s="24" t="str">
        <f>'дод 4'!C56</f>
        <v>Компенсаційні виплати на пільговий проїзд електротранспортом окремим категоріям громадян</v>
      </c>
      <c r="E100" s="69">
        <f t="shared" si="36"/>
        <v>41277955.5</v>
      </c>
      <c r="F100" s="69">
        <f>39098112+1372388+807455.5</f>
        <v>41277955.5</v>
      </c>
      <c r="G100" s="69"/>
      <c r="H100" s="69"/>
      <c r="I100" s="69"/>
      <c r="J100" s="69">
        <f t="shared" si="38"/>
        <v>0</v>
      </c>
      <c r="K100" s="69"/>
      <c r="L100" s="69"/>
      <c r="M100" s="69"/>
      <c r="N100" s="69"/>
      <c r="O100" s="69"/>
      <c r="P100" s="69">
        <f t="shared" si="37"/>
        <v>41277955.5</v>
      </c>
    </row>
    <row r="101" spans="1:529" s="23" customFormat="1" ht="44.25" customHeight="1" x14ac:dyDescent="0.25">
      <c r="A101" s="43" t="s">
        <v>411</v>
      </c>
      <c r="B101" s="44" t="str">
        <f>'дод 4'!A57</f>
        <v>3050</v>
      </c>
      <c r="C101" s="44" t="str">
        <f>'дод 4'!B57</f>
        <v>1070</v>
      </c>
      <c r="D101" s="24" t="str">
        <f>'дод 4'!C57</f>
        <v>Пільгове медичне обслуговування осіб, які постраждали внаслідок Чорнобильської катастрофи</v>
      </c>
      <c r="E101" s="69">
        <f t="shared" si="36"/>
        <v>853000</v>
      </c>
      <c r="F101" s="69">
        <v>853000</v>
      </c>
      <c r="G101" s="69"/>
      <c r="H101" s="69"/>
      <c r="I101" s="69"/>
      <c r="J101" s="69">
        <f t="shared" si="38"/>
        <v>0</v>
      </c>
      <c r="K101" s="69"/>
      <c r="L101" s="69"/>
      <c r="M101" s="69"/>
      <c r="N101" s="69"/>
      <c r="O101" s="69"/>
      <c r="P101" s="69">
        <f t="shared" si="37"/>
        <v>853000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</row>
    <row r="102" spans="1:529" s="23" customFormat="1" ht="38.25" customHeight="1" x14ac:dyDescent="0.25">
      <c r="A102" s="43" t="s">
        <v>412</v>
      </c>
      <c r="B102" s="44" t="str">
        <f>'дод 4'!A58</f>
        <v>3090</v>
      </c>
      <c r="C102" s="44" t="str">
        <f>'дод 4'!B58</f>
        <v>1030</v>
      </c>
      <c r="D102" s="24" t="str">
        <f>'дод 4'!C58</f>
        <v>Видатки на поховання учасників бойових дій та осіб з інвалідністю внаслідок війни</v>
      </c>
      <c r="E102" s="69">
        <f t="shared" si="36"/>
        <v>228400</v>
      </c>
      <c r="F102" s="69">
        <v>228400</v>
      </c>
      <c r="G102" s="69"/>
      <c r="H102" s="69"/>
      <c r="I102" s="69"/>
      <c r="J102" s="69">
        <f t="shared" si="38"/>
        <v>0</v>
      </c>
      <c r="K102" s="69"/>
      <c r="L102" s="69"/>
      <c r="M102" s="69"/>
      <c r="N102" s="69"/>
      <c r="O102" s="69"/>
      <c r="P102" s="69">
        <f t="shared" si="37"/>
        <v>228400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</row>
    <row r="103" spans="1:529" s="23" customFormat="1" ht="60.75" customHeight="1" x14ac:dyDescent="0.25">
      <c r="A103" s="43" t="s">
        <v>221</v>
      </c>
      <c r="B103" s="44" t="str">
        <f>'дод 4'!A59</f>
        <v>3104</v>
      </c>
      <c r="C103" s="44" t="str">
        <f>'дод 4'!B59</f>
        <v>1020</v>
      </c>
      <c r="D103" s="24" t="str">
        <f>'дод 4'!C59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03" s="69">
        <f t="shared" si="36"/>
        <v>13559330</v>
      </c>
      <c r="F103" s="69">
        <f>13527630+2100+29600</f>
        <v>13559330</v>
      </c>
      <c r="G103" s="69">
        <v>10389550</v>
      </c>
      <c r="H103" s="69">
        <v>230060</v>
      </c>
      <c r="I103" s="69"/>
      <c r="J103" s="69">
        <f t="shared" si="38"/>
        <v>471000</v>
      </c>
      <c r="K103" s="69">
        <f>342900+20000</f>
        <v>362900</v>
      </c>
      <c r="L103" s="69">
        <v>108100</v>
      </c>
      <c r="M103" s="69">
        <v>85100</v>
      </c>
      <c r="N103" s="69"/>
      <c r="O103" s="69">
        <f>342900+20000</f>
        <v>362900</v>
      </c>
      <c r="P103" s="69">
        <f t="shared" si="37"/>
        <v>14030330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</row>
    <row r="104" spans="1:529" s="23" customFormat="1" ht="87" customHeight="1" x14ac:dyDescent="0.25">
      <c r="A104" s="43" t="s">
        <v>222</v>
      </c>
      <c r="B104" s="44" t="str">
        <f>'дод 4'!A65</f>
        <v>3160</v>
      </c>
      <c r="C104" s="44">
        <f>'дод 4'!B65</f>
        <v>1010</v>
      </c>
      <c r="D104" s="24" t="str">
        <f>'дод 4'!C65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04" s="69">
        <f t="shared" si="36"/>
        <v>1911000</v>
      </c>
      <c r="F104" s="69">
        <v>1911000</v>
      </c>
      <c r="G104" s="69"/>
      <c r="H104" s="69"/>
      <c r="I104" s="69"/>
      <c r="J104" s="69">
        <f t="shared" si="38"/>
        <v>0</v>
      </c>
      <c r="K104" s="69"/>
      <c r="L104" s="69"/>
      <c r="M104" s="69"/>
      <c r="N104" s="69"/>
      <c r="O104" s="69"/>
      <c r="P104" s="69">
        <f t="shared" si="37"/>
        <v>1911000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</row>
    <row r="105" spans="1:529" s="23" customFormat="1" ht="63.75" customHeight="1" x14ac:dyDescent="0.25">
      <c r="A105" s="43" t="s">
        <v>414</v>
      </c>
      <c r="B105" s="44" t="str">
        <f>'дод 4'!A66</f>
        <v>3171</v>
      </c>
      <c r="C105" s="44">
        <f>'дод 4'!B66</f>
        <v>1010</v>
      </c>
      <c r="D105" s="24" t="str">
        <f>'дод 4'!C66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05" s="69">
        <f t="shared" si="36"/>
        <v>228095</v>
      </c>
      <c r="F105" s="69">
        <v>228095</v>
      </c>
      <c r="G105" s="69"/>
      <c r="H105" s="69"/>
      <c r="I105" s="69"/>
      <c r="J105" s="69">
        <f t="shared" si="38"/>
        <v>0</v>
      </c>
      <c r="K105" s="69"/>
      <c r="L105" s="69"/>
      <c r="M105" s="69"/>
      <c r="N105" s="69"/>
      <c r="O105" s="69"/>
      <c r="P105" s="69">
        <f t="shared" si="37"/>
        <v>228095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</row>
    <row r="106" spans="1:529" s="23" customFormat="1" ht="43.5" customHeight="1" x14ac:dyDescent="0.25">
      <c r="A106" s="43" t="s">
        <v>415</v>
      </c>
      <c r="B106" s="44" t="str">
        <f>'дод 4'!A67</f>
        <v>3172</v>
      </c>
      <c r="C106" s="44">
        <f>'дод 4'!B67</f>
        <v>1010</v>
      </c>
      <c r="D106" s="24" t="str">
        <f>'дод 4'!C67</f>
        <v>Встановлення телефонів особам з інвалідністю I і II груп</v>
      </c>
      <c r="E106" s="69">
        <f t="shared" si="36"/>
        <v>90</v>
      </c>
      <c r="F106" s="69">
        <v>90</v>
      </c>
      <c r="G106" s="69"/>
      <c r="H106" s="69"/>
      <c r="I106" s="69"/>
      <c r="J106" s="69">
        <f t="shared" si="38"/>
        <v>0</v>
      </c>
      <c r="K106" s="69"/>
      <c r="L106" s="69"/>
      <c r="M106" s="69"/>
      <c r="N106" s="69"/>
      <c r="O106" s="69"/>
      <c r="P106" s="69">
        <f t="shared" si="37"/>
        <v>90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</row>
    <row r="107" spans="1:529" s="23" customFormat="1" ht="77.25" customHeight="1" x14ac:dyDescent="0.25">
      <c r="A107" s="43" t="s">
        <v>223</v>
      </c>
      <c r="B107" s="44" t="str">
        <f>'дод 4'!A68</f>
        <v>3180</v>
      </c>
      <c r="C107" s="44" t="str">
        <f>'дод 4'!B68</f>
        <v>1060</v>
      </c>
      <c r="D107" s="24" t="str">
        <f>'дод 4'!C68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07" s="69">
        <f t="shared" si="36"/>
        <v>2075000</v>
      </c>
      <c r="F107" s="69">
        <f>1876300+198700</f>
        <v>2075000</v>
      </c>
      <c r="G107" s="69"/>
      <c r="H107" s="69"/>
      <c r="I107" s="69"/>
      <c r="J107" s="69">
        <f t="shared" si="38"/>
        <v>0</v>
      </c>
      <c r="K107" s="69"/>
      <c r="L107" s="69"/>
      <c r="M107" s="69"/>
      <c r="N107" s="69"/>
      <c r="O107" s="69"/>
      <c r="P107" s="69">
        <f t="shared" si="37"/>
        <v>2075000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</row>
    <row r="108" spans="1:529" s="23" customFormat="1" ht="27" customHeight="1" x14ac:dyDescent="0.25">
      <c r="A108" s="43" t="s">
        <v>360</v>
      </c>
      <c r="B108" s="44" t="str">
        <f>'дод 4'!A69</f>
        <v>3191</v>
      </c>
      <c r="C108" s="44" t="str">
        <f>'дод 4'!B69</f>
        <v>1030</v>
      </c>
      <c r="D108" s="24" t="str">
        <f>'дод 4'!C69</f>
        <v>Інші видатки на соціальний захист ветеранів війни та праці</v>
      </c>
      <c r="E108" s="69">
        <f t="shared" si="36"/>
        <v>2178000</v>
      </c>
      <c r="F108" s="69">
        <v>2178000</v>
      </c>
      <c r="G108" s="69"/>
      <c r="H108" s="69"/>
      <c r="I108" s="69"/>
      <c r="J108" s="69">
        <f t="shared" si="38"/>
        <v>0</v>
      </c>
      <c r="K108" s="69"/>
      <c r="L108" s="69"/>
      <c r="M108" s="69"/>
      <c r="N108" s="69"/>
      <c r="O108" s="69"/>
      <c r="P108" s="69">
        <f t="shared" si="37"/>
        <v>2178000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</row>
    <row r="109" spans="1:529" s="23" customFormat="1" ht="45" x14ac:dyDescent="0.25">
      <c r="A109" s="43" t="s">
        <v>361</v>
      </c>
      <c r="B109" s="44" t="str">
        <f>'дод 4'!A70</f>
        <v>3192</v>
      </c>
      <c r="C109" s="44" t="str">
        <f>'дод 4'!B70</f>
        <v>1030</v>
      </c>
      <c r="D109" s="24" t="str">
        <f>'дод 4'!C70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09" s="69">
        <f t="shared" si="36"/>
        <v>1892237</v>
      </c>
      <c r="F109" s="69">
        <f>1478776+413461</f>
        <v>1892237</v>
      </c>
      <c r="G109" s="69"/>
      <c r="H109" s="69"/>
      <c r="I109" s="69"/>
      <c r="J109" s="69">
        <f t="shared" si="38"/>
        <v>0</v>
      </c>
      <c r="K109" s="69"/>
      <c r="L109" s="69"/>
      <c r="M109" s="69"/>
      <c r="N109" s="69"/>
      <c r="O109" s="69"/>
      <c r="P109" s="69">
        <f t="shared" si="37"/>
        <v>1892237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</row>
    <row r="110" spans="1:529" s="23" customFormat="1" ht="41.25" customHeight="1" x14ac:dyDescent="0.25">
      <c r="A110" s="43" t="s">
        <v>224</v>
      </c>
      <c r="B110" s="44" t="str">
        <f>'дод 4'!A71</f>
        <v>3200</v>
      </c>
      <c r="C110" s="44" t="str">
        <f>'дод 4'!B71</f>
        <v>1090</v>
      </c>
      <c r="D110" s="24" t="str">
        <f>'дод 4'!C71</f>
        <v>Забезпечення обробки інформації з нарахування та виплати допомог і компенсацій</v>
      </c>
      <c r="E110" s="69">
        <f t="shared" si="36"/>
        <v>86500</v>
      </c>
      <c r="F110" s="69">
        <v>86500</v>
      </c>
      <c r="G110" s="69"/>
      <c r="H110" s="69"/>
      <c r="I110" s="69"/>
      <c r="J110" s="69">
        <f t="shared" si="38"/>
        <v>0</v>
      </c>
      <c r="K110" s="69"/>
      <c r="L110" s="69"/>
      <c r="M110" s="69"/>
      <c r="N110" s="69"/>
      <c r="O110" s="69"/>
      <c r="P110" s="69">
        <f t="shared" si="37"/>
        <v>86500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</row>
    <row r="111" spans="1:529" s="23" customFormat="1" ht="19.5" customHeight="1" x14ac:dyDescent="0.25">
      <c r="A111" s="52" t="s">
        <v>362</v>
      </c>
      <c r="B111" s="45" t="str">
        <f>'дод 4'!A72</f>
        <v>3210</v>
      </c>
      <c r="C111" s="45" t="str">
        <f>'дод 4'!B72</f>
        <v>1050</v>
      </c>
      <c r="D111" s="22" t="str">
        <f>'дод 4'!C72</f>
        <v>Організація та проведення громадських робіт</v>
      </c>
      <c r="E111" s="69">
        <f t="shared" si="36"/>
        <v>200000</v>
      </c>
      <c r="F111" s="69">
        <v>200000</v>
      </c>
      <c r="G111" s="69">
        <v>163935</v>
      </c>
      <c r="H111" s="69"/>
      <c r="I111" s="69"/>
      <c r="J111" s="69">
        <f t="shared" si="38"/>
        <v>0</v>
      </c>
      <c r="K111" s="69"/>
      <c r="L111" s="69"/>
      <c r="M111" s="69"/>
      <c r="N111" s="69"/>
      <c r="O111" s="69"/>
      <c r="P111" s="69">
        <f t="shared" si="37"/>
        <v>200000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</row>
    <row r="112" spans="1:529" s="23" customFormat="1" ht="31.5" customHeight="1" x14ac:dyDescent="0.25">
      <c r="A112" s="43" t="s">
        <v>359</v>
      </c>
      <c r="B112" s="44" t="str">
        <f>'дод 4'!A73</f>
        <v>3241</v>
      </c>
      <c r="C112" s="44" t="str">
        <f>'дод 4'!B73</f>
        <v>1090</v>
      </c>
      <c r="D112" s="24" t="str">
        <f>'дод 4'!C73</f>
        <v>Забезпечення діяльності інших закладів у сфері соціального захисту і соціального забезпечення</v>
      </c>
      <c r="E112" s="69">
        <f t="shared" si="36"/>
        <v>5477030</v>
      </c>
      <c r="F112" s="69">
        <f>5445830+31200</f>
        <v>5477030</v>
      </c>
      <c r="G112" s="69">
        <v>3343340</v>
      </c>
      <c r="H112" s="69">
        <v>543630</v>
      </c>
      <c r="I112" s="69"/>
      <c r="J112" s="69">
        <f t="shared" ref="J112:J114" si="39">L112+O112</f>
        <v>761000</v>
      </c>
      <c r="K112" s="69">
        <f>200000+500000+40000+21000</f>
        <v>761000</v>
      </c>
      <c r="L112" s="69"/>
      <c r="M112" s="69"/>
      <c r="N112" s="69"/>
      <c r="O112" s="69">
        <f>200000+500000+40000+21000</f>
        <v>761000</v>
      </c>
      <c r="P112" s="69">
        <f t="shared" si="37"/>
        <v>6238030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</row>
    <row r="113" spans="1:529" s="23" customFormat="1" ht="33" customHeight="1" x14ac:dyDescent="0.25">
      <c r="A113" s="43" t="s">
        <v>416</v>
      </c>
      <c r="B113" s="44" t="str">
        <f>'дод 4'!A74</f>
        <v>3242</v>
      </c>
      <c r="C113" s="44" t="str">
        <f>'дод 4'!B74</f>
        <v>1090</v>
      </c>
      <c r="D113" s="24" t="str">
        <f>'дод 4'!C74</f>
        <v>Інші заходи у сфері соціального захисту і соціального забезпечення</v>
      </c>
      <c r="E113" s="69">
        <f t="shared" si="36"/>
        <v>33743826</v>
      </c>
      <c r="F113" s="69">
        <f>29645360-11+360800-350000+439024+43903+350000+2246300+418550+70000-29600+470500+63000+16000</f>
        <v>33743826</v>
      </c>
      <c r="G113" s="69"/>
      <c r="H113" s="69"/>
      <c r="I113" s="69"/>
      <c r="J113" s="69">
        <f t="shared" si="39"/>
        <v>35640</v>
      </c>
      <c r="K113" s="69">
        <v>35640</v>
      </c>
      <c r="L113" s="69"/>
      <c r="M113" s="69"/>
      <c r="N113" s="69"/>
      <c r="O113" s="69">
        <v>35640</v>
      </c>
      <c r="P113" s="69">
        <f t="shared" si="37"/>
        <v>33779466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</row>
    <row r="114" spans="1:529" s="23" customFormat="1" ht="31.5" customHeight="1" x14ac:dyDescent="0.25">
      <c r="A114" s="43" t="s">
        <v>307</v>
      </c>
      <c r="B114" s="44" t="str">
        <f>'дод 4'!A147</f>
        <v>9770</v>
      </c>
      <c r="C114" s="44" t="str">
        <f>'дод 4'!B147</f>
        <v>0180</v>
      </c>
      <c r="D114" s="24" t="str">
        <f>'дод 4'!C147</f>
        <v>Інші субвенції з місцевого бюджету</v>
      </c>
      <c r="E114" s="69">
        <f t="shared" si="36"/>
        <v>1070000</v>
      </c>
      <c r="F114" s="69">
        <v>1070000</v>
      </c>
      <c r="G114" s="69"/>
      <c r="H114" s="69"/>
      <c r="I114" s="69"/>
      <c r="J114" s="69">
        <f t="shared" si="39"/>
        <v>0</v>
      </c>
      <c r="K114" s="69"/>
      <c r="L114" s="69"/>
      <c r="M114" s="69"/>
      <c r="N114" s="69"/>
      <c r="O114" s="69"/>
      <c r="P114" s="69">
        <f t="shared" si="37"/>
        <v>1070000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</row>
    <row r="115" spans="1:529" s="31" customFormat="1" ht="28.5" customHeight="1" x14ac:dyDescent="0.2">
      <c r="A115" s="88" t="s">
        <v>225</v>
      </c>
      <c r="B115" s="72"/>
      <c r="C115" s="72"/>
      <c r="D115" s="30" t="s">
        <v>427</v>
      </c>
      <c r="E115" s="66">
        <f>E116</f>
        <v>5088200</v>
      </c>
      <c r="F115" s="66">
        <f t="shared" ref="F115:J115" si="40">F116</f>
        <v>5088200</v>
      </c>
      <c r="G115" s="66">
        <f t="shared" si="40"/>
        <v>3942800</v>
      </c>
      <c r="H115" s="66">
        <f t="shared" si="40"/>
        <v>57500</v>
      </c>
      <c r="I115" s="66">
        <f t="shared" si="40"/>
        <v>0</v>
      </c>
      <c r="J115" s="66">
        <f t="shared" si="40"/>
        <v>20000</v>
      </c>
      <c r="K115" s="66">
        <f t="shared" ref="K115" si="41">K116</f>
        <v>20000</v>
      </c>
      <c r="L115" s="66">
        <f t="shared" ref="L115" si="42">L116</f>
        <v>0</v>
      </c>
      <c r="M115" s="66">
        <f t="shared" ref="M115" si="43">M116</f>
        <v>0</v>
      </c>
      <c r="N115" s="66">
        <f t="shared" ref="N115" si="44">N116</f>
        <v>0</v>
      </c>
      <c r="O115" s="66">
        <f t="shared" ref="O115:P115" si="45">O116</f>
        <v>20000</v>
      </c>
      <c r="P115" s="66">
        <f t="shared" si="45"/>
        <v>5108200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  <c r="MC115" s="38"/>
      <c r="MD115" s="38"/>
      <c r="ME115" s="38"/>
      <c r="MF115" s="38"/>
      <c r="MG115" s="38"/>
      <c r="MH115" s="38"/>
      <c r="MI115" s="38"/>
      <c r="MJ115" s="38"/>
      <c r="MK115" s="38"/>
      <c r="ML115" s="38"/>
      <c r="MM115" s="38"/>
      <c r="MN115" s="38"/>
      <c r="MO115" s="38"/>
      <c r="MP115" s="38"/>
      <c r="MQ115" s="38"/>
      <c r="MR115" s="38"/>
      <c r="MS115" s="38"/>
      <c r="MT115" s="38"/>
      <c r="MU115" s="38"/>
      <c r="MV115" s="38"/>
      <c r="MW115" s="38"/>
      <c r="MX115" s="38"/>
      <c r="MY115" s="38"/>
      <c r="MZ115" s="38"/>
      <c r="NA115" s="38"/>
      <c r="NB115" s="38"/>
      <c r="NC115" s="38"/>
      <c r="ND115" s="38"/>
      <c r="NE115" s="38"/>
      <c r="NF115" s="38"/>
      <c r="NG115" s="38"/>
      <c r="NH115" s="38"/>
      <c r="NI115" s="38"/>
      <c r="NJ115" s="38"/>
      <c r="NK115" s="38"/>
      <c r="NL115" s="38"/>
      <c r="NM115" s="38"/>
      <c r="NN115" s="38"/>
      <c r="NO115" s="38"/>
      <c r="NP115" s="38"/>
      <c r="NQ115" s="38"/>
      <c r="NR115" s="38"/>
      <c r="NS115" s="38"/>
      <c r="NT115" s="38"/>
      <c r="NU115" s="38"/>
      <c r="NV115" s="38"/>
      <c r="NW115" s="38"/>
      <c r="NX115" s="38"/>
      <c r="NY115" s="38"/>
      <c r="NZ115" s="38"/>
      <c r="OA115" s="38"/>
      <c r="OB115" s="38"/>
      <c r="OC115" s="38"/>
      <c r="OD115" s="38"/>
      <c r="OE115" s="38"/>
      <c r="OF115" s="38"/>
      <c r="OG115" s="38"/>
      <c r="OH115" s="38"/>
      <c r="OI115" s="38"/>
      <c r="OJ115" s="38"/>
      <c r="OK115" s="38"/>
      <c r="OL115" s="38"/>
      <c r="OM115" s="38"/>
      <c r="ON115" s="38"/>
      <c r="OO115" s="38"/>
      <c r="OP115" s="38"/>
      <c r="OQ115" s="38"/>
      <c r="OR115" s="38"/>
      <c r="OS115" s="38"/>
      <c r="OT115" s="38"/>
      <c r="OU115" s="38"/>
      <c r="OV115" s="38"/>
      <c r="OW115" s="38"/>
      <c r="OX115" s="38"/>
      <c r="OY115" s="38"/>
      <c r="OZ115" s="38"/>
      <c r="PA115" s="38"/>
      <c r="PB115" s="38"/>
      <c r="PC115" s="38"/>
      <c r="PD115" s="38"/>
      <c r="PE115" s="38"/>
      <c r="PF115" s="38"/>
      <c r="PG115" s="38"/>
      <c r="PH115" s="38"/>
      <c r="PI115" s="38"/>
      <c r="PJ115" s="38"/>
      <c r="PK115" s="38"/>
      <c r="PL115" s="38"/>
      <c r="PM115" s="38"/>
      <c r="PN115" s="38"/>
      <c r="PO115" s="38"/>
      <c r="PP115" s="38"/>
      <c r="PQ115" s="38"/>
      <c r="PR115" s="38"/>
      <c r="PS115" s="38"/>
      <c r="PT115" s="38"/>
      <c r="PU115" s="38"/>
      <c r="PV115" s="38"/>
      <c r="PW115" s="38"/>
      <c r="PX115" s="38"/>
      <c r="PY115" s="38"/>
      <c r="PZ115" s="38"/>
      <c r="QA115" s="38"/>
      <c r="QB115" s="38"/>
      <c r="QC115" s="38"/>
      <c r="QD115" s="38"/>
      <c r="QE115" s="38"/>
      <c r="QF115" s="38"/>
      <c r="QG115" s="38"/>
      <c r="QH115" s="38"/>
      <c r="QI115" s="38"/>
      <c r="QJ115" s="38"/>
      <c r="QK115" s="38"/>
      <c r="QL115" s="38"/>
      <c r="QM115" s="38"/>
      <c r="QN115" s="38"/>
      <c r="QO115" s="38"/>
      <c r="QP115" s="38"/>
      <c r="QQ115" s="38"/>
      <c r="QR115" s="38"/>
      <c r="QS115" s="38"/>
      <c r="QT115" s="38"/>
      <c r="QU115" s="38"/>
      <c r="QV115" s="38"/>
      <c r="QW115" s="38"/>
      <c r="QX115" s="38"/>
      <c r="QY115" s="38"/>
      <c r="QZ115" s="38"/>
      <c r="RA115" s="38"/>
      <c r="RB115" s="38"/>
      <c r="RC115" s="38"/>
      <c r="RD115" s="38"/>
      <c r="RE115" s="38"/>
      <c r="RF115" s="38"/>
      <c r="RG115" s="38"/>
      <c r="RH115" s="38"/>
      <c r="RI115" s="38"/>
      <c r="RJ115" s="38"/>
      <c r="RK115" s="38"/>
      <c r="RL115" s="38"/>
      <c r="RM115" s="38"/>
      <c r="RN115" s="38"/>
      <c r="RO115" s="38"/>
      <c r="RP115" s="38"/>
      <c r="RQ115" s="38"/>
      <c r="RR115" s="38"/>
      <c r="RS115" s="38"/>
      <c r="RT115" s="38"/>
      <c r="RU115" s="38"/>
      <c r="RV115" s="38"/>
      <c r="RW115" s="38"/>
      <c r="RX115" s="38"/>
      <c r="RY115" s="38"/>
      <c r="RZ115" s="38"/>
      <c r="SA115" s="38"/>
      <c r="SB115" s="38"/>
      <c r="SC115" s="38"/>
      <c r="SD115" s="38"/>
      <c r="SE115" s="38"/>
      <c r="SF115" s="38"/>
      <c r="SG115" s="38"/>
      <c r="SH115" s="38"/>
      <c r="SI115" s="38"/>
      <c r="SJ115" s="38"/>
      <c r="SK115" s="38"/>
      <c r="SL115" s="38"/>
      <c r="SM115" s="38"/>
      <c r="SN115" s="38"/>
      <c r="SO115" s="38"/>
      <c r="SP115" s="38"/>
      <c r="SQ115" s="38"/>
      <c r="SR115" s="38"/>
      <c r="SS115" s="38"/>
      <c r="ST115" s="38"/>
      <c r="SU115" s="38"/>
      <c r="SV115" s="38"/>
      <c r="SW115" s="38"/>
      <c r="SX115" s="38"/>
      <c r="SY115" s="38"/>
      <c r="SZ115" s="38"/>
      <c r="TA115" s="38"/>
      <c r="TB115" s="38"/>
      <c r="TC115" s="38"/>
      <c r="TD115" s="38"/>
      <c r="TE115" s="38"/>
      <c r="TF115" s="38"/>
      <c r="TG115" s="38"/>
      <c r="TH115" s="38"/>
      <c r="TI115" s="38"/>
    </row>
    <row r="116" spans="1:529" s="40" customFormat="1" ht="29.25" customHeight="1" x14ac:dyDescent="0.25">
      <c r="A116" s="89" t="s">
        <v>226</v>
      </c>
      <c r="B116" s="73"/>
      <c r="C116" s="73"/>
      <c r="D116" s="33" t="s">
        <v>427</v>
      </c>
      <c r="E116" s="68">
        <f>E117+E118+E119</f>
        <v>5088200</v>
      </c>
      <c r="F116" s="68">
        <f t="shared" ref="F116:P116" si="46">F117+F118+F119</f>
        <v>5088200</v>
      </c>
      <c r="G116" s="68">
        <f t="shared" si="46"/>
        <v>3942800</v>
      </c>
      <c r="H116" s="68">
        <f t="shared" si="46"/>
        <v>57500</v>
      </c>
      <c r="I116" s="68">
        <f t="shared" si="46"/>
        <v>0</v>
      </c>
      <c r="J116" s="68">
        <f t="shared" si="46"/>
        <v>20000</v>
      </c>
      <c r="K116" s="68">
        <f t="shared" si="46"/>
        <v>20000</v>
      </c>
      <c r="L116" s="68">
        <f t="shared" si="46"/>
        <v>0</v>
      </c>
      <c r="M116" s="68">
        <f t="shared" si="46"/>
        <v>0</v>
      </c>
      <c r="N116" s="68">
        <f t="shared" si="46"/>
        <v>0</v>
      </c>
      <c r="O116" s="68">
        <f t="shared" si="46"/>
        <v>20000</v>
      </c>
      <c r="P116" s="68">
        <f t="shared" si="46"/>
        <v>5108200</v>
      </c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</row>
    <row r="117" spans="1:529" s="23" customFormat="1" ht="42.75" customHeight="1" x14ac:dyDescent="0.25">
      <c r="A117" s="43" t="s">
        <v>227</v>
      </c>
      <c r="B117" s="44" t="str">
        <f>'дод 4'!A19</f>
        <v>0160</v>
      </c>
      <c r="C117" s="44" t="str">
        <f>'дод 4'!B19</f>
        <v>0111</v>
      </c>
      <c r="D117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17" s="69">
        <f>F117+I117</f>
        <v>4997700</v>
      </c>
      <c r="F117" s="69">
        <f>5240600+10300-253200</f>
        <v>4997700</v>
      </c>
      <c r="G117" s="69">
        <f>4150400-207600</f>
        <v>3942800</v>
      </c>
      <c r="H117" s="69">
        <v>57500</v>
      </c>
      <c r="I117" s="69"/>
      <c r="J117" s="69">
        <f>L117+O117</f>
        <v>0</v>
      </c>
      <c r="K117" s="69"/>
      <c r="L117" s="69"/>
      <c r="M117" s="69"/>
      <c r="N117" s="69"/>
      <c r="O117" s="69"/>
      <c r="P117" s="69">
        <f>E117+J117</f>
        <v>4997700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</row>
    <row r="118" spans="1:529" s="23" customFormat="1" ht="60" x14ac:dyDescent="0.25">
      <c r="A118" s="43" t="s">
        <v>394</v>
      </c>
      <c r="B118" s="44">
        <v>3111</v>
      </c>
      <c r="C118" s="44">
        <v>1040</v>
      </c>
      <c r="D118" s="22" t="str">
        <f>'дод 4'!C60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18" s="69">
        <f>F118+I118</f>
        <v>0</v>
      </c>
      <c r="F118" s="69"/>
      <c r="G118" s="69"/>
      <c r="H118" s="69"/>
      <c r="I118" s="69"/>
      <c r="J118" s="69">
        <f t="shared" ref="J118:J119" si="47">L118+O118</f>
        <v>20000</v>
      </c>
      <c r="K118" s="69">
        <v>20000</v>
      </c>
      <c r="L118" s="69"/>
      <c r="M118" s="69"/>
      <c r="N118" s="69"/>
      <c r="O118" s="69">
        <v>20000</v>
      </c>
      <c r="P118" s="69">
        <f>E118+J118</f>
        <v>20000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</row>
    <row r="119" spans="1:529" s="23" customFormat="1" ht="36.75" customHeight="1" x14ac:dyDescent="0.25">
      <c r="A119" s="43" t="s">
        <v>228</v>
      </c>
      <c r="B119" s="44" t="str">
        <f>'дод 4'!A61</f>
        <v>3112</v>
      </c>
      <c r="C119" s="44" t="str">
        <f>'дод 4'!B61</f>
        <v>1040</v>
      </c>
      <c r="D119" s="24" t="str">
        <f>'дод 4'!C61</f>
        <v>Заходи державної політики з питань дітей та їх соціального захисту</v>
      </c>
      <c r="E119" s="69">
        <f>F119+I119</f>
        <v>90500</v>
      </c>
      <c r="F119" s="69">
        <v>90500</v>
      </c>
      <c r="G119" s="69"/>
      <c r="H119" s="69"/>
      <c r="I119" s="69"/>
      <c r="J119" s="69">
        <f t="shared" si="47"/>
        <v>0</v>
      </c>
      <c r="K119" s="69"/>
      <c r="L119" s="69"/>
      <c r="M119" s="69"/>
      <c r="N119" s="69"/>
      <c r="O119" s="69"/>
      <c r="P119" s="69">
        <f>E119+J119</f>
        <v>90500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</row>
    <row r="120" spans="1:529" s="31" customFormat="1" ht="22.5" customHeight="1" x14ac:dyDescent="0.2">
      <c r="A120" s="76" t="s">
        <v>35</v>
      </c>
      <c r="B120" s="74"/>
      <c r="C120" s="74"/>
      <c r="D120" s="30" t="s">
        <v>396</v>
      </c>
      <c r="E120" s="66">
        <f>E121</f>
        <v>65219215</v>
      </c>
      <c r="F120" s="66">
        <f t="shared" ref="F120:J120" si="48">F121</f>
        <v>65219215</v>
      </c>
      <c r="G120" s="66">
        <f t="shared" si="48"/>
        <v>47809400</v>
      </c>
      <c r="H120" s="66">
        <f t="shared" si="48"/>
        <v>2201760</v>
      </c>
      <c r="I120" s="66">
        <f t="shared" si="48"/>
        <v>0</v>
      </c>
      <c r="J120" s="66">
        <f t="shared" si="48"/>
        <v>4094635</v>
      </c>
      <c r="K120" s="66">
        <f t="shared" ref="K120" si="49">K121</f>
        <v>1275995</v>
      </c>
      <c r="L120" s="66">
        <f t="shared" ref="L120" si="50">L121</f>
        <v>2813920</v>
      </c>
      <c r="M120" s="66">
        <f t="shared" ref="M120" si="51">M121</f>
        <v>2279416</v>
      </c>
      <c r="N120" s="66">
        <f t="shared" ref="N120" si="52">N121</f>
        <v>3300</v>
      </c>
      <c r="O120" s="66">
        <f t="shared" ref="O120:P120" si="53">O121</f>
        <v>1280715</v>
      </c>
      <c r="P120" s="66">
        <f t="shared" si="53"/>
        <v>69313850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  <c r="MC120" s="38"/>
      <c r="MD120" s="38"/>
      <c r="ME120" s="38"/>
      <c r="MF120" s="38"/>
      <c r="MG120" s="38"/>
      <c r="MH120" s="38"/>
      <c r="MI120" s="38"/>
      <c r="MJ120" s="38"/>
      <c r="MK120" s="38"/>
      <c r="ML120" s="38"/>
      <c r="MM120" s="38"/>
      <c r="MN120" s="38"/>
      <c r="MO120" s="38"/>
      <c r="MP120" s="38"/>
      <c r="MQ120" s="38"/>
      <c r="MR120" s="38"/>
      <c r="MS120" s="38"/>
      <c r="MT120" s="38"/>
      <c r="MU120" s="38"/>
      <c r="MV120" s="38"/>
      <c r="MW120" s="38"/>
      <c r="MX120" s="38"/>
      <c r="MY120" s="38"/>
      <c r="MZ120" s="38"/>
      <c r="NA120" s="38"/>
      <c r="NB120" s="38"/>
      <c r="NC120" s="38"/>
      <c r="ND120" s="38"/>
      <c r="NE120" s="38"/>
      <c r="NF120" s="38"/>
      <c r="NG120" s="38"/>
      <c r="NH120" s="3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"/>
      <c r="OC120" s="38"/>
      <c r="OD120" s="38"/>
      <c r="OE120" s="38"/>
      <c r="OF120" s="38"/>
      <c r="OG120" s="38"/>
      <c r="OH120" s="38"/>
      <c r="OI120" s="38"/>
      <c r="OJ120" s="38"/>
      <c r="OK120" s="38"/>
      <c r="OL120" s="38"/>
      <c r="OM120" s="38"/>
      <c r="ON120" s="38"/>
      <c r="OO120" s="38"/>
      <c r="OP120" s="38"/>
      <c r="OQ120" s="38"/>
      <c r="OR120" s="38"/>
      <c r="OS120" s="38"/>
      <c r="OT120" s="38"/>
      <c r="OU120" s="38"/>
      <c r="OV120" s="38"/>
      <c r="OW120" s="38"/>
      <c r="OX120" s="38"/>
      <c r="OY120" s="38"/>
      <c r="OZ120" s="38"/>
      <c r="PA120" s="38"/>
      <c r="PB120" s="38"/>
      <c r="PC120" s="38"/>
      <c r="PD120" s="38"/>
      <c r="PE120" s="38"/>
      <c r="PF120" s="38"/>
      <c r="PG120" s="38"/>
      <c r="PH120" s="38"/>
      <c r="PI120" s="38"/>
      <c r="PJ120" s="38"/>
      <c r="PK120" s="38"/>
      <c r="PL120" s="38"/>
      <c r="PM120" s="38"/>
      <c r="PN120" s="38"/>
      <c r="PO120" s="38"/>
      <c r="PP120" s="38"/>
      <c r="PQ120" s="38"/>
      <c r="PR120" s="38"/>
      <c r="PS120" s="38"/>
      <c r="PT120" s="38"/>
      <c r="PU120" s="38"/>
      <c r="PV120" s="38"/>
      <c r="PW120" s="38"/>
      <c r="PX120" s="38"/>
      <c r="PY120" s="38"/>
      <c r="PZ120" s="38"/>
      <c r="QA120" s="38"/>
      <c r="QB120" s="38"/>
      <c r="QC120" s="38"/>
      <c r="QD120" s="38"/>
      <c r="QE120" s="38"/>
      <c r="QF120" s="38"/>
      <c r="QG120" s="38"/>
      <c r="QH120" s="38"/>
      <c r="QI120" s="38"/>
      <c r="QJ120" s="38"/>
      <c r="QK120" s="38"/>
      <c r="QL120" s="38"/>
      <c r="QM120" s="38"/>
      <c r="QN120" s="38"/>
      <c r="QO120" s="38"/>
      <c r="QP120" s="38"/>
      <c r="QQ120" s="38"/>
      <c r="QR120" s="38"/>
      <c r="QS120" s="38"/>
      <c r="QT120" s="38"/>
      <c r="QU120" s="38"/>
      <c r="QV120" s="38"/>
      <c r="QW120" s="38"/>
      <c r="QX120" s="38"/>
      <c r="QY120" s="38"/>
      <c r="QZ120" s="38"/>
      <c r="RA120" s="38"/>
      <c r="RB120" s="38"/>
      <c r="RC120" s="38"/>
      <c r="RD120" s="38"/>
      <c r="RE120" s="38"/>
      <c r="RF120" s="38"/>
      <c r="RG120" s="38"/>
      <c r="RH120" s="38"/>
      <c r="RI120" s="38"/>
      <c r="RJ120" s="38"/>
      <c r="RK120" s="38"/>
      <c r="RL120" s="38"/>
      <c r="RM120" s="38"/>
      <c r="RN120" s="38"/>
      <c r="RO120" s="38"/>
      <c r="RP120" s="38"/>
      <c r="RQ120" s="38"/>
      <c r="RR120" s="38"/>
      <c r="RS120" s="38"/>
      <c r="RT120" s="38"/>
      <c r="RU120" s="38"/>
      <c r="RV120" s="38"/>
      <c r="RW120" s="38"/>
      <c r="RX120" s="38"/>
      <c r="RY120" s="38"/>
      <c r="RZ120" s="38"/>
      <c r="SA120" s="38"/>
      <c r="SB120" s="38"/>
      <c r="SC120" s="38"/>
      <c r="SD120" s="38"/>
      <c r="SE120" s="38"/>
      <c r="SF120" s="38"/>
      <c r="SG120" s="38"/>
      <c r="SH120" s="38"/>
      <c r="SI120" s="38"/>
      <c r="SJ120" s="38"/>
      <c r="SK120" s="38"/>
      <c r="SL120" s="38"/>
      <c r="SM120" s="38"/>
      <c r="SN120" s="38"/>
      <c r="SO120" s="38"/>
      <c r="SP120" s="38"/>
      <c r="SQ120" s="38"/>
      <c r="SR120" s="38"/>
      <c r="SS120" s="38"/>
      <c r="ST120" s="38"/>
      <c r="SU120" s="38"/>
      <c r="SV120" s="38"/>
      <c r="SW120" s="38"/>
      <c r="SX120" s="38"/>
      <c r="SY120" s="38"/>
      <c r="SZ120" s="38"/>
      <c r="TA120" s="38"/>
      <c r="TB120" s="38"/>
      <c r="TC120" s="38"/>
      <c r="TD120" s="38"/>
      <c r="TE120" s="38"/>
      <c r="TF120" s="38"/>
      <c r="TG120" s="38"/>
      <c r="TH120" s="38"/>
      <c r="TI120" s="38"/>
    </row>
    <row r="121" spans="1:529" s="40" customFormat="1" ht="21.75" customHeight="1" x14ac:dyDescent="0.25">
      <c r="A121" s="77" t="s">
        <v>229</v>
      </c>
      <c r="B121" s="75"/>
      <c r="C121" s="75"/>
      <c r="D121" s="33" t="s">
        <v>396</v>
      </c>
      <c r="E121" s="68">
        <f>E122+E123+E124+E126+E127++E128+E125+E129</f>
        <v>65219215</v>
      </c>
      <c r="F121" s="68">
        <f t="shared" ref="F121:P121" si="54">F122+F123+F124+F126+F127++F128+F125+F129</f>
        <v>65219215</v>
      </c>
      <c r="G121" s="68">
        <f t="shared" si="54"/>
        <v>47809400</v>
      </c>
      <c r="H121" s="68">
        <f t="shared" si="54"/>
        <v>2201760</v>
      </c>
      <c r="I121" s="68">
        <f t="shared" si="54"/>
        <v>0</v>
      </c>
      <c r="J121" s="68">
        <f t="shared" si="54"/>
        <v>4094635</v>
      </c>
      <c r="K121" s="68">
        <f>K122+K123+K124+K126+K127++K128+K125+K129</f>
        <v>1275995</v>
      </c>
      <c r="L121" s="68">
        <f t="shared" si="54"/>
        <v>2813920</v>
      </c>
      <c r="M121" s="68">
        <f t="shared" si="54"/>
        <v>2279416</v>
      </c>
      <c r="N121" s="68">
        <f t="shared" si="54"/>
        <v>3300</v>
      </c>
      <c r="O121" s="68">
        <f t="shared" si="54"/>
        <v>1280715</v>
      </c>
      <c r="P121" s="68">
        <f t="shared" si="54"/>
        <v>69313850</v>
      </c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  <c r="KV121" s="39"/>
      <c r="KW121" s="39"/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  <c r="MH121" s="39"/>
      <c r="MI121" s="39"/>
      <c r="MJ121" s="39"/>
      <c r="MK121" s="39"/>
      <c r="ML121" s="39"/>
      <c r="MM121" s="39"/>
      <c r="MN121" s="39"/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/>
      <c r="NE121" s="39"/>
      <c r="NF121" s="39"/>
      <c r="NG121" s="39"/>
      <c r="NH121" s="39"/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/>
      <c r="OT121" s="39"/>
      <c r="OU121" s="39"/>
      <c r="OV121" s="39"/>
      <c r="OW121" s="39"/>
      <c r="OX121" s="39"/>
      <c r="OY121" s="39"/>
      <c r="OZ121" s="39"/>
      <c r="PA121" s="39"/>
      <c r="PB121" s="39"/>
      <c r="PC121" s="39"/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/>
      <c r="PY121" s="39"/>
      <c r="PZ121" s="39"/>
      <c r="QA121" s="39"/>
      <c r="QB121" s="39"/>
      <c r="QC121" s="39"/>
      <c r="QD121" s="39"/>
      <c r="QE121" s="39"/>
      <c r="QF121" s="39"/>
      <c r="QG121" s="39"/>
      <c r="QH121" s="39"/>
      <c r="QI121" s="39"/>
      <c r="QJ121" s="39"/>
      <c r="QK121" s="39"/>
      <c r="QL121" s="39"/>
      <c r="QM121" s="39"/>
      <c r="QN121" s="39"/>
      <c r="QO121" s="39"/>
      <c r="QP121" s="39"/>
      <c r="QQ121" s="39"/>
      <c r="QR121" s="39"/>
      <c r="QS121" s="39"/>
      <c r="QT121" s="39"/>
      <c r="QU121" s="39"/>
      <c r="QV121" s="39"/>
      <c r="QW121" s="39"/>
      <c r="QX121" s="39"/>
      <c r="QY121" s="39"/>
      <c r="QZ121" s="39"/>
      <c r="RA121" s="39"/>
      <c r="RB121" s="39"/>
      <c r="RC121" s="39"/>
      <c r="RD121" s="39"/>
      <c r="RE121" s="39"/>
      <c r="RF121" s="39"/>
      <c r="RG121" s="39"/>
      <c r="RH121" s="39"/>
      <c r="RI121" s="39"/>
      <c r="RJ121" s="39"/>
      <c r="RK121" s="39"/>
      <c r="RL121" s="39"/>
      <c r="RM121" s="39"/>
      <c r="RN121" s="39"/>
      <c r="RO121" s="39"/>
      <c r="RP121" s="39"/>
      <c r="RQ121" s="39"/>
      <c r="RR121" s="39"/>
      <c r="RS121" s="39"/>
      <c r="RT121" s="39"/>
      <c r="RU121" s="39"/>
      <c r="RV121" s="39"/>
      <c r="RW121" s="39"/>
      <c r="RX121" s="39"/>
      <c r="RY121" s="39"/>
      <c r="RZ121" s="39"/>
      <c r="SA121" s="39"/>
      <c r="SB121" s="39"/>
      <c r="SC121" s="39"/>
      <c r="SD121" s="39"/>
      <c r="SE121" s="39"/>
      <c r="SF121" s="39"/>
      <c r="SG121" s="39"/>
      <c r="SH121" s="39"/>
      <c r="SI121" s="39"/>
      <c r="SJ121" s="39"/>
      <c r="SK121" s="39"/>
      <c r="SL121" s="39"/>
      <c r="SM121" s="39"/>
      <c r="SN121" s="39"/>
      <c r="SO121" s="39"/>
      <c r="SP121" s="39"/>
      <c r="SQ121" s="39"/>
      <c r="SR121" s="39"/>
      <c r="SS121" s="39"/>
      <c r="ST121" s="39"/>
      <c r="SU121" s="39"/>
      <c r="SV121" s="39"/>
      <c r="SW121" s="39"/>
      <c r="SX121" s="39"/>
      <c r="SY121" s="39"/>
      <c r="SZ121" s="39"/>
      <c r="TA121" s="39"/>
      <c r="TB121" s="39"/>
      <c r="TC121" s="39"/>
      <c r="TD121" s="39"/>
      <c r="TE121" s="39"/>
      <c r="TF121" s="39"/>
      <c r="TG121" s="39"/>
      <c r="TH121" s="39"/>
      <c r="TI121" s="39"/>
    </row>
    <row r="122" spans="1:529" s="23" customFormat="1" ht="48" customHeight="1" x14ac:dyDescent="0.25">
      <c r="A122" s="43" t="s">
        <v>169</v>
      </c>
      <c r="B122" s="44" t="str">
        <f>'дод 4'!A19</f>
        <v>0160</v>
      </c>
      <c r="C122" s="44" t="str">
        <f>'дод 4'!B19</f>
        <v>0111</v>
      </c>
      <c r="D122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22" s="69">
        <f t="shared" ref="E122:E129" si="55">F122+I122</f>
        <v>1910700</v>
      </c>
      <c r="F122" s="69">
        <f>1862800+4400-90500+134000</f>
        <v>1910700</v>
      </c>
      <c r="G122" s="69">
        <f>1461200-74200</f>
        <v>1387000</v>
      </c>
      <c r="H122" s="69">
        <v>17700</v>
      </c>
      <c r="I122" s="69"/>
      <c r="J122" s="69">
        <f>L122+O122</f>
        <v>0</v>
      </c>
      <c r="K122" s="69"/>
      <c r="L122" s="69"/>
      <c r="M122" s="69"/>
      <c r="N122" s="69"/>
      <c r="O122" s="69"/>
      <c r="P122" s="69">
        <f t="shared" ref="P122:P129" si="56">E122+J122</f>
        <v>1910700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</row>
    <row r="123" spans="1:529" s="23" customFormat="1" ht="48.75" customHeight="1" x14ac:dyDescent="0.25">
      <c r="A123" s="43" t="s">
        <v>260</v>
      </c>
      <c r="B123" s="44" t="str">
        <f>'дод 4'!A30</f>
        <v>1100</v>
      </c>
      <c r="C123" s="44" t="str">
        <f>'дод 4'!B30</f>
        <v>0960</v>
      </c>
      <c r="D123" s="24" t="str">
        <f>'дод 4'!C30</f>
        <v>Надання спеціальної освіти мистецькими школами</v>
      </c>
      <c r="E123" s="69">
        <f t="shared" si="55"/>
        <v>39101600</v>
      </c>
      <c r="F123" s="69">
        <f>38963600+75000+63000</f>
        <v>39101600</v>
      </c>
      <c r="G123" s="69">
        <v>30830000</v>
      </c>
      <c r="H123" s="69">
        <v>793600</v>
      </c>
      <c r="I123" s="69"/>
      <c r="J123" s="69">
        <f t="shared" ref="J123:J129" si="57">L123+O123</f>
        <v>3321640</v>
      </c>
      <c r="K123" s="69">
        <f>100000+400000+7000+5000+30000</f>
        <v>542000</v>
      </c>
      <c r="L123" s="69">
        <v>2774920</v>
      </c>
      <c r="M123" s="69">
        <v>2267316</v>
      </c>
      <c r="N123" s="69"/>
      <c r="O123" s="69">
        <f>4720+500000+7000+5000+30000</f>
        <v>546720</v>
      </c>
      <c r="P123" s="69">
        <f t="shared" si="56"/>
        <v>42423240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</row>
    <row r="124" spans="1:529" s="23" customFormat="1" ht="21" customHeight="1" x14ac:dyDescent="0.25">
      <c r="A124" s="43" t="s">
        <v>230</v>
      </c>
      <c r="B124" s="44" t="str">
        <f>'дод 4'!A76</f>
        <v>4030</v>
      </c>
      <c r="C124" s="44" t="str">
        <f>'дод 4'!B76</f>
        <v>0824</v>
      </c>
      <c r="D124" s="24" t="str">
        <f>'дод 4'!C76</f>
        <v>Забезпечення діяльності бібліотек</v>
      </c>
      <c r="E124" s="69">
        <f t="shared" si="55"/>
        <v>19294735</v>
      </c>
      <c r="F124" s="69">
        <f>19098200+20000+169535+7000</f>
        <v>19294735</v>
      </c>
      <c r="G124" s="69">
        <v>13804000</v>
      </c>
      <c r="H124" s="69">
        <v>1346200</v>
      </c>
      <c r="I124" s="69"/>
      <c r="J124" s="69">
        <f t="shared" si="57"/>
        <v>346795</v>
      </c>
      <c r="K124" s="69">
        <f>100000+216795</f>
        <v>316795</v>
      </c>
      <c r="L124" s="69">
        <v>30000</v>
      </c>
      <c r="M124" s="69">
        <v>12100</v>
      </c>
      <c r="N124" s="69"/>
      <c r="O124" s="69">
        <f>100000+216795</f>
        <v>316795</v>
      </c>
      <c r="P124" s="69">
        <f t="shared" si="56"/>
        <v>19641530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</row>
    <row r="125" spans="1:529" s="23" customFormat="1" ht="27.75" customHeight="1" x14ac:dyDescent="0.25">
      <c r="A125" s="43">
        <v>1014060</v>
      </c>
      <c r="B125" s="44" t="str">
        <f>'дод 4'!A77</f>
        <v>4060</v>
      </c>
      <c r="C125" s="44" t="str">
        <f>'дод 4'!B77</f>
        <v>0828</v>
      </c>
      <c r="D125" s="24" t="str">
        <f>'дод 4'!C77</f>
        <v>Забезпечення діяльності палаців i будинків культури, клубів, центрів дозвілля та iнших клубних закладів</v>
      </c>
      <c r="E125" s="69">
        <f t="shared" si="55"/>
        <v>608480</v>
      </c>
      <c r="F125" s="69">
        <f>546680+61800</f>
        <v>608480</v>
      </c>
      <c r="G125" s="69">
        <v>424400</v>
      </c>
      <c r="H125" s="69">
        <v>11360</v>
      </c>
      <c r="I125" s="69"/>
      <c r="J125" s="69">
        <f t="shared" si="57"/>
        <v>27200</v>
      </c>
      <c r="K125" s="69">
        <v>21200</v>
      </c>
      <c r="L125" s="69">
        <v>6000</v>
      </c>
      <c r="M125" s="69"/>
      <c r="N125" s="69">
        <v>3300</v>
      </c>
      <c r="O125" s="69">
        <v>21200</v>
      </c>
      <c r="P125" s="69">
        <f t="shared" si="56"/>
        <v>635680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</row>
    <row r="126" spans="1:529" s="27" customFormat="1" ht="33.75" customHeight="1" x14ac:dyDescent="0.25">
      <c r="A126" s="43">
        <v>1014081</v>
      </c>
      <c r="B126" s="44" t="str">
        <f>'дод 4'!A78</f>
        <v>4081</v>
      </c>
      <c r="C126" s="44" t="str">
        <f>'дод 4'!B78</f>
        <v>0829</v>
      </c>
      <c r="D126" s="24" t="str">
        <f>'дод 4'!C78</f>
        <v>Забезпечення діяльності інших закладів в галузі культури і мистецтва</v>
      </c>
      <c r="E126" s="69">
        <f t="shared" si="55"/>
        <v>1803000</v>
      </c>
      <c r="F126" s="69">
        <v>1803000</v>
      </c>
      <c r="G126" s="69">
        <v>1364000</v>
      </c>
      <c r="H126" s="69">
        <v>32900</v>
      </c>
      <c r="I126" s="69"/>
      <c r="J126" s="69">
        <f t="shared" si="57"/>
        <v>0</v>
      </c>
      <c r="K126" s="69"/>
      <c r="L126" s="69"/>
      <c r="M126" s="69"/>
      <c r="N126" s="69"/>
      <c r="O126" s="69"/>
      <c r="P126" s="69">
        <f t="shared" si="56"/>
        <v>1803000</v>
      </c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6"/>
      <c r="JO126" s="36"/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6"/>
      <c r="KK126" s="36"/>
      <c r="KL126" s="36"/>
      <c r="KM126" s="36"/>
      <c r="KN126" s="36"/>
      <c r="KO126" s="36"/>
      <c r="KP126" s="36"/>
      <c r="KQ126" s="36"/>
      <c r="KR126" s="36"/>
      <c r="KS126" s="36"/>
      <c r="KT126" s="36"/>
      <c r="KU126" s="36"/>
      <c r="KV126" s="36"/>
      <c r="KW126" s="36"/>
      <c r="KX126" s="36"/>
      <c r="KY126" s="36"/>
      <c r="KZ126" s="36"/>
      <c r="LA126" s="36"/>
      <c r="LB126" s="36"/>
      <c r="LC126" s="36"/>
      <c r="LD126" s="36"/>
      <c r="LE126" s="36"/>
      <c r="LF126" s="36"/>
      <c r="LG126" s="36"/>
      <c r="LH126" s="36"/>
      <c r="LI126" s="36"/>
      <c r="LJ126" s="36"/>
      <c r="LK126" s="36"/>
      <c r="LL126" s="36"/>
      <c r="LM126" s="36"/>
      <c r="LN126" s="36"/>
      <c r="LO126" s="36"/>
      <c r="LP126" s="36"/>
      <c r="LQ126" s="36"/>
      <c r="LR126" s="36"/>
      <c r="LS126" s="36"/>
      <c r="LT126" s="36"/>
      <c r="LU126" s="36"/>
      <c r="LV126" s="36"/>
      <c r="LW126" s="36"/>
      <c r="LX126" s="36"/>
      <c r="LY126" s="36"/>
      <c r="LZ126" s="36"/>
      <c r="MA126" s="36"/>
      <c r="MB126" s="36"/>
      <c r="MC126" s="36"/>
      <c r="MD126" s="36"/>
      <c r="ME126" s="36"/>
      <c r="MF126" s="36"/>
      <c r="MG126" s="36"/>
      <c r="MH126" s="36"/>
      <c r="MI126" s="36"/>
      <c r="MJ126" s="36"/>
      <c r="MK126" s="36"/>
      <c r="ML126" s="36"/>
      <c r="MM126" s="36"/>
      <c r="MN126" s="36"/>
      <c r="MO126" s="36"/>
      <c r="MP126" s="36"/>
      <c r="MQ126" s="36"/>
      <c r="MR126" s="36"/>
      <c r="MS126" s="36"/>
      <c r="MT126" s="36"/>
      <c r="MU126" s="36"/>
      <c r="MV126" s="36"/>
      <c r="MW126" s="36"/>
      <c r="MX126" s="36"/>
      <c r="MY126" s="36"/>
      <c r="MZ126" s="36"/>
      <c r="NA126" s="36"/>
      <c r="NB126" s="36"/>
      <c r="NC126" s="36"/>
      <c r="ND126" s="36"/>
      <c r="NE126" s="36"/>
      <c r="NF126" s="36"/>
      <c r="NG126" s="36"/>
      <c r="NH126" s="36"/>
      <c r="NI126" s="36"/>
      <c r="NJ126" s="36"/>
      <c r="NK126" s="36"/>
      <c r="NL126" s="36"/>
      <c r="NM126" s="36"/>
      <c r="NN126" s="36"/>
      <c r="NO126" s="36"/>
      <c r="NP126" s="36"/>
      <c r="NQ126" s="36"/>
      <c r="NR126" s="36"/>
      <c r="NS126" s="36"/>
      <c r="NT126" s="36"/>
      <c r="NU126" s="36"/>
      <c r="NV126" s="36"/>
      <c r="NW126" s="36"/>
      <c r="NX126" s="36"/>
      <c r="NY126" s="36"/>
      <c r="NZ126" s="36"/>
      <c r="OA126" s="36"/>
      <c r="OB126" s="36"/>
      <c r="OC126" s="36"/>
      <c r="OD126" s="36"/>
      <c r="OE126" s="36"/>
      <c r="OF126" s="36"/>
      <c r="OG126" s="36"/>
      <c r="OH126" s="36"/>
      <c r="OI126" s="36"/>
      <c r="OJ126" s="36"/>
      <c r="OK126" s="36"/>
      <c r="OL126" s="36"/>
      <c r="OM126" s="36"/>
      <c r="ON126" s="36"/>
      <c r="OO126" s="36"/>
      <c r="OP126" s="36"/>
      <c r="OQ126" s="36"/>
      <c r="OR126" s="36"/>
      <c r="OS126" s="36"/>
      <c r="OT126" s="36"/>
      <c r="OU126" s="36"/>
      <c r="OV126" s="36"/>
      <c r="OW126" s="36"/>
      <c r="OX126" s="36"/>
      <c r="OY126" s="36"/>
      <c r="OZ126" s="36"/>
      <c r="PA126" s="36"/>
      <c r="PB126" s="36"/>
      <c r="PC126" s="36"/>
      <c r="PD126" s="36"/>
      <c r="PE126" s="36"/>
      <c r="PF126" s="36"/>
      <c r="PG126" s="36"/>
      <c r="PH126" s="36"/>
      <c r="PI126" s="36"/>
      <c r="PJ126" s="36"/>
      <c r="PK126" s="36"/>
      <c r="PL126" s="36"/>
      <c r="PM126" s="36"/>
      <c r="PN126" s="36"/>
      <c r="PO126" s="36"/>
      <c r="PP126" s="36"/>
      <c r="PQ126" s="36"/>
      <c r="PR126" s="36"/>
      <c r="PS126" s="36"/>
      <c r="PT126" s="36"/>
      <c r="PU126" s="36"/>
      <c r="PV126" s="36"/>
      <c r="PW126" s="36"/>
      <c r="PX126" s="36"/>
      <c r="PY126" s="36"/>
      <c r="PZ126" s="36"/>
      <c r="QA126" s="36"/>
      <c r="QB126" s="36"/>
      <c r="QC126" s="36"/>
      <c r="QD126" s="36"/>
      <c r="QE126" s="36"/>
      <c r="QF126" s="36"/>
      <c r="QG126" s="36"/>
      <c r="QH126" s="36"/>
      <c r="QI126" s="36"/>
      <c r="QJ126" s="36"/>
      <c r="QK126" s="36"/>
      <c r="QL126" s="36"/>
      <c r="QM126" s="36"/>
      <c r="QN126" s="36"/>
      <c r="QO126" s="36"/>
      <c r="QP126" s="36"/>
      <c r="QQ126" s="36"/>
      <c r="QR126" s="36"/>
      <c r="QS126" s="36"/>
      <c r="QT126" s="36"/>
      <c r="QU126" s="36"/>
      <c r="QV126" s="36"/>
      <c r="QW126" s="36"/>
      <c r="QX126" s="36"/>
      <c r="QY126" s="36"/>
      <c r="QZ126" s="36"/>
      <c r="RA126" s="36"/>
      <c r="RB126" s="36"/>
      <c r="RC126" s="36"/>
      <c r="RD126" s="36"/>
      <c r="RE126" s="36"/>
      <c r="RF126" s="36"/>
      <c r="RG126" s="36"/>
      <c r="RH126" s="36"/>
      <c r="RI126" s="36"/>
      <c r="RJ126" s="36"/>
      <c r="RK126" s="36"/>
      <c r="RL126" s="36"/>
      <c r="RM126" s="36"/>
      <c r="RN126" s="36"/>
      <c r="RO126" s="36"/>
      <c r="RP126" s="36"/>
      <c r="RQ126" s="36"/>
      <c r="RR126" s="36"/>
      <c r="RS126" s="36"/>
      <c r="RT126" s="36"/>
      <c r="RU126" s="36"/>
      <c r="RV126" s="36"/>
      <c r="RW126" s="36"/>
      <c r="RX126" s="36"/>
      <c r="RY126" s="36"/>
      <c r="RZ126" s="36"/>
      <c r="SA126" s="36"/>
      <c r="SB126" s="36"/>
      <c r="SC126" s="36"/>
      <c r="SD126" s="36"/>
      <c r="SE126" s="36"/>
      <c r="SF126" s="36"/>
      <c r="SG126" s="36"/>
      <c r="SH126" s="36"/>
      <c r="SI126" s="36"/>
      <c r="SJ126" s="36"/>
      <c r="SK126" s="36"/>
      <c r="SL126" s="36"/>
      <c r="SM126" s="36"/>
      <c r="SN126" s="36"/>
      <c r="SO126" s="36"/>
      <c r="SP126" s="36"/>
      <c r="SQ126" s="36"/>
      <c r="SR126" s="36"/>
      <c r="SS126" s="36"/>
      <c r="ST126" s="36"/>
      <c r="SU126" s="36"/>
      <c r="SV126" s="36"/>
      <c r="SW126" s="36"/>
      <c r="SX126" s="36"/>
      <c r="SY126" s="36"/>
      <c r="SZ126" s="36"/>
      <c r="TA126" s="36"/>
      <c r="TB126" s="36"/>
      <c r="TC126" s="36"/>
      <c r="TD126" s="36"/>
      <c r="TE126" s="36"/>
      <c r="TF126" s="36"/>
      <c r="TG126" s="36"/>
      <c r="TH126" s="36"/>
      <c r="TI126" s="36"/>
    </row>
    <row r="127" spans="1:529" s="27" customFormat="1" ht="25.5" customHeight="1" x14ac:dyDescent="0.25">
      <c r="A127" s="43">
        <v>1014082</v>
      </c>
      <c r="B127" s="44" t="str">
        <f>'дод 4'!A79</f>
        <v>4082</v>
      </c>
      <c r="C127" s="44" t="str">
        <f>'дод 4'!B79</f>
        <v>0829</v>
      </c>
      <c r="D127" s="24" t="str">
        <f>'дод 4'!C79</f>
        <v>Інші заходи в галузі культури і мистецтва</v>
      </c>
      <c r="E127" s="69">
        <f t="shared" si="55"/>
        <v>2500700</v>
      </c>
      <c r="F127" s="69">
        <f>2265700+15000+100000+120000</f>
        <v>2500700</v>
      </c>
      <c r="G127" s="69"/>
      <c r="H127" s="69"/>
      <c r="I127" s="69"/>
      <c r="J127" s="69">
        <f t="shared" si="57"/>
        <v>0</v>
      </c>
      <c r="K127" s="69"/>
      <c r="L127" s="69"/>
      <c r="M127" s="69"/>
      <c r="N127" s="69"/>
      <c r="O127" s="69"/>
      <c r="P127" s="69">
        <f t="shared" si="56"/>
        <v>2500700</v>
      </c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  <c r="JD127" s="36"/>
      <c r="JE127" s="36"/>
      <c r="JF127" s="36"/>
      <c r="JG127" s="36"/>
      <c r="JH127" s="36"/>
      <c r="JI127" s="36"/>
      <c r="JJ127" s="36"/>
      <c r="JK127" s="36"/>
      <c r="JL127" s="36"/>
      <c r="JM127" s="36"/>
      <c r="JN127" s="36"/>
      <c r="JO127" s="36"/>
      <c r="JP127" s="36"/>
      <c r="JQ127" s="36"/>
      <c r="JR127" s="36"/>
      <c r="JS127" s="36"/>
      <c r="JT127" s="36"/>
      <c r="JU127" s="36"/>
      <c r="JV127" s="36"/>
      <c r="JW127" s="36"/>
      <c r="JX127" s="36"/>
      <c r="JY127" s="36"/>
      <c r="JZ127" s="36"/>
      <c r="KA127" s="36"/>
      <c r="KB127" s="36"/>
      <c r="KC127" s="36"/>
      <c r="KD127" s="36"/>
      <c r="KE127" s="36"/>
      <c r="KF127" s="36"/>
      <c r="KG127" s="36"/>
      <c r="KH127" s="36"/>
      <c r="KI127" s="36"/>
      <c r="KJ127" s="36"/>
      <c r="KK127" s="36"/>
      <c r="KL127" s="36"/>
      <c r="KM127" s="36"/>
      <c r="KN127" s="36"/>
      <c r="KO127" s="36"/>
      <c r="KP127" s="36"/>
      <c r="KQ127" s="36"/>
      <c r="KR127" s="36"/>
      <c r="KS127" s="36"/>
      <c r="KT127" s="36"/>
      <c r="KU127" s="36"/>
      <c r="KV127" s="36"/>
      <c r="KW127" s="36"/>
      <c r="KX127" s="36"/>
      <c r="KY127" s="36"/>
      <c r="KZ127" s="36"/>
      <c r="LA127" s="36"/>
      <c r="LB127" s="36"/>
      <c r="LC127" s="36"/>
      <c r="LD127" s="36"/>
      <c r="LE127" s="36"/>
      <c r="LF127" s="36"/>
      <c r="LG127" s="36"/>
      <c r="LH127" s="36"/>
      <c r="LI127" s="36"/>
      <c r="LJ127" s="36"/>
      <c r="LK127" s="36"/>
      <c r="LL127" s="36"/>
      <c r="LM127" s="36"/>
      <c r="LN127" s="36"/>
      <c r="LO127" s="36"/>
      <c r="LP127" s="36"/>
      <c r="LQ127" s="36"/>
      <c r="LR127" s="36"/>
      <c r="LS127" s="36"/>
      <c r="LT127" s="36"/>
      <c r="LU127" s="36"/>
      <c r="LV127" s="36"/>
      <c r="LW127" s="36"/>
      <c r="LX127" s="36"/>
      <c r="LY127" s="36"/>
      <c r="LZ127" s="36"/>
      <c r="MA127" s="36"/>
      <c r="MB127" s="36"/>
      <c r="MC127" s="36"/>
      <c r="MD127" s="36"/>
      <c r="ME127" s="36"/>
      <c r="MF127" s="36"/>
      <c r="MG127" s="36"/>
      <c r="MH127" s="36"/>
      <c r="MI127" s="36"/>
      <c r="MJ127" s="36"/>
      <c r="MK127" s="36"/>
      <c r="ML127" s="36"/>
      <c r="MM127" s="36"/>
      <c r="MN127" s="36"/>
      <c r="MO127" s="36"/>
      <c r="MP127" s="36"/>
      <c r="MQ127" s="36"/>
      <c r="MR127" s="36"/>
      <c r="MS127" s="36"/>
      <c r="MT127" s="36"/>
      <c r="MU127" s="36"/>
      <c r="MV127" s="36"/>
      <c r="MW127" s="36"/>
      <c r="MX127" s="36"/>
      <c r="MY127" s="36"/>
      <c r="MZ127" s="36"/>
      <c r="NA127" s="36"/>
      <c r="NB127" s="36"/>
      <c r="NC127" s="36"/>
      <c r="ND127" s="36"/>
      <c r="NE127" s="36"/>
      <c r="NF127" s="36"/>
      <c r="NG127" s="36"/>
      <c r="NH127" s="36"/>
      <c r="NI127" s="36"/>
      <c r="NJ127" s="36"/>
      <c r="NK127" s="36"/>
      <c r="NL127" s="36"/>
      <c r="NM127" s="36"/>
      <c r="NN127" s="36"/>
      <c r="NO127" s="36"/>
      <c r="NP127" s="36"/>
      <c r="NQ127" s="36"/>
      <c r="NR127" s="36"/>
      <c r="NS127" s="36"/>
      <c r="NT127" s="36"/>
      <c r="NU127" s="36"/>
      <c r="NV127" s="36"/>
      <c r="NW127" s="36"/>
      <c r="NX127" s="36"/>
      <c r="NY127" s="36"/>
      <c r="NZ127" s="36"/>
      <c r="OA127" s="36"/>
      <c r="OB127" s="36"/>
      <c r="OC127" s="36"/>
      <c r="OD127" s="36"/>
      <c r="OE127" s="36"/>
      <c r="OF127" s="36"/>
      <c r="OG127" s="36"/>
      <c r="OH127" s="36"/>
      <c r="OI127" s="36"/>
      <c r="OJ127" s="36"/>
      <c r="OK127" s="36"/>
      <c r="OL127" s="36"/>
      <c r="OM127" s="36"/>
      <c r="ON127" s="36"/>
      <c r="OO127" s="36"/>
      <c r="OP127" s="36"/>
      <c r="OQ127" s="36"/>
      <c r="OR127" s="36"/>
      <c r="OS127" s="36"/>
      <c r="OT127" s="36"/>
      <c r="OU127" s="36"/>
      <c r="OV127" s="36"/>
      <c r="OW127" s="36"/>
      <c r="OX127" s="36"/>
      <c r="OY127" s="36"/>
      <c r="OZ127" s="36"/>
      <c r="PA127" s="36"/>
      <c r="PB127" s="36"/>
      <c r="PC127" s="36"/>
      <c r="PD127" s="36"/>
      <c r="PE127" s="36"/>
      <c r="PF127" s="36"/>
      <c r="PG127" s="36"/>
      <c r="PH127" s="36"/>
      <c r="PI127" s="36"/>
      <c r="PJ127" s="36"/>
      <c r="PK127" s="36"/>
      <c r="PL127" s="36"/>
      <c r="PM127" s="36"/>
      <c r="PN127" s="36"/>
      <c r="PO127" s="36"/>
      <c r="PP127" s="36"/>
      <c r="PQ127" s="36"/>
      <c r="PR127" s="36"/>
      <c r="PS127" s="36"/>
      <c r="PT127" s="36"/>
      <c r="PU127" s="36"/>
      <c r="PV127" s="36"/>
      <c r="PW127" s="36"/>
      <c r="PX127" s="36"/>
      <c r="PY127" s="36"/>
      <c r="PZ127" s="36"/>
      <c r="QA127" s="36"/>
      <c r="QB127" s="36"/>
      <c r="QC127" s="36"/>
      <c r="QD127" s="36"/>
      <c r="QE127" s="36"/>
      <c r="QF127" s="36"/>
      <c r="QG127" s="36"/>
      <c r="QH127" s="36"/>
      <c r="QI127" s="36"/>
      <c r="QJ127" s="36"/>
      <c r="QK127" s="36"/>
      <c r="QL127" s="36"/>
      <c r="QM127" s="36"/>
      <c r="QN127" s="36"/>
      <c r="QO127" s="36"/>
      <c r="QP127" s="36"/>
      <c r="QQ127" s="36"/>
      <c r="QR127" s="36"/>
      <c r="QS127" s="36"/>
      <c r="QT127" s="36"/>
      <c r="QU127" s="36"/>
      <c r="QV127" s="36"/>
      <c r="QW127" s="36"/>
      <c r="QX127" s="36"/>
      <c r="QY127" s="36"/>
      <c r="QZ127" s="36"/>
      <c r="RA127" s="36"/>
      <c r="RB127" s="36"/>
      <c r="RC127" s="36"/>
      <c r="RD127" s="36"/>
      <c r="RE127" s="36"/>
      <c r="RF127" s="36"/>
      <c r="RG127" s="36"/>
      <c r="RH127" s="36"/>
      <c r="RI127" s="36"/>
      <c r="RJ127" s="36"/>
      <c r="RK127" s="36"/>
      <c r="RL127" s="36"/>
      <c r="RM127" s="36"/>
      <c r="RN127" s="36"/>
      <c r="RO127" s="36"/>
      <c r="RP127" s="36"/>
      <c r="RQ127" s="36"/>
      <c r="RR127" s="36"/>
      <c r="RS127" s="36"/>
      <c r="RT127" s="36"/>
      <c r="RU127" s="36"/>
      <c r="RV127" s="36"/>
      <c r="RW127" s="36"/>
      <c r="RX127" s="36"/>
      <c r="RY127" s="36"/>
      <c r="RZ127" s="36"/>
      <c r="SA127" s="36"/>
      <c r="SB127" s="36"/>
      <c r="SC127" s="36"/>
      <c r="SD127" s="36"/>
      <c r="SE127" s="36"/>
      <c r="SF127" s="36"/>
      <c r="SG127" s="36"/>
      <c r="SH127" s="36"/>
      <c r="SI127" s="36"/>
      <c r="SJ127" s="36"/>
      <c r="SK127" s="36"/>
      <c r="SL127" s="36"/>
      <c r="SM127" s="36"/>
      <c r="SN127" s="36"/>
      <c r="SO127" s="36"/>
      <c r="SP127" s="36"/>
      <c r="SQ127" s="36"/>
      <c r="SR127" s="36"/>
      <c r="SS127" s="36"/>
      <c r="ST127" s="36"/>
      <c r="SU127" s="36"/>
      <c r="SV127" s="36"/>
      <c r="SW127" s="36"/>
      <c r="SX127" s="36"/>
      <c r="SY127" s="36"/>
      <c r="SZ127" s="36"/>
      <c r="TA127" s="36"/>
      <c r="TB127" s="36"/>
      <c r="TC127" s="36"/>
      <c r="TD127" s="36"/>
      <c r="TE127" s="36"/>
      <c r="TF127" s="36"/>
      <c r="TG127" s="36"/>
      <c r="TH127" s="36"/>
      <c r="TI127" s="36"/>
    </row>
    <row r="128" spans="1:529" s="23" customFormat="1" ht="22.5" customHeight="1" x14ac:dyDescent="0.25">
      <c r="A128" s="43" t="s">
        <v>176</v>
      </c>
      <c r="B128" s="44" t="str">
        <f>'дод 4'!A121</f>
        <v>7640</v>
      </c>
      <c r="C128" s="44" t="str">
        <f>'дод 4'!B121</f>
        <v>0470</v>
      </c>
      <c r="D128" s="24" t="str">
        <f>'дод 4'!C121</f>
        <v>Заходи з енергозбереження</v>
      </c>
      <c r="E128" s="69">
        <f t="shared" si="55"/>
        <v>0</v>
      </c>
      <c r="F128" s="69"/>
      <c r="G128" s="69"/>
      <c r="H128" s="69"/>
      <c r="I128" s="69"/>
      <c r="J128" s="69">
        <f t="shared" si="57"/>
        <v>396000</v>
      </c>
      <c r="K128" s="69">
        <v>396000</v>
      </c>
      <c r="L128" s="69"/>
      <c r="M128" s="69"/>
      <c r="N128" s="69"/>
      <c r="O128" s="69">
        <v>396000</v>
      </c>
      <c r="P128" s="69">
        <f t="shared" si="56"/>
        <v>396000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</row>
    <row r="129" spans="1:529" s="23" customFormat="1" ht="22.5" customHeight="1" x14ac:dyDescent="0.25">
      <c r="A129" s="43">
        <v>1018340</v>
      </c>
      <c r="B129" s="44" t="str">
        <f>'дод 4'!A138</f>
        <v>8340</v>
      </c>
      <c r="C129" s="44" t="str">
        <f>'дод 4'!B138</f>
        <v>0540</v>
      </c>
      <c r="D129" s="78" t="str">
        <f>'дод 4'!C138</f>
        <v>Природоохоронні заходи за рахунок цільових фондів</v>
      </c>
      <c r="E129" s="69">
        <f t="shared" si="55"/>
        <v>0</v>
      </c>
      <c r="F129" s="69"/>
      <c r="G129" s="69"/>
      <c r="H129" s="69"/>
      <c r="I129" s="69"/>
      <c r="J129" s="69">
        <f t="shared" si="57"/>
        <v>3000</v>
      </c>
      <c r="K129" s="69"/>
      <c r="L129" s="69">
        <v>3000</v>
      </c>
      <c r="M129" s="69"/>
      <c r="N129" s="69"/>
      <c r="O129" s="69"/>
      <c r="P129" s="69">
        <f t="shared" si="56"/>
        <v>3000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</row>
    <row r="130" spans="1:529" s="31" customFormat="1" ht="34.5" customHeight="1" x14ac:dyDescent="0.2">
      <c r="A130" s="76" t="s">
        <v>231</v>
      </c>
      <c r="B130" s="74"/>
      <c r="C130" s="74"/>
      <c r="D130" s="30" t="s">
        <v>44</v>
      </c>
      <c r="E130" s="66">
        <f>E131</f>
        <v>255139751.95999998</v>
      </c>
      <c r="F130" s="66">
        <f t="shared" ref="F130:J130" si="58">F131</f>
        <v>221040219.95999998</v>
      </c>
      <c r="G130" s="66">
        <f t="shared" si="58"/>
        <v>10434500</v>
      </c>
      <c r="H130" s="66">
        <f t="shared" si="58"/>
        <v>28077306</v>
      </c>
      <c r="I130" s="66">
        <f t="shared" si="58"/>
        <v>34099532</v>
      </c>
      <c r="J130" s="66">
        <f t="shared" si="58"/>
        <v>195068989.63999999</v>
      </c>
      <c r="K130" s="66">
        <f t="shared" ref="K130" si="59">K131</f>
        <v>109099855.92</v>
      </c>
      <c r="L130" s="66">
        <f t="shared" ref="L130" si="60">L131</f>
        <v>82026890.269999996</v>
      </c>
      <c r="M130" s="66">
        <f t="shared" ref="M130" si="61">M131</f>
        <v>0</v>
      </c>
      <c r="N130" s="66">
        <f t="shared" ref="N130" si="62">N131</f>
        <v>540000</v>
      </c>
      <c r="O130" s="66">
        <f t="shared" ref="O130:P130" si="63">O131</f>
        <v>113042099.37</v>
      </c>
      <c r="P130" s="66">
        <f t="shared" si="63"/>
        <v>450208741.59999996</v>
      </c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B130" s="38"/>
      <c r="IC130" s="38"/>
      <c r="ID130" s="38"/>
      <c r="IE130" s="38"/>
      <c r="IF130" s="38"/>
      <c r="IG130" s="38"/>
      <c r="IH130" s="38"/>
      <c r="II130" s="38"/>
      <c r="IJ130" s="38"/>
      <c r="IK130" s="38"/>
      <c r="IL130" s="38"/>
      <c r="IM130" s="38"/>
      <c r="IN130" s="38"/>
      <c r="IO130" s="38"/>
      <c r="IP130" s="38"/>
      <c r="IQ130" s="38"/>
      <c r="IR130" s="38"/>
      <c r="IS130" s="38"/>
      <c r="IT130" s="38"/>
      <c r="IU130" s="38"/>
      <c r="IV130" s="38"/>
      <c r="IW130" s="38"/>
      <c r="IX130" s="38"/>
      <c r="IY130" s="38"/>
      <c r="IZ130" s="38"/>
      <c r="JA130" s="38"/>
      <c r="JB130" s="38"/>
      <c r="JC130" s="38"/>
      <c r="JD130" s="38"/>
      <c r="JE130" s="38"/>
      <c r="JF130" s="38"/>
      <c r="JG130" s="38"/>
      <c r="JH130" s="38"/>
      <c r="JI130" s="38"/>
      <c r="JJ130" s="38"/>
      <c r="JK130" s="38"/>
      <c r="JL130" s="38"/>
      <c r="JM130" s="38"/>
      <c r="JN130" s="38"/>
      <c r="JO130" s="38"/>
      <c r="JP130" s="38"/>
      <c r="JQ130" s="38"/>
      <c r="JR130" s="38"/>
      <c r="JS130" s="38"/>
      <c r="JT130" s="38"/>
      <c r="JU130" s="38"/>
      <c r="JV130" s="38"/>
      <c r="JW130" s="38"/>
      <c r="JX130" s="38"/>
      <c r="JY130" s="38"/>
      <c r="JZ130" s="38"/>
      <c r="KA130" s="38"/>
      <c r="KB130" s="38"/>
      <c r="KC130" s="38"/>
      <c r="KD130" s="38"/>
      <c r="KE130" s="38"/>
      <c r="KF130" s="38"/>
      <c r="KG130" s="38"/>
      <c r="KH130" s="38"/>
      <c r="KI130" s="38"/>
      <c r="KJ130" s="38"/>
      <c r="KK130" s="38"/>
      <c r="KL130" s="38"/>
      <c r="KM130" s="38"/>
      <c r="KN130" s="38"/>
      <c r="KO130" s="38"/>
      <c r="KP130" s="38"/>
      <c r="KQ130" s="38"/>
      <c r="KR130" s="38"/>
      <c r="KS130" s="38"/>
      <c r="KT130" s="38"/>
      <c r="KU130" s="38"/>
      <c r="KV130" s="38"/>
      <c r="KW130" s="38"/>
      <c r="KX130" s="38"/>
      <c r="KY130" s="38"/>
      <c r="KZ130" s="38"/>
      <c r="LA130" s="38"/>
      <c r="LB130" s="38"/>
      <c r="LC130" s="38"/>
      <c r="LD130" s="38"/>
      <c r="LE130" s="38"/>
      <c r="LF130" s="38"/>
      <c r="LG130" s="38"/>
      <c r="LH130" s="38"/>
      <c r="LI130" s="38"/>
      <c r="LJ130" s="38"/>
      <c r="LK130" s="38"/>
      <c r="LL130" s="38"/>
      <c r="LM130" s="38"/>
      <c r="LN130" s="38"/>
      <c r="LO130" s="38"/>
      <c r="LP130" s="38"/>
      <c r="LQ130" s="38"/>
      <c r="LR130" s="38"/>
      <c r="LS130" s="38"/>
      <c r="LT130" s="38"/>
      <c r="LU130" s="38"/>
      <c r="LV130" s="38"/>
      <c r="LW130" s="38"/>
      <c r="LX130" s="38"/>
      <c r="LY130" s="38"/>
      <c r="LZ130" s="38"/>
      <c r="MA130" s="38"/>
      <c r="MB130" s="38"/>
      <c r="MC130" s="38"/>
      <c r="MD130" s="38"/>
      <c r="ME130" s="38"/>
      <c r="MF130" s="38"/>
      <c r="MG130" s="38"/>
      <c r="MH130" s="38"/>
      <c r="MI130" s="38"/>
      <c r="MJ130" s="38"/>
      <c r="MK130" s="38"/>
      <c r="ML130" s="38"/>
      <c r="MM130" s="38"/>
      <c r="MN130" s="38"/>
      <c r="MO130" s="38"/>
      <c r="MP130" s="38"/>
      <c r="MQ130" s="38"/>
      <c r="MR130" s="38"/>
      <c r="MS130" s="38"/>
      <c r="MT130" s="38"/>
      <c r="MU130" s="38"/>
      <c r="MV130" s="38"/>
      <c r="MW130" s="38"/>
      <c r="MX130" s="38"/>
      <c r="MY130" s="38"/>
      <c r="MZ130" s="38"/>
      <c r="NA130" s="38"/>
      <c r="NB130" s="38"/>
      <c r="NC130" s="38"/>
      <c r="ND130" s="38"/>
      <c r="NE130" s="38"/>
      <c r="NF130" s="38"/>
      <c r="NG130" s="38"/>
      <c r="NH130" s="38"/>
      <c r="NI130" s="38"/>
      <c r="NJ130" s="38"/>
      <c r="NK130" s="38"/>
      <c r="NL130" s="38"/>
      <c r="NM130" s="38"/>
      <c r="NN130" s="38"/>
      <c r="NO130" s="38"/>
      <c r="NP130" s="38"/>
      <c r="NQ130" s="38"/>
      <c r="NR130" s="38"/>
      <c r="NS130" s="38"/>
      <c r="NT130" s="38"/>
      <c r="NU130" s="38"/>
      <c r="NV130" s="38"/>
      <c r="NW130" s="38"/>
      <c r="NX130" s="38"/>
      <c r="NY130" s="38"/>
      <c r="NZ130" s="38"/>
      <c r="OA130" s="38"/>
      <c r="OB130" s="38"/>
      <c r="OC130" s="38"/>
      <c r="OD130" s="38"/>
      <c r="OE130" s="38"/>
      <c r="OF130" s="38"/>
      <c r="OG130" s="38"/>
      <c r="OH130" s="38"/>
      <c r="OI130" s="38"/>
      <c r="OJ130" s="38"/>
      <c r="OK130" s="38"/>
      <c r="OL130" s="38"/>
      <c r="OM130" s="38"/>
      <c r="ON130" s="38"/>
      <c r="OO130" s="38"/>
      <c r="OP130" s="38"/>
      <c r="OQ130" s="38"/>
      <c r="OR130" s="38"/>
      <c r="OS130" s="38"/>
      <c r="OT130" s="38"/>
      <c r="OU130" s="38"/>
      <c r="OV130" s="38"/>
      <c r="OW130" s="38"/>
      <c r="OX130" s="38"/>
      <c r="OY130" s="38"/>
      <c r="OZ130" s="38"/>
      <c r="PA130" s="38"/>
      <c r="PB130" s="38"/>
      <c r="PC130" s="38"/>
      <c r="PD130" s="38"/>
      <c r="PE130" s="38"/>
      <c r="PF130" s="38"/>
      <c r="PG130" s="38"/>
      <c r="PH130" s="38"/>
      <c r="PI130" s="38"/>
      <c r="PJ130" s="38"/>
      <c r="PK130" s="38"/>
      <c r="PL130" s="38"/>
      <c r="PM130" s="38"/>
      <c r="PN130" s="38"/>
      <c r="PO130" s="38"/>
      <c r="PP130" s="38"/>
      <c r="PQ130" s="38"/>
      <c r="PR130" s="38"/>
      <c r="PS130" s="38"/>
      <c r="PT130" s="38"/>
      <c r="PU130" s="38"/>
      <c r="PV130" s="38"/>
      <c r="PW130" s="38"/>
      <c r="PX130" s="38"/>
      <c r="PY130" s="38"/>
      <c r="PZ130" s="38"/>
      <c r="QA130" s="38"/>
      <c r="QB130" s="38"/>
      <c r="QC130" s="38"/>
      <c r="QD130" s="38"/>
      <c r="QE130" s="38"/>
      <c r="QF130" s="38"/>
      <c r="QG130" s="38"/>
      <c r="QH130" s="38"/>
      <c r="QI130" s="38"/>
      <c r="QJ130" s="38"/>
      <c r="QK130" s="38"/>
      <c r="QL130" s="38"/>
      <c r="QM130" s="38"/>
      <c r="QN130" s="38"/>
      <c r="QO130" s="38"/>
      <c r="QP130" s="38"/>
      <c r="QQ130" s="38"/>
      <c r="QR130" s="38"/>
      <c r="QS130" s="38"/>
      <c r="QT130" s="38"/>
      <c r="QU130" s="38"/>
      <c r="QV130" s="38"/>
      <c r="QW130" s="38"/>
      <c r="QX130" s="38"/>
      <c r="QY130" s="38"/>
      <c r="QZ130" s="38"/>
      <c r="RA130" s="38"/>
      <c r="RB130" s="38"/>
      <c r="RC130" s="38"/>
      <c r="RD130" s="38"/>
      <c r="RE130" s="38"/>
      <c r="RF130" s="38"/>
      <c r="RG130" s="38"/>
      <c r="RH130" s="38"/>
      <c r="RI130" s="38"/>
      <c r="RJ130" s="38"/>
      <c r="RK130" s="38"/>
      <c r="RL130" s="38"/>
      <c r="RM130" s="38"/>
      <c r="RN130" s="38"/>
      <c r="RO130" s="38"/>
      <c r="RP130" s="38"/>
      <c r="RQ130" s="38"/>
      <c r="RR130" s="38"/>
      <c r="RS130" s="38"/>
      <c r="RT130" s="38"/>
      <c r="RU130" s="38"/>
      <c r="RV130" s="38"/>
      <c r="RW130" s="38"/>
      <c r="RX130" s="38"/>
      <c r="RY130" s="38"/>
      <c r="RZ130" s="38"/>
      <c r="SA130" s="38"/>
      <c r="SB130" s="38"/>
      <c r="SC130" s="38"/>
      <c r="SD130" s="38"/>
      <c r="SE130" s="38"/>
      <c r="SF130" s="38"/>
      <c r="SG130" s="38"/>
      <c r="SH130" s="38"/>
      <c r="SI130" s="38"/>
      <c r="SJ130" s="38"/>
      <c r="SK130" s="38"/>
      <c r="SL130" s="38"/>
      <c r="SM130" s="38"/>
      <c r="SN130" s="38"/>
      <c r="SO130" s="38"/>
      <c r="SP130" s="38"/>
      <c r="SQ130" s="38"/>
      <c r="SR130" s="38"/>
      <c r="SS130" s="38"/>
      <c r="ST130" s="38"/>
      <c r="SU130" s="38"/>
      <c r="SV130" s="38"/>
      <c r="SW130" s="38"/>
      <c r="SX130" s="38"/>
      <c r="SY130" s="38"/>
      <c r="SZ130" s="38"/>
      <c r="TA130" s="38"/>
      <c r="TB130" s="38"/>
      <c r="TC130" s="38"/>
      <c r="TD130" s="38"/>
      <c r="TE130" s="38"/>
      <c r="TF130" s="38"/>
      <c r="TG130" s="38"/>
      <c r="TH130" s="38"/>
      <c r="TI130" s="38"/>
    </row>
    <row r="131" spans="1:529" s="40" customFormat="1" ht="36.75" customHeight="1" x14ac:dyDescent="0.25">
      <c r="A131" s="77" t="s">
        <v>232</v>
      </c>
      <c r="B131" s="75"/>
      <c r="C131" s="75"/>
      <c r="D131" s="33" t="s">
        <v>44</v>
      </c>
      <c r="E131" s="68">
        <f>E133+E134+E135+E136+E137+E138+E139+E140+E141+E142+E143+E144+E145+E147+E151+E152+E153+E154+E155+E146+E149</f>
        <v>255139751.95999998</v>
      </c>
      <c r="F131" s="68">
        <f t="shared" ref="F131:P131" si="64">F133+F134+F135+F136+F137+F138+F139+F140+F141+F142+F143+F144+F145+F147+F151+F152+F153+F154+F155+F146+F149</f>
        <v>221040219.95999998</v>
      </c>
      <c r="G131" s="68">
        <f t="shared" si="64"/>
        <v>10434500</v>
      </c>
      <c r="H131" s="68">
        <f t="shared" si="64"/>
        <v>28077306</v>
      </c>
      <c r="I131" s="68">
        <f t="shared" si="64"/>
        <v>34099532</v>
      </c>
      <c r="J131" s="68">
        <f t="shared" si="64"/>
        <v>195068989.63999999</v>
      </c>
      <c r="K131" s="68">
        <f t="shared" si="64"/>
        <v>109099855.92</v>
      </c>
      <c r="L131" s="68">
        <f t="shared" si="64"/>
        <v>82026890.269999996</v>
      </c>
      <c r="M131" s="68">
        <f t="shared" si="64"/>
        <v>0</v>
      </c>
      <c r="N131" s="68">
        <f t="shared" si="64"/>
        <v>540000</v>
      </c>
      <c r="O131" s="68">
        <f t="shared" si="64"/>
        <v>113042099.37</v>
      </c>
      <c r="P131" s="68">
        <f t="shared" si="64"/>
        <v>450208741.59999996</v>
      </c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/>
      <c r="IU131" s="39"/>
      <c r="IV131" s="39"/>
      <c r="IW131" s="39"/>
      <c r="IX131" s="39"/>
      <c r="IY131" s="39"/>
      <c r="IZ131" s="39"/>
      <c r="JA131" s="39"/>
      <c r="JB131" s="39"/>
      <c r="JC131" s="39"/>
      <c r="JD131" s="39"/>
      <c r="JE131" s="39"/>
      <c r="JF131" s="39"/>
      <c r="JG131" s="39"/>
      <c r="JH131" s="39"/>
      <c r="JI131" s="39"/>
      <c r="JJ131" s="39"/>
      <c r="JK131" s="39"/>
      <c r="JL131" s="39"/>
      <c r="JM131" s="39"/>
      <c r="JN131" s="39"/>
      <c r="JO131" s="39"/>
      <c r="JP131" s="39"/>
      <c r="JQ131" s="39"/>
      <c r="JR131" s="39"/>
      <c r="JS131" s="39"/>
      <c r="JT131" s="39"/>
      <c r="JU131" s="39"/>
      <c r="JV131" s="39"/>
      <c r="JW131" s="39"/>
      <c r="JX131" s="39"/>
      <c r="JY131" s="39"/>
      <c r="JZ131" s="39"/>
      <c r="KA131" s="39"/>
      <c r="KB131" s="39"/>
      <c r="KC131" s="39"/>
      <c r="KD131" s="39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39"/>
      <c r="KR131" s="39"/>
      <c r="KS131" s="39"/>
      <c r="KT131" s="39"/>
      <c r="KU131" s="39"/>
      <c r="KV131" s="39"/>
      <c r="KW131" s="39"/>
      <c r="KX131" s="39"/>
      <c r="KY131" s="39"/>
      <c r="KZ131" s="39"/>
      <c r="LA131" s="39"/>
      <c r="LB131" s="39"/>
      <c r="LC131" s="39"/>
      <c r="LD131" s="39"/>
      <c r="LE131" s="39"/>
      <c r="LF131" s="39"/>
      <c r="LG131" s="39"/>
      <c r="LH131" s="39"/>
      <c r="LI131" s="39"/>
      <c r="LJ131" s="39"/>
      <c r="LK131" s="39"/>
      <c r="LL131" s="39"/>
      <c r="LM131" s="39"/>
      <c r="LN131" s="39"/>
      <c r="LO131" s="39"/>
      <c r="LP131" s="39"/>
      <c r="LQ131" s="39"/>
      <c r="LR131" s="39"/>
      <c r="LS131" s="39"/>
      <c r="LT131" s="39"/>
      <c r="LU131" s="39"/>
      <c r="LV131" s="39"/>
      <c r="LW131" s="39"/>
      <c r="LX131" s="39"/>
      <c r="LY131" s="39"/>
      <c r="LZ131" s="39"/>
      <c r="MA131" s="39"/>
      <c r="MB131" s="39"/>
      <c r="MC131" s="39"/>
      <c r="MD131" s="39"/>
      <c r="ME131" s="39"/>
      <c r="MF131" s="39"/>
      <c r="MG131" s="39"/>
      <c r="MH131" s="39"/>
      <c r="MI131" s="39"/>
      <c r="MJ131" s="39"/>
      <c r="MK131" s="39"/>
      <c r="ML131" s="39"/>
      <c r="MM131" s="39"/>
      <c r="MN131" s="39"/>
      <c r="MO131" s="39"/>
      <c r="MP131" s="39"/>
      <c r="MQ131" s="39"/>
      <c r="MR131" s="39"/>
      <c r="MS131" s="39"/>
      <c r="MT131" s="39"/>
      <c r="MU131" s="39"/>
      <c r="MV131" s="39"/>
      <c r="MW131" s="39"/>
      <c r="MX131" s="39"/>
      <c r="MY131" s="39"/>
      <c r="MZ131" s="39"/>
      <c r="NA131" s="39"/>
      <c r="NB131" s="39"/>
      <c r="NC131" s="39"/>
      <c r="ND131" s="39"/>
      <c r="NE131" s="39"/>
      <c r="NF131" s="39"/>
      <c r="NG131" s="39"/>
      <c r="NH131" s="39"/>
      <c r="NI131" s="39"/>
      <c r="NJ131" s="39"/>
      <c r="NK131" s="39"/>
      <c r="NL131" s="39"/>
      <c r="NM131" s="39"/>
      <c r="NN131" s="39"/>
      <c r="NO131" s="39"/>
      <c r="NP131" s="39"/>
      <c r="NQ131" s="39"/>
      <c r="NR131" s="39"/>
      <c r="NS131" s="39"/>
      <c r="NT131" s="39"/>
      <c r="NU131" s="39"/>
      <c r="NV131" s="39"/>
      <c r="NW131" s="39"/>
      <c r="NX131" s="39"/>
      <c r="NY131" s="39"/>
      <c r="NZ131" s="39"/>
      <c r="OA131" s="39"/>
      <c r="OB131" s="39"/>
      <c r="OC131" s="39"/>
      <c r="OD131" s="39"/>
      <c r="OE131" s="39"/>
      <c r="OF131" s="39"/>
      <c r="OG131" s="39"/>
      <c r="OH131" s="39"/>
      <c r="OI131" s="39"/>
      <c r="OJ131" s="39"/>
      <c r="OK131" s="39"/>
      <c r="OL131" s="39"/>
      <c r="OM131" s="39"/>
      <c r="ON131" s="39"/>
      <c r="OO131" s="39"/>
      <c r="OP131" s="39"/>
      <c r="OQ131" s="39"/>
      <c r="OR131" s="39"/>
      <c r="OS131" s="39"/>
      <c r="OT131" s="39"/>
      <c r="OU131" s="39"/>
      <c r="OV131" s="39"/>
      <c r="OW131" s="39"/>
      <c r="OX131" s="39"/>
      <c r="OY131" s="39"/>
      <c r="OZ131" s="39"/>
      <c r="PA131" s="39"/>
      <c r="PB131" s="39"/>
      <c r="PC131" s="39"/>
      <c r="PD131" s="39"/>
      <c r="PE131" s="39"/>
      <c r="PF131" s="39"/>
      <c r="PG131" s="39"/>
      <c r="PH131" s="39"/>
      <c r="PI131" s="39"/>
      <c r="PJ131" s="39"/>
      <c r="PK131" s="39"/>
      <c r="PL131" s="39"/>
      <c r="PM131" s="39"/>
      <c r="PN131" s="39"/>
      <c r="PO131" s="39"/>
      <c r="PP131" s="39"/>
      <c r="PQ131" s="39"/>
      <c r="PR131" s="39"/>
      <c r="PS131" s="39"/>
      <c r="PT131" s="39"/>
      <c r="PU131" s="39"/>
      <c r="PV131" s="39"/>
      <c r="PW131" s="39"/>
      <c r="PX131" s="39"/>
      <c r="PY131" s="39"/>
      <c r="PZ131" s="39"/>
      <c r="QA131" s="39"/>
      <c r="QB131" s="39"/>
      <c r="QC131" s="39"/>
      <c r="QD131" s="39"/>
      <c r="QE131" s="39"/>
      <c r="QF131" s="39"/>
      <c r="QG131" s="39"/>
      <c r="QH131" s="39"/>
      <c r="QI131" s="39"/>
      <c r="QJ131" s="39"/>
      <c r="QK131" s="39"/>
      <c r="QL131" s="39"/>
      <c r="QM131" s="39"/>
      <c r="QN131" s="39"/>
      <c r="QO131" s="39"/>
      <c r="QP131" s="39"/>
      <c r="QQ131" s="39"/>
      <c r="QR131" s="39"/>
      <c r="QS131" s="39"/>
      <c r="QT131" s="39"/>
      <c r="QU131" s="39"/>
      <c r="QV131" s="39"/>
      <c r="QW131" s="39"/>
      <c r="QX131" s="39"/>
      <c r="QY131" s="39"/>
      <c r="QZ131" s="39"/>
      <c r="RA131" s="39"/>
      <c r="RB131" s="39"/>
      <c r="RC131" s="39"/>
      <c r="RD131" s="39"/>
      <c r="RE131" s="39"/>
      <c r="RF131" s="39"/>
      <c r="RG131" s="39"/>
      <c r="RH131" s="39"/>
      <c r="RI131" s="39"/>
      <c r="RJ131" s="39"/>
      <c r="RK131" s="39"/>
      <c r="RL131" s="39"/>
      <c r="RM131" s="39"/>
      <c r="RN131" s="39"/>
      <c r="RO131" s="39"/>
      <c r="RP131" s="39"/>
      <c r="RQ131" s="39"/>
      <c r="RR131" s="39"/>
      <c r="RS131" s="39"/>
      <c r="RT131" s="39"/>
      <c r="RU131" s="39"/>
      <c r="RV131" s="39"/>
      <c r="RW131" s="39"/>
      <c r="RX131" s="39"/>
      <c r="RY131" s="39"/>
      <c r="RZ131" s="39"/>
      <c r="SA131" s="39"/>
      <c r="SB131" s="39"/>
      <c r="SC131" s="39"/>
      <c r="SD131" s="39"/>
      <c r="SE131" s="39"/>
      <c r="SF131" s="39"/>
      <c r="SG131" s="39"/>
      <c r="SH131" s="39"/>
      <c r="SI131" s="39"/>
      <c r="SJ131" s="39"/>
      <c r="SK131" s="39"/>
      <c r="SL131" s="39"/>
      <c r="SM131" s="39"/>
      <c r="SN131" s="39"/>
      <c r="SO131" s="39"/>
      <c r="SP131" s="39"/>
      <c r="SQ131" s="39"/>
      <c r="SR131" s="39"/>
      <c r="SS131" s="39"/>
      <c r="ST131" s="39"/>
      <c r="SU131" s="39"/>
      <c r="SV131" s="39"/>
      <c r="SW131" s="39"/>
      <c r="SX131" s="39"/>
      <c r="SY131" s="39"/>
      <c r="SZ131" s="39"/>
      <c r="TA131" s="39"/>
      <c r="TB131" s="39"/>
      <c r="TC131" s="39"/>
      <c r="TD131" s="39"/>
      <c r="TE131" s="39"/>
      <c r="TF131" s="39"/>
      <c r="TG131" s="39"/>
      <c r="TH131" s="39"/>
      <c r="TI131" s="39"/>
    </row>
    <row r="132" spans="1:529" s="40" customFormat="1" ht="15" customHeight="1" x14ac:dyDescent="0.25">
      <c r="A132" s="77"/>
      <c r="B132" s="75"/>
      <c r="C132" s="75"/>
      <c r="D132" s="33" t="s">
        <v>308</v>
      </c>
      <c r="E132" s="68">
        <f>E148+E150</f>
        <v>0</v>
      </c>
      <c r="F132" s="68">
        <f t="shared" ref="F132:P132" si="65">F148+F150</f>
        <v>0</v>
      </c>
      <c r="G132" s="68">
        <f t="shared" si="65"/>
        <v>0</v>
      </c>
      <c r="H132" s="68">
        <f t="shared" si="65"/>
        <v>0</v>
      </c>
      <c r="I132" s="68">
        <f t="shared" si="65"/>
        <v>0</v>
      </c>
      <c r="J132" s="68">
        <f t="shared" si="65"/>
        <v>80937420.379999995</v>
      </c>
      <c r="K132" s="68">
        <f t="shared" si="65"/>
        <v>937420.38</v>
      </c>
      <c r="L132" s="68">
        <f t="shared" si="65"/>
        <v>80000000</v>
      </c>
      <c r="M132" s="68">
        <f t="shared" si="65"/>
        <v>0</v>
      </c>
      <c r="N132" s="68">
        <f t="shared" si="65"/>
        <v>0</v>
      </c>
      <c r="O132" s="68">
        <f t="shared" si="65"/>
        <v>937420.38</v>
      </c>
      <c r="P132" s="68">
        <f t="shared" si="65"/>
        <v>80937420.379999995</v>
      </c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  <c r="IT132" s="39"/>
      <c r="IU132" s="39"/>
      <c r="IV132" s="39"/>
      <c r="IW132" s="39"/>
      <c r="IX132" s="39"/>
      <c r="IY132" s="39"/>
      <c r="IZ132" s="39"/>
      <c r="JA132" s="39"/>
      <c r="JB132" s="39"/>
      <c r="JC132" s="39"/>
      <c r="JD132" s="39"/>
      <c r="JE132" s="39"/>
      <c r="JF132" s="39"/>
      <c r="JG132" s="39"/>
      <c r="JH132" s="39"/>
      <c r="JI132" s="39"/>
      <c r="JJ132" s="39"/>
      <c r="JK132" s="39"/>
      <c r="JL132" s="39"/>
      <c r="JM132" s="39"/>
      <c r="JN132" s="39"/>
      <c r="JO132" s="39"/>
      <c r="JP132" s="39"/>
      <c r="JQ132" s="39"/>
      <c r="JR132" s="39"/>
      <c r="JS132" s="39"/>
      <c r="JT132" s="39"/>
      <c r="JU132" s="39"/>
      <c r="JV132" s="39"/>
      <c r="JW132" s="39"/>
      <c r="JX132" s="39"/>
      <c r="JY132" s="39"/>
      <c r="JZ132" s="39"/>
      <c r="KA132" s="39"/>
      <c r="KB132" s="39"/>
      <c r="KC132" s="39"/>
      <c r="KD132" s="39"/>
      <c r="KE132" s="39"/>
      <c r="KF132" s="39"/>
      <c r="KG132" s="39"/>
      <c r="KH132" s="39"/>
      <c r="KI132" s="39"/>
      <c r="KJ132" s="39"/>
      <c r="KK132" s="39"/>
      <c r="KL132" s="39"/>
      <c r="KM132" s="39"/>
      <c r="KN132" s="39"/>
      <c r="KO132" s="39"/>
      <c r="KP132" s="39"/>
      <c r="KQ132" s="39"/>
      <c r="KR132" s="39"/>
      <c r="KS132" s="39"/>
      <c r="KT132" s="39"/>
      <c r="KU132" s="39"/>
      <c r="KV132" s="39"/>
      <c r="KW132" s="39"/>
      <c r="KX132" s="39"/>
      <c r="KY132" s="39"/>
      <c r="KZ132" s="39"/>
      <c r="LA132" s="39"/>
      <c r="LB132" s="39"/>
      <c r="LC132" s="39"/>
      <c r="LD132" s="39"/>
      <c r="LE132" s="39"/>
      <c r="LF132" s="39"/>
      <c r="LG132" s="39"/>
      <c r="LH132" s="39"/>
      <c r="LI132" s="39"/>
      <c r="LJ132" s="39"/>
      <c r="LK132" s="39"/>
      <c r="LL132" s="39"/>
      <c r="LM132" s="39"/>
      <c r="LN132" s="39"/>
      <c r="LO132" s="39"/>
      <c r="LP132" s="39"/>
      <c r="LQ132" s="39"/>
      <c r="LR132" s="39"/>
      <c r="LS132" s="39"/>
      <c r="LT132" s="39"/>
      <c r="LU132" s="39"/>
      <c r="LV132" s="39"/>
      <c r="LW132" s="39"/>
      <c r="LX132" s="39"/>
      <c r="LY132" s="39"/>
      <c r="LZ132" s="39"/>
      <c r="MA132" s="39"/>
      <c r="MB132" s="39"/>
      <c r="MC132" s="39"/>
      <c r="MD132" s="39"/>
      <c r="ME132" s="39"/>
      <c r="MF132" s="39"/>
      <c r="MG132" s="39"/>
      <c r="MH132" s="39"/>
      <c r="MI132" s="39"/>
      <c r="MJ132" s="39"/>
      <c r="MK132" s="39"/>
      <c r="ML132" s="39"/>
      <c r="MM132" s="39"/>
      <c r="MN132" s="39"/>
      <c r="MO132" s="39"/>
      <c r="MP132" s="39"/>
      <c r="MQ132" s="39"/>
      <c r="MR132" s="39"/>
      <c r="MS132" s="39"/>
      <c r="MT132" s="39"/>
      <c r="MU132" s="39"/>
      <c r="MV132" s="39"/>
      <c r="MW132" s="39"/>
      <c r="MX132" s="39"/>
      <c r="MY132" s="39"/>
      <c r="MZ132" s="39"/>
      <c r="NA132" s="39"/>
      <c r="NB132" s="39"/>
      <c r="NC132" s="39"/>
      <c r="ND132" s="39"/>
      <c r="NE132" s="39"/>
      <c r="NF132" s="39"/>
      <c r="NG132" s="39"/>
      <c r="NH132" s="39"/>
      <c r="NI132" s="39"/>
      <c r="NJ132" s="39"/>
      <c r="NK132" s="39"/>
      <c r="NL132" s="39"/>
      <c r="NM132" s="39"/>
      <c r="NN132" s="39"/>
      <c r="NO132" s="39"/>
      <c r="NP132" s="39"/>
      <c r="NQ132" s="39"/>
      <c r="NR132" s="39"/>
      <c r="NS132" s="39"/>
      <c r="NT132" s="39"/>
      <c r="NU132" s="39"/>
      <c r="NV132" s="39"/>
      <c r="NW132" s="39"/>
      <c r="NX132" s="39"/>
      <c r="NY132" s="39"/>
      <c r="NZ132" s="39"/>
      <c r="OA132" s="39"/>
      <c r="OB132" s="39"/>
      <c r="OC132" s="39"/>
      <c r="OD132" s="39"/>
      <c r="OE132" s="39"/>
      <c r="OF132" s="39"/>
      <c r="OG132" s="39"/>
      <c r="OH132" s="39"/>
      <c r="OI132" s="39"/>
      <c r="OJ132" s="39"/>
      <c r="OK132" s="39"/>
      <c r="OL132" s="39"/>
      <c r="OM132" s="39"/>
      <c r="ON132" s="39"/>
      <c r="OO132" s="39"/>
      <c r="OP132" s="39"/>
      <c r="OQ132" s="39"/>
      <c r="OR132" s="39"/>
      <c r="OS132" s="39"/>
      <c r="OT132" s="39"/>
      <c r="OU132" s="39"/>
      <c r="OV132" s="39"/>
      <c r="OW132" s="39"/>
      <c r="OX132" s="39"/>
      <c r="OY132" s="39"/>
      <c r="OZ132" s="39"/>
      <c r="PA132" s="39"/>
      <c r="PB132" s="39"/>
      <c r="PC132" s="39"/>
      <c r="PD132" s="39"/>
      <c r="PE132" s="39"/>
      <c r="PF132" s="39"/>
      <c r="PG132" s="39"/>
      <c r="PH132" s="39"/>
      <c r="PI132" s="39"/>
      <c r="PJ132" s="39"/>
      <c r="PK132" s="39"/>
      <c r="PL132" s="39"/>
      <c r="PM132" s="39"/>
      <c r="PN132" s="39"/>
      <c r="PO132" s="39"/>
      <c r="PP132" s="39"/>
      <c r="PQ132" s="39"/>
      <c r="PR132" s="39"/>
      <c r="PS132" s="39"/>
      <c r="PT132" s="39"/>
      <c r="PU132" s="39"/>
      <c r="PV132" s="39"/>
      <c r="PW132" s="39"/>
      <c r="PX132" s="39"/>
      <c r="PY132" s="39"/>
      <c r="PZ132" s="39"/>
      <c r="QA132" s="39"/>
      <c r="QB132" s="39"/>
      <c r="QC132" s="39"/>
      <c r="QD132" s="39"/>
      <c r="QE132" s="39"/>
      <c r="QF132" s="39"/>
      <c r="QG132" s="39"/>
      <c r="QH132" s="39"/>
      <c r="QI132" s="39"/>
      <c r="QJ132" s="39"/>
      <c r="QK132" s="39"/>
      <c r="QL132" s="39"/>
      <c r="QM132" s="39"/>
      <c r="QN132" s="39"/>
      <c r="QO132" s="39"/>
      <c r="QP132" s="39"/>
      <c r="QQ132" s="39"/>
      <c r="QR132" s="39"/>
      <c r="QS132" s="39"/>
      <c r="QT132" s="39"/>
      <c r="QU132" s="39"/>
      <c r="QV132" s="39"/>
      <c r="QW132" s="39"/>
      <c r="QX132" s="39"/>
      <c r="QY132" s="39"/>
      <c r="QZ132" s="39"/>
      <c r="RA132" s="39"/>
      <c r="RB132" s="39"/>
      <c r="RC132" s="39"/>
      <c r="RD132" s="39"/>
      <c r="RE132" s="39"/>
      <c r="RF132" s="39"/>
      <c r="RG132" s="39"/>
      <c r="RH132" s="39"/>
      <c r="RI132" s="39"/>
      <c r="RJ132" s="39"/>
      <c r="RK132" s="39"/>
      <c r="RL132" s="39"/>
      <c r="RM132" s="39"/>
      <c r="RN132" s="39"/>
      <c r="RO132" s="39"/>
      <c r="RP132" s="39"/>
      <c r="RQ132" s="39"/>
      <c r="RR132" s="39"/>
      <c r="RS132" s="39"/>
      <c r="RT132" s="39"/>
      <c r="RU132" s="39"/>
      <c r="RV132" s="39"/>
      <c r="RW132" s="39"/>
      <c r="RX132" s="39"/>
      <c r="RY132" s="39"/>
      <c r="RZ132" s="39"/>
      <c r="SA132" s="39"/>
      <c r="SB132" s="39"/>
      <c r="SC132" s="39"/>
      <c r="SD132" s="39"/>
      <c r="SE132" s="39"/>
      <c r="SF132" s="39"/>
      <c r="SG132" s="39"/>
      <c r="SH132" s="39"/>
      <c r="SI132" s="39"/>
      <c r="SJ132" s="39"/>
      <c r="SK132" s="39"/>
      <c r="SL132" s="39"/>
      <c r="SM132" s="39"/>
      <c r="SN132" s="39"/>
      <c r="SO132" s="39"/>
      <c r="SP132" s="39"/>
      <c r="SQ132" s="39"/>
      <c r="SR132" s="39"/>
      <c r="SS132" s="39"/>
      <c r="ST132" s="39"/>
      <c r="SU132" s="39"/>
      <c r="SV132" s="39"/>
      <c r="SW132" s="39"/>
      <c r="SX132" s="39"/>
      <c r="SY132" s="39"/>
      <c r="SZ132" s="39"/>
      <c r="TA132" s="39"/>
      <c r="TB132" s="39"/>
      <c r="TC132" s="39"/>
      <c r="TD132" s="39"/>
      <c r="TE132" s="39"/>
      <c r="TF132" s="39"/>
      <c r="TG132" s="39"/>
      <c r="TH132" s="39"/>
      <c r="TI132" s="39"/>
    </row>
    <row r="133" spans="1:529" s="23" customFormat="1" ht="48.75" customHeight="1" x14ac:dyDescent="0.25">
      <c r="A133" s="43" t="s">
        <v>233</v>
      </c>
      <c r="B133" s="44" t="str">
        <f>'дод 4'!A19</f>
        <v>0160</v>
      </c>
      <c r="C133" s="44" t="str">
        <f>'дод 4'!B19</f>
        <v>0111</v>
      </c>
      <c r="D133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33" s="69">
        <f t="shared" ref="E133:E155" si="66">F133+I133</f>
        <v>13530800</v>
      </c>
      <c r="F133" s="69">
        <f>13873900+90800-678700+244800</f>
        <v>13530800</v>
      </c>
      <c r="G133" s="69">
        <f>10990800-556300</f>
        <v>10434500</v>
      </c>
      <c r="H133" s="69">
        <v>164000</v>
      </c>
      <c r="I133" s="69"/>
      <c r="J133" s="69">
        <f>L133+O133</f>
        <v>0</v>
      </c>
      <c r="K133" s="69"/>
      <c r="L133" s="69"/>
      <c r="M133" s="69"/>
      <c r="N133" s="69"/>
      <c r="O133" s="69"/>
      <c r="P133" s="69">
        <f t="shared" ref="P133:P155" si="67">E133+J133</f>
        <v>13530800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</row>
    <row r="134" spans="1:529" s="23" customFormat="1" ht="19.5" customHeight="1" x14ac:dyDescent="0.25">
      <c r="A134" s="52" t="s">
        <v>352</v>
      </c>
      <c r="B134" s="45" t="str">
        <f>'дод 4'!A72</f>
        <v>3210</v>
      </c>
      <c r="C134" s="45" t="str">
        <f>'дод 4'!B72</f>
        <v>1050</v>
      </c>
      <c r="D134" s="22" t="str">
        <f>'дод 4'!C72</f>
        <v>Організація та проведення громадських робіт</v>
      </c>
      <c r="E134" s="69">
        <f t="shared" si="66"/>
        <v>400000</v>
      </c>
      <c r="F134" s="69">
        <v>400000</v>
      </c>
      <c r="G134" s="69"/>
      <c r="H134" s="69"/>
      <c r="I134" s="69"/>
      <c r="J134" s="69">
        <f t="shared" ref="J134:J155" si="68">L134+O134</f>
        <v>0</v>
      </c>
      <c r="K134" s="69"/>
      <c r="L134" s="69"/>
      <c r="M134" s="69"/>
      <c r="N134" s="69"/>
      <c r="O134" s="69"/>
      <c r="P134" s="69">
        <f t="shared" si="67"/>
        <v>400000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</row>
    <row r="135" spans="1:529" s="23" customFormat="1" ht="38.25" customHeight="1" x14ac:dyDescent="0.25">
      <c r="A135" s="43" t="s">
        <v>234</v>
      </c>
      <c r="B135" s="44" t="str">
        <f>'дод 4'!A88</f>
        <v>6011</v>
      </c>
      <c r="C135" s="44" t="str">
        <f>'дод 4'!B88</f>
        <v>0610</v>
      </c>
      <c r="D135" s="24" t="str">
        <f>'дод 4'!C88</f>
        <v>Експлуатація та технічне обслуговування житлового фонду</v>
      </c>
      <c r="E135" s="69">
        <f t="shared" si="66"/>
        <v>0</v>
      </c>
      <c r="F135" s="69"/>
      <c r="G135" s="69"/>
      <c r="H135" s="69"/>
      <c r="I135" s="69"/>
      <c r="J135" s="69">
        <f t="shared" si="68"/>
        <v>10918067.93</v>
      </c>
      <c r="K135" s="69">
        <f>20000000-4500000-5000000-1188215.76-766.31+827545+291000+100000+309505+49000</f>
        <v>10888067.93</v>
      </c>
      <c r="L135" s="69"/>
      <c r="M135" s="69"/>
      <c r="N135" s="69"/>
      <c r="O135" s="69">
        <f>20000000+30000-4500000-5000000-1188215.76-766.31+827545+291000+100000+309505+49000</f>
        <v>10918067.93</v>
      </c>
      <c r="P135" s="69">
        <f t="shared" si="67"/>
        <v>10918067.93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</row>
    <row r="136" spans="1:529" s="23" customFormat="1" ht="33" customHeight="1" x14ac:dyDescent="0.25">
      <c r="A136" s="43" t="s">
        <v>235</v>
      </c>
      <c r="B136" s="44" t="str">
        <f>'дод 4'!A89</f>
        <v>6013</v>
      </c>
      <c r="C136" s="44" t="str">
        <f>'дод 4'!B89</f>
        <v>0620</v>
      </c>
      <c r="D136" s="24" t="str">
        <f>'дод 4'!C89</f>
        <v>Забезпечення діяльності водопровідно-каналізаційного господарства</v>
      </c>
      <c r="E136" s="69">
        <f t="shared" si="66"/>
        <v>30925000</v>
      </c>
      <c r="F136" s="69">
        <f>775000-350000</f>
        <v>425000</v>
      </c>
      <c r="G136" s="69"/>
      <c r="H136" s="69"/>
      <c r="I136" s="69">
        <f>30150000+350000</f>
        <v>30500000</v>
      </c>
      <c r="J136" s="69">
        <f t="shared" si="68"/>
        <v>1721000</v>
      </c>
      <c r="K136" s="69">
        <f>1700000+20000+1000</f>
        <v>1721000</v>
      </c>
      <c r="L136" s="69"/>
      <c r="M136" s="69"/>
      <c r="N136" s="69"/>
      <c r="O136" s="69">
        <f>1700000+20000+1000</f>
        <v>1721000</v>
      </c>
      <c r="P136" s="69">
        <f t="shared" si="67"/>
        <v>32646000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</row>
    <row r="137" spans="1:529" s="23" customFormat="1" ht="27.75" customHeight="1" x14ac:dyDescent="0.25">
      <c r="A137" s="43" t="s">
        <v>301</v>
      </c>
      <c r="B137" s="44" t="str">
        <f>'дод 4'!A90</f>
        <v>6015</v>
      </c>
      <c r="C137" s="44" t="str">
        <f>'дод 4'!B90</f>
        <v>0620</v>
      </c>
      <c r="D137" s="24" t="str">
        <f>'дод 4'!C90</f>
        <v>Забезпечення надійної та безперебійної експлуатації ліфтів</v>
      </c>
      <c r="E137" s="69">
        <f t="shared" si="66"/>
        <v>193887</v>
      </c>
      <c r="F137" s="69">
        <f>200000-6113</f>
        <v>193887</v>
      </c>
      <c r="G137" s="69"/>
      <c r="H137" s="69"/>
      <c r="I137" s="69"/>
      <c r="J137" s="69">
        <f t="shared" si="68"/>
        <v>13408448.83</v>
      </c>
      <c r="K137" s="69">
        <f>15000000+9-1500000-405560.17+164000+100000</f>
        <v>13358448.83</v>
      </c>
      <c r="L137" s="69"/>
      <c r="M137" s="69"/>
      <c r="N137" s="69"/>
      <c r="O137" s="69">
        <f>15000000+50000+9-1500000-405560.17+164000+100000</f>
        <v>13408448.83</v>
      </c>
      <c r="P137" s="69">
        <f t="shared" si="67"/>
        <v>13602335.83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</row>
    <row r="138" spans="1:529" s="23" customFormat="1" ht="38.25" customHeight="1" x14ac:dyDescent="0.25">
      <c r="A138" s="43" t="s">
        <v>304</v>
      </c>
      <c r="B138" s="44" t="str">
        <f>'дод 4'!A91</f>
        <v>6017</v>
      </c>
      <c r="C138" s="44" t="str">
        <f>'дод 4'!B91</f>
        <v>0620</v>
      </c>
      <c r="D138" s="24" t="str">
        <f>'дод 4'!C91</f>
        <v>Інша діяльність, пов’язана з експлуатацією об’єктів житлово-комунального господарства</v>
      </c>
      <c r="E138" s="69">
        <f t="shared" si="66"/>
        <v>100000</v>
      </c>
      <c r="F138" s="69">
        <v>100000</v>
      </c>
      <c r="G138" s="69"/>
      <c r="H138" s="69"/>
      <c r="I138" s="69"/>
      <c r="J138" s="69">
        <f t="shared" si="68"/>
        <v>0</v>
      </c>
      <c r="K138" s="69"/>
      <c r="L138" s="69"/>
      <c r="M138" s="69"/>
      <c r="N138" s="69"/>
      <c r="O138" s="69"/>
      <c r="P138" s="69">
        <f t="shared" si="67"/>
        <v>100000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</row>
    <row r="139" spans="1:529" s="23" customFormat="1" ht="45" x14ac:dyDescent="0.25">
      <c r="A139" s="43" t="s">
        <v>236</v>
      </c>
      <c r="B139" s="44" t="str">
        <f>'дод 4'!A92</f>
        <v>6020</v>
      </c>
      <c r="C139" s="44" t="str">
        <f>'дод 4'!B92</f>
        <v>0620</v>
      </c>
      <c r="D139" s="24" t="str">
        <f>'дод 4'!C92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39" s="69">
        <f t="shared" si="66"/>
        <v>2595232</v>
      </c>
      <c r="F139" s="69"/>
      <c r="G139" s="69"/>
      <c r="H139" s="69"/>
      <c r="I139" s="69">
        <v>2595232</v>
      </c>
      <c r="J139" s="69">
        <f t="shared" si="68"/>
        <v>2000000</v>
      </c>
      <c r="K139" s="69">
        <v>2000000</v>
      </c>
      <c r="L139" s="69"/>
      <c r="M139" s="69"/>
      <c r="N139" s="69"/>
      <c r="O139" s="69">
        <v>2000000</v>
      </c>
      <c r="P139" s="69">
        <f t="shared" si="67"/>
        <v>4595232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</row>
    <row r="140" spans="1:529" s="23" customFormat="1" ht="21.75" customHeight="1" x14ac:dyDescent="0.25">
      <c r="A140" s="43" t="s">
        <v>237</v>
      </c>
      <c r="B140" s="44" t="str">
        <f>'дод 4'!A93</f>
        <v>6030</v>
      </c>
      <c r="C140" s="44" t="str">
        <f>'дод 4'!B93</f>
        <v>0620</v>
      </c>
      <c r="D140" s="24" t="str">
        <f>'дод 4'!C93</f>
        <v>Організація благоустрою населених пунктів</v>
      </c>
      <c r="E140" s="69">
        <f t="shared" si="66"/>
        <v>191582486.56999999</v>
      </c>
      <c r="F140" s="69">
        <f>191911836-108000-2000000-100000-2000000+2907700+786500+575000+788511.57-2000000+199000-300000-100000+489939+100000-95000+377000+150000</f>
        <v>191582486.56999999</v>
      </c>
      <c r="G140" s="69"/>
      <c r="H140" s="69">
        <v>27870906</v>
      </c>
      <c r="I140" s="69"/>
      <c r="J140" s="69">
        <f t="shared" si="68"/>
        <v>35624304.150000006</v>
      </c>
      <c r="K140" s="69">
        <f>27800000+1000000+5000000+5550000-5000000+150000+100000-4000000+10112784.63-4629526.59+12715677.07-18000+75000+110000-575000+163369.04+569000-199000-6600000-6700000</f>
        <v>35624304.150000006</v>
      </c>
      <c r="L140" s="71"/>
      <c r="M140" s="69"/>
      <c r="N140" s="69"/>
      <c r="O140" s="69">
        <f>27800000+1000000+5000000+5550000-5000000+150000+100000-4000000+10112784.63-4629526.59+12715677.07-18000+75000+110000-575000+163369.04+569000-199000-6600000-6700000</f>
        <v>35624304.150000006</v>
      </c>
      <c r="P140" s="69">
        <f t="shared" si="67"/>
        <v>227206790.72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</row>
    <row r="141" spans="1:529" s="23" customFormat="1" ht="31.5" customHeight="1" x14ac:dyDescent="0.25">
      <c r="A141" s="43" t="s">
        <v>294</v>
      </c>
      <c r="B141" s="44" t="str">
        <f>'дод 4'!A95</f>
        <v>6090</v>
      </c>
      <c r="C141" s="44" t="str">
        <f>'дод 4'!B95</f>
        <v>0640</v>
      </c>
      <c r="D141" s="24" t="str">
        <f>'дод 4'!C95</f>
        <v>Інша діяльність у сфері житлово-комунального господарства</v>
      </c>
      <c r="E141" s="69">
        <f t="shared" si="66"/>
        <v>13944346.390000001</v>
      </c>
      <c r="F141" s="69">
        <f>16709746+579084+27300000-4300-19001249-1991050-1006880.61-569000-70000-70000-100000-5170304-100000-2351000-49000-166000</f>
        <v>13940046.390000001</v>
      </c>
      <c r="G141" s="69"/>
      <c r="H141" s="69">
        <v>42400</v>
      </c>
      <c r="I141" s="69">
        <v>4300</v>
      </c>
      <c r="J141" s="69">
        <f t="shared" si="68"/>
        <v>800708.78999999911</v>
      </c>
      <c r="K141" s="69">
        <f>21793738-10545638.97-1288734.74-6359655.5-305000-2494000</f>
        <v>800708.78999999911</v>
      </c>
      <c r="L141" s="69"/>
      <c r="M141" s="69"/>
      <c r="N141" s="69"/>
      <c r="O141" s="69">
        <f>21793738-10545638.97-1288734.74-6359655.5-305000-2494000</f>
        <v>800708.78999999911</v>
      </c>
      <c r="P141" s="69">
        <f t="shared" si="67"/>
        <v>14745055.18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</row>
    <row r="142" spans="1:529" s="23" customFormat="1" ht="33" customHeight="1" x14ac:dyDescent="0.25">
      <c r="A142" s="43" t="s">
        <v>314</v>
      </c>
      <c r="B142" s="44" t="str">
        <f>'дод 4'!A102</f>
        <v>7310</v>
      </c>
      <c r="C142" s="44" t="str">
        <f>'дод 4'!B102</f>
        <v>0443</v>
      </c>
      <c r="D142" s="24" t="str">
        <f>'дод 4'!C102</f>
        <v>Будівництво об'єктів житлово-комунального господарства</v>
      </c>
      <c r="E142" s="69">
        <f t="shared" si="66"/>
        <v>0</v>
      </c>
      <c r="F142" s="69"/>
      <c r="G142" s="69"/>
      <c r="H142" s="69"/>
      <c r="I142" s="69"/>
      <c r="J142" s="69">
        <f t="shared" si="68"/>
        <v>8856097.7599999979</v>
      </c>
      <c r="K142" s="69">
        <f>12540000-60000+40000+8953612-4000000+2338215.76-3000+2000-8410000-1200000-494730+230000-1380000+300000</f>
        <v>8856097.7599999979</v>
      </c>
      <c r="L142" s="69"/>
      <c r="M142" s="69"/>
      <c r="N142" s="69"/>
      <c r="O142" s="69">
        <f>12540000-60000+40000+8953612-4000000+2338215.76-3000+2000-8410000-1200000-494730+230000-1380000+300000</f>
        <v>8856097.7599999979</v>
      </c>
      <c r="P142" s="69">
        <f t="shared" si="67"/>
        <v>8856097.7599999979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</row>
    <row r="143" spans="1:529" s="23" customFormat="1" ht="21.75" customHeight="1" x14ac:dyDescent="0.25">
      <c r="A143" s="43" t="s">
        <v>316</v>
      </c>
      <c r="B143" s="44" t="str">
        <f>'дод 4'!A106</f>
        <v>7330</v>
      </c>
      <c r="C143" s="44" t="str">
        <f>'дод 4'!B106</f>
        <v>0443</v>
      </c>
      <c r="D143" s="24" t="str">
        <f>'дод 4'!C106</f>
        <v>Будівництво інших об'єктів комунальної власності</v>
      </c>
      <c r="E143" s="69">
        <f t="shared" si="66"/>
        <v>0</v>
      </c>
      <c r="F143" s="69"/>
      <c r="G143" s="69"/>
      <c r="H143" s="69"/>
      <c r="I143" s="69"/>
      <c r="J143" s="69">
        <f t="shared" si="68"/>
        <v>5758998.7699999996</v>
      </c>
      <c r="K143" s="69">
        <f>15750000+4777000+3000-50000-100000-5550000-700000+550000-4000000+432854.34-1950000+4818144.43+210000+68000-8500000</f>
        <v>5758998.7699999996</v>
      </c>
      <c r="L143" s="69"/>
      <c r="M143" s="69"/>
      <c r="N143" s="69"/>
      <c r="O143" s="69">
        <f>15750000+4777000+3000-50000-100000-5550000-700000+550000-4000000+432854.34-1950000+4818144.43+210000+68000-8500000</f>
        <v>5758998.7699999996</v>
      </c>
      <c r="P143" s="69">
        <f t="shared" si="67"/>
        <v>5758998.7699999996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</row>
    <row r="144" spans="1:529" s="23" customFormat="1" ht="49.5" customHeight="1" x14ac:dyDescent="0.25">
      <c r="A144" s="43" t="s">
        <v>447</v>
      </c>
      <c r="B144" s="44">
        <f>'дод 4'!A108</f>
        <v>7361</v>
      </c>
      <c r="C144" s="44" t="str">
        <f>'дод 4'!B108</f>
        <v>0490</v>
      </c>
      <c r="D144" s="24" t="str">
        <f>'дод 4'!C108</f>
        <v>Співфінансування інвестиційних проектів, що реалізуються за рахунок коштів державного фонду регіонального розвитку</v>
      </c>
      <c r="E144" s="69">
        <f t="shared" si="66"/>
        <v>0</v>
      </c>
      <c r="F144" s="69"/>
      <c r="G144" s="69"/>
      <c r="H144" s="69"/>
      <c r="I144" s="69"/>
      <c r="J144" s="69">
        <f t="shared" si="68"/>
        <v>1386113</v>
      </c>
      <c r="K144" s="69">
        <v>1386113</v>
      </c>
      <c r="L144" s="69"/>
      <c r="M144" s="69"/>
      <c r="N144" s="69"/>
      <c r="O144" s="69">
        <v>1386113</v>
      </c>
      <c r="P144" s="69">
        <f t="shared" si="67"/>
        <v>1386113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</row>
    <row r="145" spans="1:529" s="23" customFormat="1" ht="29.25" customHeight="1" x14ac:dyDescent="0.25">
      <c r="A145" s="43" t="s">
        <v>238</v>
      </c>
      <c r="B145" s="44" t="str">
        <f>'дод 4'!A107</f>
        <v>7340</v>
      </c>
      <c r="C145" s="44" t="str">
        <f>'дод 4'!B107</f>
        <v>0443</v>
      </c>
      <c r="D145" s="24" t="str">
        <f>'дод 4'!C107</f>
        <v>Проектування, реставрація та охорона пам'яток архітектури</v>
      </c>
      <c r="E145" s="69">
        <f t="shared" si="66"/>
        <v>0</v>
      </c>
      <c r="F145" s="69"/>
      <c r="G145" s="69"/>
      <c r="H145" s="69"/>
      <c r="I145" s="69"/>
      <c r="J145" s="69">
        <f t="shared" si="68"/>
        <v>3000000</v>
      </c>
      <c r="K145" s="69">
        <v>3000000</v>
      </c>
      <c r="L145" s="69"/>
      <c r="M145" s="69"/>
      <c r="N145" s="69"/>
      <c r="O145" s="69">
        <v>3000000</v>
      </c>
      <c r="P145" s="69">
        <f t="shared" si="67"/>
        <v>3000000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</row>
    <row r="146" spans="1:529" s="23" customFormat="1" ht="30" x14ac:dyDescent="0.25">
      <c r="A146" s="43">
        <v>1217362</v>
      </c>
      <c r="B146" s="44">
        <f>'дод 4'!A109</f>
        <v>7362</v>
      </c>
      <c r="C146" s="44" t="str">
        <f>'дод 4'!B109</f>
        <v>0490</v>
      </c>
      <c r="D146" s="24" t="str">
        <f>'дод 4'!C109</f>
        <v>Виконання інвестиційних проектів в рамках підтримки розвитку об'єднаних територіальних громад</v>
      </c>
      <c r="E146" s="69">
        <f t="shared" si="66"/>
        <v>0</v>
      </c>
      <c r="F146" s="69"/>
      <c r="G146" s="69"/>
      <c r="H146" s="69"/>
      <c r="I146" s="69"/>
      <c r="J146" s="69">
        <f t="shared" si="68"/>
        <v>75600</v>
      </c>
      <c r="K146" s="69">
        <v>75600</v>
      </c>
      <c r="L146" s="69"/>
      <c r="M146" s="69"/>
      <c r="N146" s="69"/>
      <c r="O146" s="69">
        <v>75600</v>
      </c>
      <c r="P146" s="69">
        <f t="shared" si="67"/>
        <v>75600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</row>
    <row r="147" spans="1:529" s="23" customFormat="1" ht="45" x14ac:dyDescent="0.25">
      <c r="A147" s="43" t="s">
        <v>442</v>
      </c>
      <c r="B147" s="44">
        <v>7363</v>
      </c>
      <c r="C147" s="117" t="s">
        <v>102</v>
      </c>
      <c r="D147" s="118" t="s">
        <v>438</v>
      </c>
      <c r="E147" s="69">
        <f t="shared" si="66"/>
        <v>0</v>
      </c>
      <c r="F147" s="69"/>
      <c r="G147" s="69"/>
      <c r="H147" s="69"/>
      <c r="I147" s="69"/>
      <c r="J147" s="69">
        <f t="shared" si="68"/>
        <v>956186.69000000006</v>
      </c>
      <c r="K147" s="69">
        <f>18766.31+937420.38</f>
        <v>956186.69000000006</v>
      </c>
      <c r="L147" s="69"/>
      <c r="M147" s="69"/>
      <c r="N147" s="69"/>
      <c r="O147" s="69">
        <f>18766.31+937420.38</f>
        <v>956186.69000000006</v>
      </c>
      <c r="P147" s="69">
        <f t="shared" si="67"/>
        <v>956186.69000000006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</row>
    <row r="148" spans="1:529" s="23" customFormat="1" x14ac:dyDescent="0.25">
      <c r="A148" s="43"/>
      <c r="B148" s="44"/>
      <c r="C148" s="44"/>
      <c r="D148" s="22" t="s">
        <v>308</v>
      </c>
      <c r="E148" s="69">
        <f t="shared" si="66"/>
        <v>0</v>
      </c>
      <c r="F148" s="69"/>
      <c r="G148" s="69"/>
      <c r="H148" s="69"/>
      <c r="I148" s="69"/>
      <c r="J148" s="69">
        <f t="shared" si="68"/>
        <v>937420.38</v>
      </c>
      <c r="K148" s="69">
        <v>937420.38</v>
      </c>
      <c r="L148" s="69"/>
      <c r="M148" s="69"/>
      <c r="N148" s="69"/>
      <c r="O148" s="69">
        <v>937420.38</v>
      </c>
      <c r="P148" s="69">
        <f t="shared" si="67"/>
        <v>937420.38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</row>
    <row r="149" spans="1:529" s="134" customFormat="1" ht="37.5" customHeight="1" x14ac:dyDescent="0.25">
      <c r="A149" s="43" t="s">
        <v>453</v>
      </c>
      <c r="B149" s="44">
        <f>'дод 4'!A115</f>
        <v>7462</v>
      </c>
      <c r="C149" s="44">
        <f>'дод 4'!B115</f>
        <v>456</v>
      </c>
      <c r="D149" s="44" t="str">
        <f>'дод 4'!C115</f>
        <v>Утримання та розвиток автомобільних доріг та дорожньої інфраструктури за рахунок субвенції з державного бюджету</v>
      </c>
      <c r="E149" s="69">
        <f t="shared" ref="E149:E150" si="69">F149+I149</f>
        <v>0</v>
      </c>
      <c r="F149" s="69"/>
      <c r="G149" s="69"/>
      <c r="H149" s="69"/>
      <c r="I149" s="69"/>
      <c r="J149" s="69">
        <f t="shared" ref="J149:J150" si="70">L149+O149</f>
        <v>80000000</v>
      </c>
      <c r="K149" s="69"/>
      <c r="L149" s="69">
        <v>80000000</v>
      </c>
      <c r="M149" s="69"/>
      <c r="N149" s="69"/>
      <c r="O149" s="69"/>
      <c r="P149" s="69">
        <f t="shared" ref="P149:P150" si="71">E149+J149</f>
        <v>80000000</v>
      </c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133"/>
      <c r="CB149" s="133"/>
      <c r="CC149" s="133"/>
      <c r="CD149" s="133"/>
      <c r="CE149" s="133"/>
      <c r="CF149" s="133"/>
      <c r="CG149" s="133"/>
      <c r="CH149" s="133"/>
      <c r="CI149" s="133"/>
      <c r="CJ149" s="133"/>
      <c r="CK149" s="133"/>
      <c r="CL149" s="133"/>
      <c r="CM149" s="133"/>
      <c r="CN149" s="133"/>
      <c r="CO149" s="133"/>
      <c r="CP149" s="133"/>
      <c r="CQ149" s="133"/>
      <c r="CR149" s="133"/>
      <c r="CS149" s="133"/>
      <c r="CT149" s="133"/>
      <c r="CU149" s="133"/>
      <c r="CV149" s="133"/>
      <c r="CW149" s="133"/>
      <c r="CX149" s="133"/>
      <c r="CY149" s="133"/>
      <c r="CZ149" s="133"/>
      <c r="DA149" s="133"/>
      <c r="DB149" s="133"/>
      <c r="DC149" s="133"/>
      <c r="DD149" s="133"/>
      <c r="DE149" s="133"/>
      <c r="DF149" s="133"/>
      <c r="DG149" s="133"/>
      <c r="DH149" s="133"/>
      <c r="DI149" s="133"/>
      <c r="DJ149" s="133"/>
      <c r="DK149" s="133"/>
      <c r="DL149" s="133"/>
      <c r="DM149" s="133"/>
      <c r="DN149" s="133"/>
      <c r="DO149" s="133"/>
      <c r="DP149" s="133"/>
      <c r="DQ149" s="133"/>
      <c r="DR149" s="133"/>
      <c r="DS149" s="133"/>
      <c r="DT149" s="133"/>
      <c r="DU149" s="133"/>
      <c r="DV149" s="133"/>
      <c r="DW149" s="133"/>
      <c r="DX149" s="133"/>
      <c r="DY149" s="133"/>
      <c r="DZ149" s="133"/>
      <c r="EA149" s="133"/>
      <c r="EB149" s="133"/>
      <c r="EC149" s="133"/>
      <c r="ED149" s="133"/>
      <c r="EE149" s="133"/>
      <c r="EF149" s="133"/>
      <c r="EG149" s="133"/>
      <c r="EH149" s="133"/>
      <c r="EI149" s="133"/>
      <c r="EJ149" s="133"/>
      <c r="EK149" s="133"/>
      <c r="EL149" s="133"/>
      <c r="EM149" s="133"/>
      <c r="EN149" s="133"/>
      <c r="EO149" s="133"/>
      <c r="EP149" s="133"/>
      <c r="EQ149" s="133"/>
      <c r="ER149" s="133"/>
      <c r="ES149" s="133"/>
      <c r="ET149" s="133"/>
      <c r="EU149" s="133"/>
      <c r="EV149" s="133"/>
      <c r="EW149" s="133"/>
      <c r="EX149" s="133"/>
      <c r="EY149" s="133"/>
      <c r="EZ149" s="133"/>
      <c r="FA149" s="133"/>
      <c r="FB149" s="133"/>
      <c r="FC149" s="133"/>
      <c r="FD149" s="133"/>
      <c r="FE149" s="133"/>
      <c r="FF149" s="133"/>
      <c r="FG149" s="133"/>
      <c r="FH149" s="133"/>
      <c r="FI149" s="133"/>
      <c r="FJ149" s="133"/>
      <c r="FK149" s="133"/>
      <c r="FL149" s="133"/>
      <c r="FM149" s="133"/>
      <c r="FN149" s="133"/>
      <c r="FO149" s="133"/>
      <c r="FP149" s="133"/>
      <c r="FQ149" s="133"/>
      <c r="FR149" s="133"/>
      <c r="FS149" s="133"/>
      <c r="FT149" s="133"/>
      <c r="FU149" s="133"/>
      <c r="FV149" s="133"/>
      <c r="FW149" s="133"/>
      <c r="FX149" s="133"/>
      <c r="FY149" s="133"/>
      <c r="FZ149" s="133"/>
      <c r="GA149" s="133"/>
      <c r="GB149" s="133"/>
      <c r="GC149" s="133"/>
      <c r="GD149" s="133"/>
      <c r="GE149" s="133"/>
      <c r="GF149" s="133"/>
      <c r="GG149" s="133"/>
      <c r="GH149" s="133"/>
      <c r="GI149" s="133"/>
      <c r="GJ149" s="133"/>
      <c r="GK149" s="133"/>
      <c r="GL149" s="133"/>
      <c r="GM149" s="133"/>
      <c r="GN149" s="133"/>
      <c r="GO149" s="133"/>
      <c r="GP149" s="133"/>
      <c r="GQ149" s="133"/>
      <c r="GR149" s="133"/>
      <c r="GS149" s="133"/>
      <c r="GT149" s="133"/>
      <c r="GU149" s="133"/>
      <c r="GV149" s="133"/>
      <c r="GW149" s="133"/>
      <c r="GX149" s="133"/>
      <c r="GY149" s="133"/>
      <c r="GZ149" s="133"/>
      <c r="HA149" s="133"/>
      <c r="HB149" s="133"/>
      <c r="HC149" s="133"/>
      <c r="HD149" s="133"/>
      <c r="HE149" s="133"/>
      <c r="HF149" s="133"/>
      <c r="HG149" s="133"/>
      <c r="HH149" s="133"/>
      <c r="HI149" s="133"/>
      <c r="HJ149" s="133"/>
      <c r="HK149" s="133"/>
      <c r="HL149" s="133"/>
      <c r="HM149" s="133"/>
      <c r="HN149" s="133"/>
      <c r="HO149" s="133"/>
      <c r="HP149" s="133"/>
      <c r="HQ149" s="133"/>
      <c r="HR149" s="133"/>
      <c r="HS149" s="133"/>
      <c r="HT149" s="133"/>
      <c r="HU149" s="133"/>
      <c r="HV149" s="133"/>
      <c r="HW149" s="133"/>
      <c r="HX149" s="133"/>
      <c r="HY149" s="133"/>
      <c r="HZ149" s="133"/>
      <c r="IA149" s="133"/>
      <c r="IB149" s="133"/>
      <c r="IC149" s="133"/>
      <c r="ID149" s="133"/>
      <c r="IE149" s="133"/>
      <c r="IF149" s="133"/>
      <c r="IG149" s="133"/>
      <c r="IH149" s="133"/>
      <c r="II149" s="133"/>
      <c r="IJ149" s="133"/>
      <c r="IK149" s="133"/>
      <c r="IL149" s="133"/>
      <c r="IM149" s="133"/>
      <c r="IN149" s="133"/>
      <c r="IO149" s="133"/>
      <c r="IP149" s="133"/>
      <c r="IQ149" s="133"/>
      <c r="IR149" s="133"/>
      <c r="IS149" s="133"/>
      <c r="IT149" s="133"/>
      <c r="IU149" s="133"/>
      <c r="IV149" s="133"/>
      <c r="IW149" s="133"/>
      <c r="IX149" s="133"/>
      <c r="IY149" s="133"/>
      <c r="IZ149" s="133"/>
      <c r="JA149" s="133"/>
      <c r="JB149" s="133"/>
      <c r="JC149" s="133"/>
      <c r="JD149" s="133"/>
      <c r="JE149" s="133"/>
      <c r="JF149" s="133"/>
      <c r="JG149" s="133"/>
      <c r="JH149" s="133"/>
      <c r="JI149" s="133"/>
      <c r="JJ149" s="133"/>
      <c r="JK149" s="133"/>
      <c r="JL149" s="133"/>
      <c r="JM149" s="133"/>
      <c r="JN149" s="133"/>
      <c r="JO149" s="133"/>
      <c r="JP149" s="133"/>
      <c r="JQ149" s="133"/>
      <c r="JR149" s="133"/>
      <c r="JS149" s="133"/>
      <c r="JT149" s="133"/>
      <c r="JU149" s="133"/>
      <c r="JV149" s="133"/>
      <c r="JW149" s="133"/>
      <c r="JX149" s="133"/>
      <c r="JY149" s="133"/>
      <c r="JZ149" s="133"/>
      <c r="KA149" s="133"/>
      <c r="KB149" s="133"/>
      <c r="KC149" s="133"/>
      <c r="KD149" s="133"/>
      <c r="KE149" s="133"/>
      <c r="KF149" s="133"/>
      <c r="KG149" s="133"/>
      <c r="KH149" s="133"/>
      <c r="KI149" s="133"/>
      <c r="KJ149" s="133"/>
      <c r="KK149" s="133"/>
      <c r="KL149" s="133"/>
      <c r="KM149" s="133"/>
      <c r="KN149" s="133"/>
      <c r="KO149" s="133"/>
      <c r="KP149" s="133"/>
      <c r="KQ149" s="133"/>
      <c r="KR149" s="133"/>
      <c r="KS149" s="133"/>
      <c r="KT149" s="133"/>
      <c r="KU149" s="133"/>
      <c r="KV149" s="133"/>
      <c r="KW149" s="133"/>
      <c r="KX149" s="133"/>
      <c r="KY149" s="133"/>
      <c r="KZ149" s="133"/>
      <c r="LA149" s="133"/>
      <c r="LB149" s="133"/>
      <c r="LC149" s="133"/>
      <c r="LD149" s="133"/>
      <c r="LE149" s="133"/>
      <c r="LF149" s="133"/>
      <c r="LG149" s="133"/>
      <c r="LH149" s="133"/>
      <c r="LI149" s="133"/>
      <c r="LJ149" s="133"/>
      <c r="LK149" s="133"/>
      <c r="LL149" s="133"/>
      <c r="LM149" s="133"/>
      <c r="LN149" s="133"/>
      <c r="LO149" s="133"/>
      <c r="LP149" s="133"/>
      <c r="LQ149" s="133"/>
      <c r="LR149" s="133"/>
      <c r="LS149" s="133"/>
      <c r="LT149" s="133"/>
      <c r="LU149" s="133"/>
      <c r="LV149" s="133"/>
      <c r="LW149" s="133"/>
      <c r="LX149" s="133"/>
      <c r="LY149" s="133"/>
      <c r="LZ149" s="133"/>
      <c r="MA149" s="133"/>
      <c r="MB149" s="133"/>
      <c r="MC149" s="133"/>
      <c r="MD149" s="133"/>
      <c r="ME149" s="133"/>
      <c r="MF149" s="133"/>
      <c r="MG149" s="133"/>
      <c r="MH149" s="133"/>
      <c r="MI149" s="133"/>
      <c r="MJ149" s="133"/>
      <c r="MK149" s="133"/>
      <c r="ML149" s="133"/>
      <c r="MM149" s="133"/>
      <c r="MN149" s="133"/>
      <c r="MO149" s="133"/>
      <c r="MP149" s="133"/>
      <c r="MQ149" s="133"/>
      <c r="MR149" s="133"/>
      <c r="MS149" s="133"/>
      <c r="MT149" s="133"/>
      <c r="MU149" s="133"/>
      <c r="MV149" s="133"/>
      <c r="MW149" s="133"/>
      <c r="MX149" s="133"/>
      <c r="MY149" s="133"/>
      <c r="MZ149" s="133"/>
      <c r="NA149" s="133"/>
      <c r="NB149" s="133"/>
      <c r="NC149" s="133"/>
      <c r="ND149" s="133"/>
      <c r="NE149" s="133"/>
      <c r="NF149" s="133"/>
      <c r="NG149" s="133"/>
      <c r="NH149" s="133"/>
      <c r="NI149" s="133"/>
      <c r="NJ149" s="133"/>
      <c r="NK149" s="133"/>
      <c r="NL149" s="133"/>
      <c r="NM149" s="133"/>
      <c r="NN149" s="133"/>
      <c r="NO149" s="133"/>
      <c r="NP149" s="133"/>
      <c r="NQ149" s="133"/>
      <c r="NR149" s="133"/>
      <c r="NS149" s="133"/>
      <c r="NT149" s="133"/>
      <c r="NU149" s="133"/>
      <c r="NV149" s="133"/>
      <c r="NW149" s="133"/>
      <c r="NX149" s="133"/>
      <c r="NY149" s="133"/>
      <c r="NZ149" s="133"/>
      <c r="OA149" s="133"/>
      <c r="OB149" s="133"/>
      <c r="OC149" s="133"/>
      <c r="OD149" s="133"/>
      <c r="OE149" s="133"/>
      <c r="OF149" s="133"/>
      <c r="OG149" s="133"/>
      <c r="OH149" s="133"/>
      <c r="OI149" s="133"/>
      <c r="OJ149" s="133"/>
      <c r="OK149" s="133"/>
      <c r="OL149" s="133"/>
      <c r="OM149" s="133"/>
      <c r="ON149" s="133"/>
      <c r="OO149" s="133"/>
      <c r="OP149" s="133"/>
      <c r="OQ149" s="133"/>
      <c r="OR149" s="133"/>
      <c r="OS149" s="133"/>
      <c r="OT149" s="133"/>
      <c r="OU149" s="133"/>
      <c r="OV149" s="133"/>
      <c r="OW149" s="133"/>
      <c r="OX149" s="133"/>
      <c r="OY149" s="133"/>
      <c r="OZ149" s="133"/>
      <c r="PA149" s="133"/>
      <c r="PB149" s="133"/>
      <c r="PC149" s="133"/>
      <c r="PD149" s="133"/>
      <c r="PE149" s="133"/>
      <c r="PF149" s="133"/>
      <c r="PG149" s="133"/>
      <c r="PH149" s="133"/>
      <c r="PI149" s="133"/>
      <c r="PJ149" s="133"/>
      <c r="PK149" s="133"/>
      <c r="PL149" s="133"/>
      <c r="PM149" s="133"/>
      <c r="PN149" s="133"/>
      <c r="PO149" s="133"/>
      <c r="PP149" s="133"/>
      <c r="PQ149" s="133"/>
      <c r="PR149" s="133"/>
      <c r="PS149" s="133"/>
      <c r="PT149" s="133"/>
      <c r="PU149" s="133"/>
      <c r="PV149" s="133"/>
      <c r="PW149" s="133"/>
      <c r="PX149" s="133"/>
      <c r="PY149" s="133"/>
      <c r="PZ149" s="133"/>
      <c r="QA149" s="133"/>
      <c r="QB149" s="133"/>
      <c r="QC149" s="133"/>
      <c r="QD149" s="133"/>
      <c r="QE149" s="133"/>
      <c r="QF149" s="133"/>
      <c r="QG149" s="133"/>
      <c r="QH149" s="133"/>
      <c r="QI149" s="133"/>
      <c r="QJ149" s="133"/>
      <c r="QK149" s="133"/>
      <c r="QL149" s="133"/>
      <c r="QM149" s="133"/>
      <c r="QN149" s="133"/>
      <c r="QO149" s="133"/>
      <c r="QP149" s="133"/>
      <c r="QQ149" s="133"/>
      <c r="QR149" s="133"/>
      <c r="QS149" s="133"/>
      <c r="QT149" s="133"/>
      <c r="QU149" s="133"/>
      <c r="QV149" s="133"/>
      <c r="QW149" s="133"/>
      <c r="QX149" s="133"/>
      <c r="QY149" s="133"/>
      <c r="QZ149" s="133"/>
      <c r="RA149" s="133"/>
      <c r="RB149" s="133"/>
      <c r="RC149" s="133"/>
      <c r="RD149" s="133"/>
      <c r="RE149" s="133"/>
      <c r="RF149" s="133"/>
      <c r="RG149" s="133"/>
      <c r="RH149" s="133"/>
      <c r="RI149" s="133"/>
      <c r="RJ149" s="133"/>
      <c r="RK149" s="133"/>
      <c r="RL149" s="133"/>
      <c r="RM149" s="133"/>
      <c r="RN149" s="133"/>
      <c r="RO149" s="133"/>
      <c r="RP149" s="133"/>
      <c r="RQ149" s="133"/>
      <c r="RR149" s="133"/>
      <c r="RS149" s="133"/>
      <c r="RT149" s="133"/>
      <c r="RU149" s="133"/>
      <c r="RV149" s="133"/>
      <c r="RW149" s="133"/>
      <c r="RX149" s="133"/>
      <c r="RY149" s="133"/>
      <c r="RZ149" s="133"/>
      <c r="SA149" s="133"/>
      <c r="SB149" s="133"/>
      <c r="SC149" s="133"/>
      <c r="SD149" s="133"/>
      <c r="SE149" s="133"/>
      <c r="SF149" s="133"/>
      <c r="SG149" s="133"/>
      <c r="SH149" s="133"/>
      <c r="SI149" s="133"/>
      <c r="SJ149" s="133"/>
      <c r="SK149" s="133"/>
      <c r="SL149" s="133"/>
      <c r="SM149" s="133"/>
      <c r="SN149" s="133"/>
      <c r="SO149" s="133"/>
      <c r="SP149" s="133"/>
      <c r="SQ149" s="133"/>
      <c r="SR149" s="133"/>
      <c r="SS149" s="133"/>
      <c r="ST149" s="133"/>
      <c r="SU149" s="133"/>
      <c r="SV149" s="133"/>
      <c r="SW149" s="133"/>
      <c r="SX149" s="133"/>
      <c r="SY149" s="133"/>
      <c r="SZ149" s="133"/>
      <c r="TA149" s="133"/>
      <c r="TB149" s="133"/>
      <c r="TC149" s="133"/>
      <c r="TD149" s="133"/>
      <c r="TE149" s="133"/>
      <c r="TF149" s="133"/>
      <c r="TG149" s="133"/>
      <c r="TH149" s="133"/>
      <c r="TI149" s="133"/>
    </row>
    <row r="150" spans="1:529" s="134" customFormat="1" x14ac:dyDescent="0.25">
      <c r="A150" s="43"/>
      <c r="B150" s="44"/>
      <c r="C150" s="44"/>
      <c r="D150" s="22" t="s">
        <v>308</v>
      </c>
      <c r="E150" s="69">
        <f t="shared" si="69"/>
        <v>0</v>
      </c>
      <c r="F150" s="69"/>
      <c r="G150" s="69"/>
      <c r="H150" s="69"/>
      <c r="I150" s="69"/>
      <c r="J150" s="69">
        <f t="shared" si="70"/>
        <v>80000000</v>
      </c>
      <c r="K150" s="69"/>
      <c r="L150" s="69">
        <v>80000000</v>
      </c>
      <c r="M150" s="69"/>
      <c r="N150" s="69"/>
      <c r="O150" s="69"/>
      <c r="P150" s="69">
        <f t="shared" si="71"/>
        <v>80000000</v>
      </c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133"/>
      <c r="CA150" s="133"/>
      <c r="CB150" s="133"/>
      <c r="CC150" s="133"/>
      <c r="CD150" s="133"/>
      <c r="CE150" s="133"/>
      <c r="CF150" s="133"/>
      <c r="CG150" s="133"/>
      <c r="CH150" s="133"/>
      <c r="CI150" s="133"/>
      <c r="CJ150" s="133"/>
      <c r="CK150" s="133"/>
      <c r="CL150" s="133"/>
      <c r="CM150" s="133"/>
      <c r="CN150" s="133"/>
      <c r="CO150" s="133"/>
      <c r="CP150" s="133"/>
      <c r="CQ150" s="133"/>
      <c r="CR150" s="133"/>
      <c r="CS150" s="133"/>
      <c r="CT150" s="133"/>
      <c r="CU150" s="133"/>
      <c r="CV150" s="133"/>
      <c r="CW150" s="133"/>
      <c r="CX150" s="133"/>
      <c r="CY150" s="133"/>
      <c r="CZ150" s="133"/>
      <c r="DA150" s="133"/>
      <c r="DB150" s="133"/>
      <c r="DC150" s="133"/>
      <c r="DD150" s="133"/>
      <c r="DE150" s="133"/>
      <c r="DF150" s="133"/>
      <c r="DG150" s="133"/>
      <c r="DH150" s="133"/>
      <c r="DI150" s="133"/>
      <c r="DJ150" s="133"/>
      <c r="DK150" s="133"/>
      <c r="DL150" s="133"/>
      <c r="DM150" s="133"/>
      <c r="DN150" s="133"/>
      <c r="DO150" s="133"/>
      <c r="DP150" s="133"/>
      <c r="DQ150" s="133"/>
      <c r="DR150" s="133"/>
      <c r="DS150" s="133"/>
      <c r="DT150" s="133"/>
      <c r="DU150" s="133"/>
      <c r="DV150" s="133"/>
      <c r="DW150" s="133"/>
      <c r="DX150" s="133"/>
      <c r="DY150" s="133"/>
      <c r="DZ150" s="133"/>
      <c r="EA150" s="133"/>
      <c r="EB150" s="133"/>
      <c r="EC150" s="133"/>
      <c r="ED150" s="133"/>
      <c r="EE150" s="133"/>
      <c r="EF150" s="133"/>
      <c r="EG150" s="133"/>
      <c r="EH150" s="133"/>
      <c r="EI150" s="133"/>
      <c r="EJ150" s="133"/>
      <c r="EK150" s="133"/>
      <c r="EL150" s="133"/>
      <c r="EM150" s="133"/>
      <c r="EN150" s="133"/>
      <c r="EO150" s="133"/>
      <c r="EP150" s="133"/>
      <c r="EQ150" s="133"/>
      <c r="ER150" s="133"/>
      <c r="ES150" s="133"/>
      <c r="ET150" s="133"/>
      <c r="EU150" s="133"/>
      <c r="EV150" s="133"/>
      <c r="EW150" s="133"/>
      <c r="EX150" s="133"/>
      <c r="EY150" s="133"/>
      <c r="EZ150" s="133"/>
      <c r="FA150" s="133"/>
      <c r="FB150" s="133"/>
      <c r="FC150" s="133"/>
      <c r="FD150" s="133"/>
      <c r="FE150" s="133"/>
      <c r="FF150" s="133"/>
      <c r="FG150" s="133"/>
      <c r="FH150" s="133"/>
      <c r="FI150" s="133"/>
      <c r="FJ150" s="133"/>
      <c r="FK150" s="133"/>
      <c r="FL150" s="133"/>
      <c r="FM150" s="133"/>
      <c r="FN150" s="133"/>
      <c r="FO150" s="133"/>
      <c r="FP150" s="133"/>
      <c r="FQ150" s="133"/>
      <c r="FR150" s="133"/>
      <c r="FS150" s="133"/>
      <c r="FT150" s="133"/>
      <c r="FU150" s="133"/>
      <c r="FV150" s="133"/>
      <c r="FW150" s="133"/>
      <c r="FX150" s="133"/>
      <c r="FY150" s="133"/>
      <c r="FZ150" s="133"/>
      <c r="GA150" s="133"/>
      <c r="GB150" s="133"/>
      <c r="GC150" s="133"/>
      <c r="GD150" s="133"/>
      <c r="GE150" s="133"/>
      <c r="GF150" s="133"/>
      <c r="GG150" s="133"/>
      <c r="GH150" s="133"/>
      <c r="GI150" s="133"/>
      <c r="GJ150" s="133"/>
      <c r="GK150" s="133"/>
      <c r="GL150" s="133"/>
      <c r="GM150" s="133"/>
      <c r="GN150" s="133"/>
      <c r="GO150" s="133"/>
      <c r="GP150" s="133"/>
      <c r="GQ150" s="133"/>
      <c r="GR150" s="133"/>
      <c r="GS150" s="133"/>
      <c r="GT150" s="133"/>
      <c r="GU150" s="133"/>
      <c r="GV150" s="133"/>
      <c r="GW150" s="133"/>
      <c r="GX150" s="133"/>
      <c r="GY150" s="133"/>
      <c r="GZ150" s="133"/>
      <c r="HA150" s="133"/>
      <c r="HB150" s="133"/>
      <c r="HC150" s="133"/>
      <c r="HD150" s="133"/>
      <c r="HE150" s="133"/>
      <c r="HF150" s="133"/>
      <c r="HG150" s="133"/>
      <c r="HH150" s="133"/>
      <c r="HI150" s="133"/>
      <c r="HJ150" s="133"/>
      <c r="HK150" s="133"/>
      <c r="HL150" s="133"/>
      <c r="HM150" s="133"/>
      <c r="HN150" s="133"/>
      <c r="HO150" s="133"/>
      <c r="HP150" s="133"/>
      <c r="HQ150" s="133"/>
      <c r="HR150" s="133"/>
      <c r="HS150" s="133"/>
      <c r="HT150" s="133"/>
      <c r="HU150" s="133"/>
      <c r="HV150" s="133"/>
      <c r="HW150" s="133"/>
      <c r="HX150" s="133"/>
      <c r="HY150" s="133"/>
      <c r="HZ150" s="133"/>
      <c r="IA150" s="133"/>
      <c r="IB150" s="133"/>
      <c r="IC150" s="133"/>
      <c r="ID150" s="133"/>
      <c r="IE150" s="133"/>
      <c r="IF150" s="133"/>
      <c r="IG150" s="133"/>
      <c r="IH150" s="133"/>
      <c r="II150" s="133"/>
      <c r="IJ150" s="133"/>
      <c r="IK150" s="133"/>
      <c r="IL150" s="133"/>
      <c r="IM150" s="133"/>
      <c r="IN150" s="133"/>
      <c r="IO150" s="133"/>
      <c r="IP150" s="133"/>
      <c r="IQ150" s="133"/>
      <c r="IR150" s="133"/>
      <c r="IS150" s="133"/>
      <c r="IT150" s="133"/>
      <c r="IU150" s="133"/>
      <c r="IV150" s="133"/>
      <c r="IW150" s="133"/>
      <c r="IX150" s="133"/>
      <c r="IY150" s="133"/>
      <c r="IZ150" s="133"/>
      <c r="JA150" s="133"/>
      <c r="JB150" s="133"/>
      <c r="JC150" s="133"/>
      <c r="JD150" s="133"/>
      <c r="JE150" s="133"/>
      <c r="JF150" s="133"/>
      <c r="JG150" s="133"/>
      <c r="JH150" s="133"/>
      <c r="JI150" s="133"/>
      <c r="JJ150" s="133"/>
      <c r="JK150" s="133"/>
      <c r="JL150" s="133"/>
      <c r="JM150" s="133"/>
      <c r="JN150" s="133"/>
      <c r="JO150" s="133"/>
      <c r="JP150" s="133"/>
      <c r="JQ150" s="133"/>
      <c r="JR150" s="133"/>
      <c r="JS150" s="133"/>
      <c r="JT150" s="133"/>
      <c r="JU150" s="133"/>
      <c r="JV150" s="133"/>
      <c r="JW150" s="133"/>
      <c r="JX150" s="133"/>
      <c r="JY150" s="133"/>
      <c r="JZ150" s="133"/>
      <c r="KA150" s="133"/>
      <c r="KB150" s="133"/>
      <c r="KC150" s="133"/>
      <c r="KD150" s="133"/>
      <c r="KE150" s="133"/>
      <c r="KF150" s="133"/>
      <c r="KG150" s="133"/>
      <c r="KH150" s="133"/>
      <c r="KI150" s="133"/>
      <c r="KJ150" s="133"/>
      <c r="KK150" s="133"/>
      <c r="KL150" s="133"/>
      <c r="KM150" s="133"/>
      <c r="KN150" s="133"/>
      <c r="KO150" s="133"/>
      <c r="KP150" s="133"/>
      <c r="KQ150" s="133"/>
      <c r="KR150" s="133"/>
      <c r="KS150" s="133"/>
      <c r="KT150" s="133"/>
      <c r="KU150" s="133"/>
      <c r="KV150" s="133"/>
      <c r="KW150" s="133"/>
      <c r="KX150" s="133"/>
      <c r="KY150" s="133"/>
      <c r="KZ150" s="133"/>
      <c r="LA150" s="133"/>
      <c r="LB150" s="133"/>
      <c r="LC150" s="133"/>
      <c r="LD150" s="133"/>
      <c r="LE150" s="133"/>
      <c r="LF150" s="133"/>
      <c r="LG150" s="133"/>
      <c r="LH150" s="133"/>
      <c r="LI150" s="133"/>
      <c r="LJ150" s="133"/>
      <c r="LK150" s="133"/>
      <c r="LL150" s="133"/>
      <c r="LM150" s="133"/>
      <c r="LN150" s="133"/>
      <c r="LO150" s="133"/>
      <c r="LP150" s="133"/>
      <c r="LQ150" s="133"/>
      <c r="LR150" s="133"/>
      <c r="LS150" s="133"/>
      <c r="LT150" s="133"/>
      <c r="LU150" s="133"/>
      <c r="LV150" s="133"/>
      <c r="LW150" s="133"/>
      <c r="LX150" s="133"/>
      <c r="LY150" s="133"/>
      <c r="LZ150" s="133"/>
      <c r="MA150" s="133"/>
      <c r="MB150" s="133"/>
      <c r="MC150" s="133"/>
      <c r="MD150" s="133"/>
      <c r="ME150" s="133"/>
      <c r="MF150" s="133"/>
      <c r="MG150" s="133"/>
      <c r="MH150" s="133"/>
      <c r="MI150" s="133"/>
      <c r="MJ150" s="133"/>
      <c r="MK150" s="133"/>
      <c r="ML150" s="133"/>
      <c r="MM150" s="133"/>
      <c r="MN150" s="133"/>
      <c r="MO150" s="133"/>
      <c r="MP150" s="133"/>
      <c r="MQ150" s="133"/>
      <c r="MR150" s="133"/>
      <c r="MS150" s="133"/>
      <c r="MT150" s="133"/>
      <c r="MU150" s="133"/>
      <c r="MV150" s="133"/>
      <c r="MW150" s="133"/>
      <c r="MX150" s="133"/>
      <c r="MY150" s="133"/>
      <c r="MZ150" s="133"/>
      <c r="NA150" s="133"/>
      <c r="NB150" s="133"/>
      <c r="NC150" s="133"/>
      <c r="ND150" s="133"/>
      <c r="NE150" s="133"/>
      <c r="NF150" s="133"/>
      <c r="NG150" s="133"/>
      <c r="NH150" s="133"/>
      <c r="NI150" s="133"/>
      <c r="NJ150" s="133"/>
      <c r="NK150" s="133"/>
      <c r="NL150" s="133"/>
      <c r="NM150" s="133"/>
      <c r="NN150" s="133"/>
      <c r="NO150" s="133"/>
      <c r="NP150" s="133"/>
      <c r="NQ150" s="133"/>
      <c r="NR150" s="133"/>
      <c r="NS150" s="133"/>
      <c r="NT150" s="133"/>
      <c r="NU150" s="133"/>
      <c r="NV150" s="133"/>
      <c r="NW150" s="133"/>
      <c r="NX150" s="133"/>
      <c r="NY150" s="133"/>
      <c r="NZ150" s="133"/>
      <c r="OA150" s="133"/>
      <c r="OB150" s="133"/>
      <c r="OC150" s="133"/>
      <c r="OD150" s="133"/>
      <c r="OE150" s="133"/>
      <c r="OF150" s="133"/>
      <c r="OG150" s="133"/>
      <c r="OH150" s="133"/>
      <c r="OI150" s="133"/>
      <c r="OJ150" s="133"/>
      <c r="OK150" s="133"/>
      <c r="OL150" s="133"/>
      <c r="OM150" s="133"/>
      <c r="ON150" s="133"/>
      <c r="OO150" s="133"/>
      <c r="OP150" s="133"/>
      <c r="OQ150" s="133"/>
      <c r="OR150" s="133"/>
      <c r="OS150" s="133"/>
      <c r="OT150" s="133"/>
      <c r="OU150" s="133"/>
      <c r="OV150" s="133"/>
      <c r="OW150" s="133"/>
      <c r="OX150" s="133"/>
      <c r="OY150" s="133"/>
      <c r="OZ150" s="133"/>
      <c r="PA150" s="133"/>
      <c r="PB150" s="133"/>
      <c r="PC150" s="133"/>
      <c r="PD150" s="133"/>
      <c r="PE150" s="133"/>
      <c r="PF150" s="133"/>
      <c r="PG150" s="133"/>
      <c r="PH150" s="133"/>
      <c r="PI150" s="133"/>
      <c r="PJ150" s="133"/>
      <c r="PK150" s="133"/>
      <c r="PL150" s="133"/>
      <c r="PM150" s="133"/>
      <c r="PN150" s="133"/>
      <c r="PO150" s="133"/>
      <c r="PP150" s="133"/>
      <c r="PQ150" s="133"/>
      <c r="PR150" s="133"/>
      <c r="PS150" s="133"/>
      <c r="PT150" s="133"/>
      <c r="PU150" s="133"/>
      <c r="PV150" s="133"/>
      <c r="PW150" s="133"/>
      <c r="PX150" s="133"/>
      <c r="PY150" s="133"/>
      <c r="PZ150" s="133"/>
      <c r="QA150" s="133"/>
      <c r="QB150" s="133"/>
      <c r="QC150" s="133"/>
      <c r="QD150" s="133"/>
      <c r="QE150" s="133"/>
      <c r="QF150" s="133"/>
      <c r="QG150" s="133"/>
      <c r="QH150" s="133"/>
      <c r="QI150" s="133"/>
      <c r="QJ150" s="133"/>
      <c r="QK150" s="133"/>
      <c r="QL150" s="133"/>
      <c r="QM150" s="133"/>
      <c r="QN150" s="133"/>
      <c r="QO150" s="133"/>
      <c r="QP150" s="133"/>
      <c r="QQ150" s="133"/>
      <c r="QR150" s="133"/>
      <c r="QS150" s="133"/>
      <c r="QT150" s="133"/>
      <c r="QU150" s="133"/>
      <c r="QV150" s="133"/>
      <c r="QW150" s="133"/>
      <c r="QX150" s="133"/>
      <c r="QY150" s="133"/>
      <c r="QZ150" s="133"/>
      <c r="RA150" s="133"/>
      <c r="RB150" s="133"/>
      <c r="RC150" s="133"/>
      <c r="RD150" s="133"/>
      <c r="RE150" s="133"/>
      <c r="RF150" s="133"/>
      <c r="RG150" s="133"/>
      <c r="RH150" s="133"/>
      <c r="RI150" s="133"/>
      <c r="RJ150" s="133"/>
      <c r="RK150" s="133"/>
      <c r="RL150" s="133"/>
      <c r="RM150" s="133"/>
      <c r="RN150" s="133"/>
      <c r="RO150" s="133"/>
      <c r="RP150" s="133"/>
      <c r="RQ150" s="133"/>
      <c r="RR150" s="133"/>
      <c r="RS150" s="133"/>
      <c r="RT150" s="133"/>
      <c r="RU150" s="133"/>
      <c r="RV150" s="133"/>
      <c r="RW150" s="133"/>
      <c r="RX150" s="133"/>
      <c r="RY150" s="133"/>
      <c r="RZ150" s="133"/>
      <c r="SA150" s="133"/>
      <c r="SB150" s="133"/>
      <c r="SC150" s="133"/>
      <c r="SD150" s="133"/>
      <c r="SE150" s="133"/>
      <c r="SF150" s="133"/>
      <c r="SG150" s="133"/>
      <c r="SH150" s="133"/>
      <c r="SI150" s="133"/>
      <c r="SJ150" s="133"/>
      <c r="SK150" s="133"/>
      <c r="SL150" s="133"/>
      <c r="SM150" s="133"/>
      <c r="SN150" s="133"/>
      <c r="SO150" s="133"/>
      <c r="SP150" s="133"/>
      <c r="SQ150" s="133"/>
      <c r="SR150" s="133"/>
      <c r="SS150" s="133"/>
      <c r="ST150" s="133"/>
      <c r="SU150" s="133"/>
      <c r="SV150" s="133"/>
      <c r="SW150" s="133"/>
      <c r="SX150" s="133"/>
      <c r="SY150" s="133"/>
      <c r="SZ150" s="133"/>
      <c r="TA150" s="133"/>
      <c r="TB150" s="133"/>
      <c r="TC150" s="133"/>
      <c r="TD150" s="133"/>
      <c r="TE150" s="133"/>
      <c r="TF150" s="133"/>
      <c r="TG150" s="133"/>
      <c r="TH150" s="133"/>
      <c r="TI150" s="133"/>
    </row>
    <row r="151" spans="1:529" s="23" customFormat="1" ht="20.25" customHeight="1" x14ac:dyDescent="0.25">
      <c r="A151" s="43" t="s">
        <v>239</v>
      </c>
      <c r="B151" s="44" t="str">
        <f>'дод 4'!A121</f>
        <v>7640</v>
      </c>
      <c r="C151" s="44" t="str">
        <f>'дод 4'!B121</f>
        <v>0470</v>
      </c>
      <c r="D151" s="24" t="str">
        <f>'дод 4'!C121</f>
        <v>Заходи з енергозбереження</v>
      </c>
      <c r="E151" s="69">
        <f t="shared" si="66"/>
        <v>1500000</v>
      </c>
      <c r="F151" s="69">
        <f>750000-250000</f>
        <v>500000</v>
      </c>
      <c r="G151" s="69"/>
      <c r="H151" s="69"/>
      <c r="I151" s="69">
        <f>750000+250000</f>
        <v>1000000</v>
      </c>
      <c r="J151" s="69">
        <f t="shared" si="68"/>
        <v>0</v>
      </c>
      <c r="K151" s="69"/>
      <c r="L151" s="69"/>
      <c r="M151" s="69"/>
      <c r="N151" s="69"/>
      <c r="O151" s="69"/>
      <c r="P151" s="69">
        <f t="shared" si="67"/>
        <v>1500000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</row>
    <row r="152" spans="1:529" s="23" customFormat="1" ht="23.25" customHeight="1" x14ac:dyDescent="0.25">
      <c r="A152" s="43" t="s">
        <v>388</v>
      </c>
      <c r="B152" s="44" t="str">
        <f>'дод 4'!A124</f>
        <v>7670</v>
      </c>
      <c r="C152" s="44" t="str">
        <f>'дод 4'!B124</f>
        <v>0490</v>
      </c>
      <c r="D152" s="24" t="str">
        <f>'дод 4'!C124</f>
        <v>Внески до статутного капіталу суб’єктів господарювання</v>
      </c>
      <c r="E152" s="69">
        <f t="shared" si="66"/>
        <v>0</v>
      </c>
      <c r="F152" s="69"/>
      <c r="G152" s="69"/>
      <c r="H152" s="69"/>
      <c r="I152" s="69"/>
      <c r="J152" s="69">
        <f t="shared" si="68"/>
        <v>17042330</v>
      </c>
      <c r="K152" s="69">
        <f>7042330+10000000</f>
        <v>17042330</v>
      </c>
      <c r="L152" s="69"/>
      <c r="M152" s="69"/>
      <c r="N152" s="69"/>
      <c r="O152" s="69">
        <f>7042330+10000000</f>
        <v>17042330</v>
      </c>
      <c r="P152" s="69">
        <f t="shared" si="67"/>
        <v>17042330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</row>
    <row r="153" spans="1:529" s="23" customFormat="1" ht="102" customHeight="1" x14ac:dyDescent="0.25">
      <c r="A153" s="52" t="s">
        <v>350</v>
      </c>
      <c r="B153" s="45">
        <v>7691</v>
      </c>
      <c r="C153" s="45" t="s">
        <v>102</v>
      </c>
      <c r="D153" s="22" t="str">
        <f>'дод 4'!C126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53" s="69">
        <f t="shared" si="66"/>
        <v>0</v>
      </c>
      <c r="F153" s="69"/>
      <c r="G153" s="69"/>
      <c r="H153" s="69"/>
      <c r="I153" s="69"/>
      <c r="J153" s="69">
        <f t="shared" si="68"/>
        <v>290090.27</v>
      </c>
      <c r="K153" s="69"/>
      <c r="L153" s="69">
        <f>41000+115890.27</f>
        <v>156890.27000000002</v>
      </c>
      <c r="M153" s="69"/>
      <c r="N153" s="69"/>
      <c r="O153" s="69">
        <v>133200</v>
      </c>
      <c r="P153" s="69">
        <f t="shared" si="67"/>
        <v>290090.27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</row>
    <row r="154" spans="1:529" s="23" customFormat="1" ht="24.75" customHeight="1" x14ac:dyDescent="0.25">
      <c r="A154" s="43" t="s">
        <v>240</v>
      </c>
      <c r="B154" s="44" t="str">
        <f>'дод 4'!A138</f>
        <v>8340</v>
      </c>
      <c r="C154" s="44" t="str">
        <f>'дод 4'!B138</f>
        <v>0540</v>
      </c>
      <c r="D154" s="24" t="str">
        <f>'дод 4'!C138</f>
        <v>Природоохоронні заходи за рахунок цільових фондів</v>
      </c>
      <c r="E154" s="69">
        <f t="shared" si="66"/>
        <v>0</v>
      </c>
      <c r="F154" s="69"/>
      <c r="G154" s="69"/>
      <c r="H154" s="69"/>
      <c r="I154" s="69"/>
      <c r="J154" s="69">
        <f t="shared" si="68"/>
        <v>5599043.4500000002</v>
      </c>
      <c r="K154" s="69"/>
      <c r="L154" s="69">
        <v>1870000</v>
      </c>
      <c r="M154" s="69"/>
      <c r="N154" s="69">
        <v>540000</v>
      </c>
      <c r="O154" s="69">
        <f>1946500+1782543.45</f>
        <v>3729043.45</v>
      </c>
      <c r="P154" s="69">
        <f t="shared" si="67"/>
        <v>5599043.4500000002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</row>
    <row r="155" spans="1:529" s="23" customFormat="1" ht="23.25" customHeight="1" x14ac:dyDescent="0.25">
      <c r="A155" s="43" t="s">
        <v>241</v>
      </c>
      <c r="B155" s="44" t="str">
        <f>'дод 4'!A147</f>
        <v>9770</v>
      </c>
      <c r="C155" s="44" t="str">
        <f>'дод 4'!B147</f>
        <v>0180</v>
      </c>
      <c r="D155" s="24" t="str">
        <f>'дод 4'!C147</f>
        <v>Інші субвенції з місцевого бюджету</v>
      </c>
      <c r="E155" s="69">
        <f t="shared" si="66"/>
        <v>368000</v>
      </c>
      <c r="F155" s="69">
        <v>368000</v>
      </c>
      <c r="G155" s="69"/>
      <c r="H155" s="69"/>
      <c r="I155" s="69"/>
      <c r="J155" s="69">
        <f t="shared" si="68"/>
        <v>7632000</v>
      </c>
      <c r="K155" s="69">
        <f>8000000-368000</f>
        <v>7632000</v>
      </c>
      <c r="L155" s="69"/>
      <c r="M155" s="69"/>
      <c r="N155" s="69"/>
      <c r="O155" s="69">
        <f>8000000-368000</f>
        <v>7632000</v>
      </c>
      <c r="P155" s="69">
        <f t="shared" si="67"/>
        <v>8000000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</row>
    <row r="156" spans="1:529" s="31" customFormat="1" ht="33.75" customHeight="1" x14ac:dyDescent="0.2">
      <c r="A156" s="76" t="s">
        <v>37</v>
      </c>
      <c r="B156" s="74"/>
      <c r="C156" s="74"/>
      <c r="D156" s="30" t="s">
        <v>47</v>
      </c>
      <c r="E156" s="66">
        <f>E157</f>
        <v>6157500</v>
      </c>
      <c r="F156" s="66">
        <f t="shared" ref="F156:J157" si="72">F157</f>
        <v>6157500</v>
      </c>
      <c r="G156" s="66">
        <f t="shared" si="72"/>
        <v>4788800</v>
      </c>
      <c r="H156" s="66">
        <f t="shared" si="72"/>
        <v>98300</v>
      </c>
      <c r="I156" s="66">
        <f t="shared" si="72"/>
        <v>0</v>
      </c>
      <c r="J156" s="66">
        <f t="shared" si="72"/>
        <v>160000</v>
      </c>
      <c r="K156" s="66">
        <f t="shared" ref="K156:K157" si="73">K157</f>
        <v>160000</v>
      </c>
      <c r="L156" s="66">
        <f t="shared" ref="L156:L157" si="74">L157</f>
        <v>0</v>
      </c>
      <c r="M156" s="66">
        <f t="shared" ref="M156:M157" si="75">M157</f>
        <v>0</v>
      </c>
      <c r="N156" s="66">
        <f t="shared" ref="N156:N157" si="76">N157</f>
        <v>0</v>
      </c>
      <c r="O156" s="66">
        <f t="shared" ref="O156:P157" si="77">O157</f>
        <v>160000</v>
      </c>
      <c r="P156" s="66">
        <f t="shared" si="77"/>
        <v>6317500</v>
      </c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8"/>
      <c r="HU156" s="38"/>
      <c r="HV156" s="38"/>
      <c r="HW156" s="38"/>
      <c r="HX156" s="38"/>
      <c r="HY156" s="38"/>
      <c r="HZ156" s="38"/>
      <c r="IA156" s="38"/>
      <c r="IB156" s="38"/>
      <c r="IC156" s="38"/>
      <c r="ID156" s="38"/>
      <c r="IE156" s="38"/>
      <c r="IF156" s="38"/>
      <c r="IG156" s="38"/>
      <c r="IH156" s="38"/>
      <c r="II156" s="38"/>
      <c r="IJ156" s="38"/>
      <c r="IK156" s="38"/>
      <c r="IL156" s="38"/>
      <c r="IM156" s="38"/>
      <c r="IN156" s="38"/>
      <c r="IO156" s="38"/>
      <c r="IP156" s="38"/>
      <c r="IQ156" s="38"/>
      <c r="IR156" s="38"/>
      <c r="IS156" s="38"/>
      <c r="IT156" s="38"/>
      <c r="IU156" s="38"/>
      <c r="IV156" s="38"/>
      <c r="IW156" s="38"/>
      <c r="IX156" s="38"/>
      <c r="IY156" s="38"/>
      <c r="IZ156" s="38"/>
      <c r="JA156" s="38"/>
      <c r="JB156" s="38"/>
      <c r="JC156" s="38"/>
      <c r="JD156" s="38"/>
      <c r="JE156" s="38"/>
      <c r="JF156" s="38"/>
      <c r="JG156" s="38"/>
      <c r="JH156" s="38"/>
      <c r="JI156" s="38"/>
      <c r="JJ156" s="38"/>
      <c r="JK156" s="38"/>
      <c r="JL156" s="38"/>
      <c r="JM156" s="38"/>
      <c r="JN156" s="38"/>
      <c r="JO156" s="38"/>
      <c r="JP156" s="38"/>
      <c r="JQ156" s="38"/>
      <c r="JR156" s="38"/>
      <c r="JS156" s="38"/>
      <c r="JT156" s="38"/>
      <c r="JU156" s="38"/>
      <c r="JV156" s="38"/>
      <c r="JW156" s="38"/>
      <c r="JX156" s="38"/>
      <c r="JY156" s="38"/>
      <c r="JZ156" s="38"/>
      <c r="KA156" s="38"/>
      <c r="KB156" s="38"/>
      <c r="KC156" s="38"/>
      <c r="KD156" s="38"/>
      <c r="KE156" s="38"/>
      <c r="KF156" s="38"/>
      <c r="KG156" s="38"/>
      <c r="KH156" s="38"/>
      <c r="KI156" s="38"/>
      <c r="KJ156" s="38"/>
      <c r="KK156" s="38"/>
      <c r="KL156" s="38"/>
      <c r="KM156" s="38"/>
      <c r="KN156" s="38"/>
      <c r="KO156" s="38"/>
      <c r="KP156" s="38"/>
      <c r="KQ156" s="38"/>
      <c r="KR156" s="38"/>
      <c r="KS156" s="38"/>
      <c r="KT156" s="38"/>
      <c r="KU156" s="38"/>
      <c r="KV156" s="38"/>
      <c r="KW156" s="38"/>
      <c r="KX156" s="38"/>
      <c r="KY156" s="38"/>
      <c r="KZ156" s="38"/>
      <c r="LA156" s="38"/>
      <c r="LB156" s="38"/>
      <c r="LC156" s="38"/>
      <c r="LD156" s="38"/>
      <c r="LE156" s="38"/>
      <c r="LF156" s="38"/>
      <c r="LG156" s="38"/>
      <c r="LH156" s="38"/>
      <c r="LI156" s="38"/>
      <c r="LJ156" s="38"/>
      <c r="LK156" s="38"/>
      <c r="LL156" s="38"/>
      <c r="LM156" s="38"/>
      <c r="LN156" s="38"/>
      <c r="LO156" s="38"/>
      <c r="LP156" s="38"/>
      <c r="LQ156" s="38"/>
      <c r="LR156" s="38"/>
      <c r="LS156" s="38"/>
      <c r="LT156" s="38"/>
      <c r="LU156" s="38"/>
      <c r="LV156" s="38"/>
      <c r="LW156" s="38"/>
      <c r="LX156" s="38"/>
      <c r="LY156" s="38"/>
      <c r="LZ156" s="38"/>
      <c r="MA156" s="38"/>
      <c r="MB156" s="38"/>
      <c r="MC156" s="38"/>
      <c r="MD156" s="38"/>
      <c r="ME156" s="38"/>
      <c r="MF156" s="38"/>
      <c r="MG156" s="38"/>
      <c r="MH156" s="38"/>
      <c r="MI156" s="38"/>
      <c r="MJ156" s="38"/>
      <c r="MK156" s="38"/>
      <c r="ML156" s="38"/>
      <c r="MM156" s="38"/>
      <c r="MN156" s="38"/>
      <c r="MO156" s="38"/>
      <c r="MP156" s="38"/>
      <c r="MQ156" s="38"/>
      <c r="MR156" s="38"/>
      <c r="MS156" s="38"/>
      <c r="MT156" s="38"/>
      <c r="MU156" s="38"/>
      <c r="MV156" s="38"/>
      <c r="MW156" s="38"/>
      <c r="MX156" s="38"/>
      <c r="MY156" s="38"/>
      <c r="MZ156" s="38"/>
      <c r="NA156" s="38"/>
      <c r="NB156" s="38"/>
      <c r="NC156" s="38"/>
      <c r="ND156" s="38"/>
      <c r="NE156" s="38"/>
      <c r="NF156" s="38"/>
      <c r="NG156" s="38"/>
      <c r="NH156" s="38"/>
      <c r="NI156" s="38"/>
      <c r="NJ156" s="38"/>
      <c r="NK156" s="38"/>
      <c r="NL156" s="38"/>
      <c r="NM156" s="38"/>
      <c r="NN156" s="38"/>
      <c r="NO156" s="38"/>
      <c r="NP156" s="38"/>
      <c r="NQ156" s="38"/>
      <c r="NR156" s="38"/>
      <c r="NS156" s="38"/>
      <c r="NT156" s="38"/>
      <c r="NU156" s="38"/>
      <c r="NV156" s="38"/>
      <c r="NW156" s="38"/>
      <c r="NX156" s="38"/>
      <c r="NY156" s="38"/>
      <c r="NZ156" s="38"/>
      <c r="OA156" s="38"/>
      <c r="OB156" s="38"/>
      <c r="OC156" s="38"/>
      <c r="OD156" s="38"/>
      <c r="OE156" s="38"/>
      <c r="OF156" s="38"/>
      <c r="OG156" s="38"/>
      <c r="OH156" s="38"/>
      <c r="OI156" s="38"/>
      <c r="OJ156" s="38"/>
      <c r="OK156" s="38"/>
      <c r="OL156" s="38"/>
      <c r="OM156" s="38"/>
      <c r="ON156" s="38"/>
      <c r="OO156" s="38"/>
      <c r="OP156" s="38"/>
      <c r="OQ156" s="38"/>
      <c r="OR156" s="38"/>
      <c r="OS156" s="38"/>
      <c r="OT156" s="38"/>
      <c r="OU156" s="38"/>
      <c r="OV156" s="38"/>
      <c r="OW156" s="38"/>
      <c r="OX156" s="38"/>
      <c r="OY156" s="38"/>
      <c r="OZ156" s="38"/>
      <c r="PA156" s="38"/>
      <c r="PB156" s="38"/>
      <c r="PC156" s="38"/>
      <c r="PD156" s="38"/>
      <c r="PE156" s="38"/>
      <c r="PF156" s="38"/>
      <c r="PG156" s="38"/>
      <c r="PH156" s="38"/>
      <c r="PI156" s="38"/>
      <c r="PJ156" s="38"/>
      <c r="PK156" s="38"/>
      <c r="PL156" s="38"/>
      <c r="PM156" s="38"/>
      <c r="PN156" s="38"/>
      <c r="PO156" s="38"/>
      <c r="PP156" s="38"/>
      <c r="PQ156" s="38"/>
      <c r="PR156" s="38"/>
      <c r="PS156" s="38"/>
      <c r="PT156" s="38"/>
      <c r="PU156" s="38"/>
      <c r="PV156" s="38"/>
      <c r="PW156" s="38"/>
      <c r="PX156" s="38"/>
      <c r="PY156" s="38"/>
      <c r="PZ156" s="38"/>
      <c r="QA156" s="38"/>
      <c r="QB156" s="38"/>
      <c r="QC156" s="38"/>
      <c r="QD156" s="38"/>
      <c r="QE156" s="38"/>
      <c r="QF156" s="38"/>
      <c r="QG156" s="38"/>
      <c r="QH156" s="38"/>
      <c r="QI156" s="38"/>
      <c r="QJ156" s="38"/>
      <c r="QK156" s="38"/>
      <c r="QL156" s="38"/>
      <c r="QM156" s="38"/>
      <c r="QN156" s="38"/>
      <c r="QO156" s="38"/>
      <c r="QP156" s="38"/>
      <c r="QQ156" s="38"/>
      <c r="QR156" s="38"/>
      <c r="QS156" s="38"/>
      <c r="QT156" s="38"/>
      <c r="QU156" s="38"/>
      <c r="QV156" s="38"/>
      <c r="QW156" s="38"/>
      <c r="QX156" s="38"/>
      <c r="QY156" s="38"/>
      <c r="QZ156" s="38"/>
      <c r="RA156" s="38"/>
      <c r="RB156" s="38"/>
      <c r="RC156" s="38"/>
      <c r="RD156" s="38"/>
      <c r="RE156" s="38"/>
      <c r="RF156" s="38"/>
      <c r="RG156" s="38"/>
      <c r="RH156" s="38"/>
      <c r="RI156" s="38"/>
      <c r="RJ156" s="38"/>
      <c r="RK156" s="38"/>
      <c r="RL156" s="38"/>
      <c r="RM156" s="38"/>
      <c r="RN156" s="38"/>
      <c r="RO156" s="38"/>
      <c r="RP156" s="38"/>
      <c r="RQ156" s="38"/>
      <c r="RR156" s="38"/>
      <c r="RS156" s="38"/>
      <c r="RT156" s="38"/>
      <c r="RU156" s="38"/>
      <c r="RV156" s="38"/>
      <c r="RW156" s="38"/>
      <c r="RX156" s="38"/>
      <c r="RY156" s="38"/>
      <c r="RZ156" s="38"/>
      <c r="SA156" s="38"/>
      <c r="SB156" s="38"/>
      <c r="SC156" s="38"/>
      <c r="SD156" s="38"/>
      <c r="SE156" s="38"/>
      <c r="SF156" s="38"/>
      <c r="SG156" s="38"/>
      <c r="SH156" s="38"/>
      <c r="SI156" s="38"/>
      <c r="SJ156" s="38"/>
      <c r="SK156" s="38"/>
      <c r="SL156" s="38"/>
      <c r="SM156" s="38"/>
      <c r="SN156" s="38"/>
      <c r="SO156" s="38"/>
      <c r="SP156" s="38"/>
      <c r="SQ156" s="38"/>
      <c r="SR156" s="38"/>
      <c r="SS156" s="38"/>
      <c r="ST156" s="38"/>
      <c r="SU156" s="38"/>
      <c r="SV156" s="38"/>
      <c r="SW156" s="38"/>
      <c r="SX156" s="38"/>
      <c r="SY156" s="38"/>
      <c r="SZ156" s="38"/>
      <c r="TA156" s="38"/>
      <c r="TB156" s="38"/>
      <c r="TC156" s="38"/>
      <c r="TD156" s="38"/>
      <c r="TE156" s="38"/>
      <c r="TF156" s="38"/>
      <c r="TG156" s="38"/>
      <c r="TH156" s="38"/>
      <c r="TI156" s="38"/>
    </row>
    <row r="157" spans="1:529" s="40" customFormat="1" ht="36.75" customHeight="1" x14ac:dyDescent="0.25">
      <c r="A157" s="77" t="s">
        <v>139</v>
      </c>
      <c r="B157" s="75"/>
      <c r="C157" s="75"/>
      <c r="D157" s="33" t="s">
        <v>47</v>
      </c>
      <c r="E157" s="68">
        <f>E158</f>
        <v>6157500</v>
      </c>
      <c r="F157" s="68">
        <f t="shared" si="72"/>
        <v>6157500</v>
      </c>
      <c r="G157" s="68">
        <f t="shared" si="72"/>
        <v>4788800</v>
      </c>
      <c r="H157" s="68">
        <f t="shared" si="72"/>
        <v>98300</v>
      </c>
      <c r="I157" s="68">
        <f t="shared" si="72"/>
        <v>0</v>
      </c>
      <c r="J157" s="68">
        <f t="shared" si="72"/>
        <v>160000</v>
      </c>
      <c r="K157" s="68">
        <f t="shared" si="73"/>
        <v>160000</v>
      </c>
      <c r="L157" s="68">
        <f t="shared" si="74"/>
        <v>0</v>
      </c>
      <c r="M157" s="68">
        <f t="shared" si="75"/>
        <v>0</v>
      </c>
      <c r="N157" s="68">
        <f t="shared" si="76"/>
        <v>0</v>
      </c>
      <c r="O157" s="68">
        <f t="shared" si="77"/>
        <v>160000</v>
      </c>
      <c r="P157" s="68">
        <f t="shared" si="77"/>
        <v>6317500</v>
      </c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/>
      <c r="HY157" s="39"/>
      <c r="HZ157" s="39"/>
      <c r="IA157" s="39"/>
      <c r="IB157" s="39"/>
      <c r="IC157" s="39"/>
      <c r="ID157" s="39"/>
      <c r="IE157" s="39"/>
      <c r="IF157" s="39"/>
      <c r="IG157" s="39"/>
      <c r="IH157" s="39"/>
      <c r="II157" s="39"/>
      <c r="IJ157" s="39"/>
      <c r="IK157" s="39"/>
      <c r="IL157" s="39"/>
      <c r="IM157" s="39"/>
      <c r="IN157" s="39"/>
      <c r="IO157" s="39"/>
      <c r="IP157" s="39"/>
      <c r="IQ157" s="39"/>
      <c r="IR157" s="39"/>
      <c r="IS157" s="39"/>
      <c r="IT157" s="39"/>
      <c r="IU157" s="39"/>
      <c r="IV157" s="39"/>
      <c r="IW157" s="39"/>
      <c r="IX157" s="39"/>
      <c r="IY157" s="39"/>
      <c r="IZ157" s="39"/>
      <c r="JA157" s="39"/>
      <c r="JB157" s="39"/>
      <c r="JC157" s="39"/>
      <c r="JD157" s="39"/>
      <c r="JE157" s="39"/>
      <c r="JF157" s="39"/>
      <c r="JG157" s="39"/>
      <c r="JH157" s="39"/>
      <c r="JI157" s="39"/>
      <c r="JJ157" s="39"/>
      <c r="JK157" s="39"/>
      <c r="JL157" s="39"/>
      <c r="JM157" s="39"/>
      <c r="JN157" s="39"/>
      <c r="JO157" s="39"/>
      <c r="JP157" s="39"/>
      <c r="JQ157" s="39"/>
      <c r="JR157" s="39"/>
      <c r="JS157" s="39"/>
      <c r="JT157" s="39"/>
      <c r="JU157" s="39"/>
      <c r="JV157" s="39"/>
      <c r="JW157" s="39"/>
      <c r="JX157" s="39"/>
      <c r="JY157" s="39"/>
      <c r="JZ157" s="39"/>
      <c r="KA157" s="39"/>
      <c r="KB157" s="39"/>
      <c r="KC157" s="39"/>
      <c r="KD157" s="39"/>
      <c r="KE157" s="39"/>
      <c r="KF157" s="39"/>
      <c r="KG157" s="39"/>
      <c r="KH157" s="39"/>
      <c r="KI157" s="39"/>
      <c r="KJ157" s="39"/>
      <c r="KK157" s="39"/>
      <c r="KL157" s="39"/>
      <c r="KM157" s="39"/>
      <c r="KN157" s="39"/>
      <c r="KO157" s="39"/>
      <c r="KP157" s="39"/>
      <c r="KQ157" s="39"/>
      <c r="KR157" s="39"/>
      <c r="KS157" s="39"/>
      <c r="KT157" s="39"/>
      <c r="KU157" s="39"/>
      <c r="KV157" s="39"/>
      <c r="KW157" s="39"/>
      <c r="KX157" s="39"/>
      <c r="KY157" s="39"/>
      <c r="KZ157" s="39"/>
      <c r="LA157" s="39"/>
      <c r="LB157" s="39"/>
      <c r="LC157" s="39"/>
      <c r="LD157" s="39"/>
      <c r="LE157" s="39"/>
      <c r="LF157" s="39"/>
      <c r="LG157" s="39"/>
      <c r="LH157" s="39"/>
      <c r="LI157" s="39"/>
      <c r="LJ157" s="39"/>
      <c r="LK157" s="39"/>
      <c r="LL157" s="39"/>
      <c r="LM157" s="39"/>
      <c r="LN157" s="39"/>
      <c r="LO157" s="39"/>
      <c r="LP157" s="39"/>
      <c r="LQ157" s="39"/>
      <c r="LR157" s="39"/>
      <c r="LS157" s="39"/>
      <c r="LT157" s="39"/>
      <c r="LU157" s="39"/>
      <c r="LV157" s="39"/>
      <c r="LW157" s="39"/>
      <c r="LX157" s="39"/>
      <c r="LY157" s="39"/>
      <c r="LZ157" s="39"/>
      <c r="MA157" s="39"/>
      <c r="MB157" s="39"/>
      <c r="MC157" s="39"/>
      <c r="MD157" s="39"/>
      <c r="ME157" s="39"/>
      <c r="MF157" s="39"/>
      <c r="MG157" s="39"/>
      <c r="MH157" s="39"/>
      <c r="MI157" s="39"/>
      <c r="MJ157" s="39"/>
      <c r="MK157" s="39"/>
      <c r="ML157" s="39"/>
      <c r="MM157" s="39"/>
      <c r="MN157" s="39"/>
      <c r="MO157" s="39"/>
      <c r="MP157" s="39"/>
      <c r="MQ157" s="39"/>
      <c r="MR157" s="39"/>
      <c r="MS157" s="39"/>
      <c r="MT157" s="39"/>
      <c r="MU157" s="39"/>
      <c r="MV157" s="39"/>
      <c r="MW157" s="39"/>
      <c r="MX157" s="39"/>
      <c r="MY157" s="39"/>
      <c r="MZ157" s="39"/>
      <c r="NA157" s="39"/>
      <c r="NB157" s="39"/>
      <c r="NC157" s="39"/>
      <c r="ND157" s="39"/>
      <c r="NE157" s="39"/>
      <c r="NF157" s="39"/>
      <c r="NG157" s="39"/>
      <c r="NH157" s="39"/>
      <c r="NI157" s="39"/>
      <c r="NJ157" s="39"/>
      <c r="NK157" s="39"/>
      <c r="NL157" s="39"/>
      <c r="NM157" s="39"/>
      <c r="NN157" s="39"/>
      <c r="NO157" s="39"/>
      <c r="NP157" s="39"/>
      <c r="NQ157" s="39"/>
      <c r="NR157" s="39"/>
      <c r="NS157" s="39"/>
      <c r="NT157" s="39"/>
      <c r="NU157" s="39"/>
      <c r="NV157" s="39"/>
      <c r="NW157" s="39"/>
      <c r="NX157" s="39"/>
      <c r="NY157" s="39"/>
      <c r="NZ157" s="39"/>
      <c r="OA157" s="39"/>
      <c r="OB157" s="39"/>
      <c r="OC157" s="39"/>
      <c r="OD157" s="39"/>
      <c r="OE157" s="39"/>
      <c r="OF157" s="39"/>
      <c r="OG157" s="39"/>
      <c r="OH157" s="39"/>
      <c r="OI157" s="39"/>
      <c r="OJ157" s="39"/>
      <c r="OK157" s="39"/>
      <c r="OL157" s="39"/>
      <c r="OM157" s="39"/>
      <c r="ON157" s="39"/>
      <c r="OO157" s="39"/>
      <c r="OP157" s="39"/>
      <c r="OQ157" s="39"/>
      <c r="OR157" s="39"/>
      <c r="OS157" s="39"/>
      <c r="OT157" s="39"/>
      <c r="OU157" s="39"/>
      <c r="OV157" s="39"/>
      <c r="OW157" s="39"/>
      <c r="OX157" s="39"/>
      <c r="OY157" s="39"/>
      <c r="OZ157" s="39"/>
      <c r="PA157" s="39"/>
      <c r="PB157" s="39"/>
      <c r="PC157" s="39"/>
      <c r="PD157" s="39"/>
      <c r="PE157" s="39"/>
      <c r="PF157" s="39"/>
      <c r="PG157" s="39"/>
      <c r="PH157" s="39"/>
      <c r="PI157" s="39"/>
      <c r="PJ157" s="39"/>
      <c r="PK157" s="39"/>
      <c r="PL157" s="39"/>
      <c r="PM157" s="39"/>
      <c r="PN157" s="39"/>
      <c r="PO157" s="39"/>
      <c r="PP157" s="39"/>
      <c r="PQ157" s="39"/>
      <c r="PR157" s="39"/>
      <c r="PS157" s="39"/>
      <c r="PT157" s="39"/>
      <c r="PU157" s="39"/>
      <c r="PV157" s="39"/>
      <c r="PW157" s="39"/>
      <c r="PX157" s="39"/>
      <c r="PY157" s="39"/>
      <c r="PZ157" s="39"/>
      <c r="QA157" s="39"/>
      <c r="QB157" s="39"/>
      <c r="QC157" s="39"/>
      <c r="QD157" s="39"/>
      <c r="QE157" s="39"/>
      <c r="QF157" s="39"/>
      <c r="QG157" s="39"/>
      <c r="QH157" s="39"/>
      <c r="QI157" s="39"/>
      <c r="QJ157" s="39"/>
      <c r="QK157" s="39"/>
      <c r="QL157" s="39"/>
      <c r="QM157" s="39"/>
      <c r="QN157" s="39"/>
      <c r="QO157" s="39"/>
      <c r="QP157" s="39"/>
      <c r="QQ157" s="39"/>
      <c r="QR157" s="39"/>
      <c r="QS157" s="39"/>
      <c r="QT157" s="39"/>
      <c r="QU157" s="39"/>
      <c r="QV157" s="39"/>
      <c r="QW157" s="39"/>
      <c r="QX157" s="39"/>
      <c r="QY157" s="39"/>
      <c r="QZ157" s="39"/>
      <c r="RA157" s="39"/>
      <c r="RB157" s="39"/>
      <c r="RC157" s="39"/>
      <c r="RD157" s="39"/>
      <c r="RE157" s="39"/>
      <c r="RF157" s="39"/>
      <c r="RG157" s="39"/>
      <c r="RH157" s="39"/>
      <c r="RI157" s="39"/>
      <c r="RJ157" s="39"/>
      <c r="RK157" s="39"/>
      <c r="RL157" s="39"/>
      <c r="RM157" s="39"/>
      <c r="RN157" s="39"/>
      <c r="RO157" s="39"/>
      <c r="RP157" s="39"/>
      <c r="RQ157" s="39"/>
      <c r="RR157" s="39"/>
      <c r="RS157" s="39"/>
      <c r="RT157" s="39"/>
      <c r="RU157" s="39"/>
      <c r="RV157" s="39"/>
      <c r="RW157" s="39"/>
      <c r="RX157" s="39"/>
      <c r="RY157" s="39"/>
      <c r="RZ157" s="39"/>
      <c r="SA157" s="39"/>
      <c r="SB157" s="39"/>
      <c r="SC157" s="39"/>
      <c r="SD157" s="39"/>
      <c r="SE157" s="39"/>
      <c r="SF157" s="39"/>
      <c r="SG157" s="39"/>
      <c r="SH157" s="39"/>
      <c r="SI157" s="39"/>
      <c r="SJ157" s="39"/>
      <c r="SK157" s="39"/>
      <c r="SL157" s="39"/>
      <c r="SM157" s="39"/>
      <c r="SN157" s="39"/>
      <c r="SO157" s="39"/>
      <c r="SP157" s="39"/>
      <c r="SQ157" s="39"/>
      <c r="SR157" s="39"/>
      <c r="SS157" s="39"/>
      <c r="ST157" s="39"/>
      <c r="SU157" s="39"/>
      <c r="SV157" s="39"/>
      <c r="SW157" s="39"/>
      <c r="SX157" s="39"/>
      <c r="SY157" s="39"/>
      <c r="SZ157" s="39"/>
      <c r="TA157" s="39"/>
      <c r="TB157" s="39"/>
      <c r="TC157" s="39"/>
      <c r="TD157" s="39"/>
      <c r="TE157" s="39"/>
      <c r="TF157" s="39"/>
      <c r="TG157" s="39"/>
      <c r="TH157" s="39"/>
      <c r="TI157" s="39"/>
    </row>
    <row r="158" spans="1:529" s="23" customFormat="1" ht="45" x14ac:dyDescent="0.25">
      <c r="A158" s="43" t="s">
        <v>0</v>
      </c>
      <c r="B158" s="44" t="str">
        <f>'дод 4'!A19</f>
        <v>0160</v>
      </c>
      <c r="C158" s="44" t="str">
        <f>'дод 4'!B19</f>
        <v>0111</v>
      </c>
      <c r="D158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58" s="69">
        <f>F158+I158</f>
        <v>6157500</v>
      </c>
      <c r="F158" s="69">
        <f>6462800+10100-315400</f>
        <v>6157500</v>
      </c>
      <c r="G158" s="69">
        <f>5047300-258500</f>
        <v>4788800</v>
      </c>
      <c r="H158" s="69">
        <v>98300</v>
      </c>
      <c r="I158" s="69"/>
      <c r="J158" s="69">
        <f>L158+O158</f>
        <v>160000</v>
      </c>
      <c r="K158" s="69">
        <v>160000</v>
      </c>
      <c r="L158" s="69"/>
      <c r="M158" s="69"/>
      <c r="N158" s="69"/>
      <c r="O158" s="69">
        <v>160000</v>
      </c>
      <c r="P158" s="69">
        <f>E158+J158</f>
        <v>6317500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</row>
    <row r="159" spans="1:529" s="31" customFormat="1" ht="34.5" customHeight="1" x14ac:dyDescent="0.2">
      <c r="A159" s="76" t="s">
        <v>39</v>
      </c>
      <c r="B159" s="74"/>
      <c r="C159" s="74"/>
      <c r="D159" s="30" t="s">
        <v>46</v>
      </c>
      <c r="E159" s="66">
        <f>E160</f>
        <v>3706717</v>
      </c>
      <c r="F159" s="66">
        <f t="shared" ref="F159:J159" si="78">F160</f>
        <v>3621811</v>
      </c>
      <c r="G159" s="66">
        <f t="shared" si="78"/>
        <v>1552300</v>
      </c>
      <c r="H159" s="66">
        <f t="shared" si="78"/>
        <v>0</v>
      </c>
      <c r="I159" s="66">
        <f t="shared" si="78"/>
        <v>84906</v>
      </c>
      <c r="J159" s="66">
        <f t="shared" si="78"/>
        <v>164874492.18000001</v>
      </c>
      <c r="K159" s="66">
        <f t="shared" ref="K159" si="79">K160</f>
        <v>151027220</v>
      </c>
      <c r="L159" s="66">
        <f t="shared" ref="L159" si="80">L160</f>
        <v>3200000</v>
      </c>
      <c r="M159" s="66">
        <f t="shared" ref="M159" si="81">M160</f>
        <v>2348000</v>
      </c>
      <c r="N159" s="66">
        <f t="shared" ref="N159" si="82">N160</f>
        <v>90600</v>
      </c>
      <c r="O159" s="66">
        <f t="shared" ref="O159:P159" si="83">O160</f>
        <v>161674492.18000001</v>
      </c>
      <c r="P159" s="66">
        <f t="shared" si="83"/>
        <v>168581209.18000001</v>
      </c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  <c r="HI159" s="38"/>
      <c r="HJ159" s="38"/>
      <c r="HK159" s="38"/>
      <c r="HL159" s="38"/>
      <c r="HM159" s="38"/>
      <c r="HN159" s="38"/>
      <c r="HO159" s="38"/>
      <c r="HP159" s="38"/>
      <c r="HQ159" s="38"/>
      <c r="HR159" s="38"/>
      <c r="HS159" s="38"/>
      <c r="HT159" s="38"/>
      <c r="HU159" s="38"/>
      <c r="HV159" s="38"/>
      <c r="HW159" s="38"/>
      <c r="HX159" s="38"/>
      <c r="HY159" s="38"/>
      <c r="HZ159" s="38"/>
      <c r="IA159" s="38"/>
      <c r="IB159" s="38"/>
      <c r="IC159" s="38"/>
      <c r="ID159" s="38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38"/>
      <c r="IR159" s="38"/>
      <c r="IS159" s="38"/>
      <c r="IT159" s="38"/>
      <c r="IU159" s="38"/>
      <c r="IV159" s="38"/>
      <c r="IW159" s="38"/>
      <c r="IX159" s="38"/>
      <c r="IY159" s="38"/>
      <c r="IZ159" s="38"/>
      <c r="JA159" s="38"/>
      <c r="JB159" s="38"/>
      <c r="JC159" s="38"/>
      <c r="JD159" s="38"/>
      <c r="JE159" s="38"/>
      <c r="JF159" s="38"/>
      <c r="JG159" s="38"/>
      <c r="JH159" s="38"/>
      <c r="JI159" s="38"/>
      <c r="JJ159" s="38"/>
      <c r="JK159" s="38"/>
      <c r="JL159" s="38"/>
      <c r="JM159" s="38"/>
      <c r="JN159" s="38"/>
      <c r="JO159" s="38"/>
      <c r="JP159" s="38"/>
      <c r="JQ159" s="38"/>
      <c r="JR159" s="38"/>
      <c r="JS159" s="38"/>
      <c r="JT159" s="38"/>
      <c r="JU159" s="38"/>
      <c r="JV159" s="38"/>
      <c r="JW159" s="38"/>
      <c r="JX159" s="38"/>
      <c r="JY159" s="38"/>
      <c r="JZ159" s="38"/>
      <c r="KA159" s="38"/>
      <c r="KB159" s="38"/>
      <c r="KC159" s="38"/>
      <c r="KD159" s="38"/>
      <c r="KE159" s="38"/>
      <c r="KF159" s="38"/>
      <c r="KG159" s="38"/>
      <c r="KH159" s="38"/>
      <c r="KI159" s="38"/>
      <c r="KJ159" s="38"/>
      <c r="KK159" s="38"/>
      <c r="KL159" s="38"/>
      <c r="KM159" s="38"/>
      <c r="KN159" s="38"/>
      <c r="KO159" s="38"/>
      <c r="KP159" s="38"/>
      <c r="KQ159" s="38"/>
      <c r="KR159" s="38"/>
      <c r="KS159" s="38"/>
      <c r="KT159" s="38"/>
      <c r="KU159" s="38"/>
      <c r="KV159" s="38"/>
      <c r="KW159" s="38"/>
      <c r="KX159" s="38"/>
      <c r="KY159" s="38"/>
      <c r="KZ159" s="38"/>
      <c r="LA159" s="38"/>
      <c r="LB159" s="38"/>
      <c r="LC159" s="38"/>
      <c r="LD159" s="38"/>
      <c r="LE159" s="38"/>
      <c r="LF159" s="38"/>
      <c r="LG159" s="38"/>
      <c r="LH159" s="38"/>
      <c r="LI159" s="38"/>
      <c r="LJ159" s="38"/>
      <c r="LK159" s="38"/>
      <c r="LL159" s="38"/>
      <c r="LM159" s="38"/>
      <c r="LN159" s="38"/>
      <c r="LO159" s="38"/>
      <c r="LP159" s="38"/>
      <c r="LQ159" s="38"/>
      <c r="LR159" s="38"/>
      <c r="LS159" s="38"/>
      <c r="LT159" s="38"/>
      <c r="LU159" s="38"/>
      <c r="LV159" s="38"/>
      <c r="LW159" s="38"/>
      <c r="LX159" s="38"/>
      <c r="LY159" s="38"/>
      <c r="LZ159" s="38"/>
      <c r="MA159" s="38"/>
      <c r="MB159" s="38"/>
      <c r="MC159" s="38"/>
      <c r="MD159" s="38"/>
      <c r="ME159" s="38"/>
      <c r="MF159" s="38"/>
      <c r="MG159" s="38"/>
      <c r="MH159" s="38"/>
      <c r="MI159" s="38"/>
      <c r="MJ159" s="38"/>
      <c r="MK159" s="38"/>
      <c r="ML159" s="38"/>
      <c r="MM159" s="38"/>
      <c r="MN159" s="38"/>
      <c r="MO159" s="38"/>
      <c r="MP159" s="38"/>
      <c r="MQ159" s="38"/>
      <c r="MR159" s="38"/>
      <c r="MS159" s="38"/>
      <c r="MT159" s="38"/>
      <c r="MU159" s="38"/>
      <c r="MV159" s="38"/>
      <c r="MW159" s="38"/>
      <c r="MX159" s="38"/>
      <c r="MY159" s="38"/>
      <c r="MZ159" s="38"/>
      <c r="NA159" s="38"/>
      <c r="NB159" s="38"/>
      <c r="NC159" s="38"/>
      <c r="ND159" s="38"/>
      <c r="NE159" s="38"/>
      <c r="NF159" s="38"/>
      <c r="NG159" s="38"/>
      <c r="NH159" s="38"/>
      <c r="NI159" s="38"/>
      <c r="NJ159" s="38"/>
      <c r="NK159" s="38"/>
      <c r="NL159" s="38"/>
      <c r="NM159" s="38"/>
      <c r="NN159" s="38"/>
      <c r="NO159" s="38"/>
      <c r="NP159" s="38"/>
      <c r="NQ159" s="38"/>
      <c r="NR159" s="38"/>
      <c r="NS159" s="38"/>
      <c r="NT159" s="38"/>
      <c r="NU159" s="38"/>
      <c r="NV159" s="38"/>
      <c r="NW159" s="38"/>
      <c r="NX159" s="38"/>
      <c r="NY159" s="38"/>
      <c r="NZ159" s="38"/>
      <c r="OA159" s="38"/>
      <c r="OB159" s="38"/>
      <c r="OC159" s="38"/>
      <c r="OD159" s="38"/>
      <c r="OE159" s="38"/>
      <c r="OF159" s="38"/>
      <c r="OG159" s="38"/>
      <c r="OH159" s="38"/>
      <c r="OI159" s="38"/>
      <c r="OJ159" s="38"/>
      <c r="OK159" s="38"/>
      <c r="OL159" s="38"/>
      <c r="OM159" s="38"/>
      <c r="ON159" s="38"/>
      <c r="OO159" s="38"/>
      <c r="OP159" s="38"/>
      <c r="OQ159" s="38"/>
      <c r="OR159" s="38"/>
      <c r="OS159" s="38"/>
      <c r="OT159" s="38"/>
      <c r="OU159" s="38"/>
      <c r="OV159" s="38"/>
      <c r="OW159" s="38"/>
      <c r="OX159" s="38"/>
      <c r="OY159" s="38"/>
      <c r="OZ159" s="38"/>
      <c r="PA159" s="38"/>
      <c r="PB159" s="38"/>
      <c r="PC159" s="38"/>
      <c r="PD159" s="38"/>
      <c r="PE159" s="38"/>
      <c r="PF159" s="38"/>
      <c r="PG159" s="38"/>
      <c r="PH159" s="38"/>
      <c r="PI159" s="38"/>
      <c r="PJ159" s="38"/>
      <c r="PK159" s="38"/>
      <c r="PL159" s="38"/>
      <c r="PM159" s="38"/>
      <c r="PN159" s="38"/>
      <c r="PO159" s="38"/>
      <c r="PP159" s="38"/>
      <c r="PQ159" s="38"/>
      <c r="PR159" s="38"/>
      <c r="PS159" s="38"/>
      <c r="PT159" s="38"/>
      <c r="PU159" s="38"/>
      <c r="PV159" s="38"/>
      <c r="PW159" s="38"/>
      <c r="PX159" s="38"/>
      <c r="PY159" s="38"/>
      <c r="PZ159" s="38"/>
      <c r="QA159" s="38"/>
      <c r="QB159" s="38"/>
      <c r="QC159" s="38"/>
      <c r="QD159" s="38"/>
      <c r="QE159" s="38"/>
      <c r="QF159" s="38"/>
      <c r="QG159" s="38"/>
      <c r="QH159" s="38"/>
      <c r="QI159" s="38"/>
      <c r="QJ159" s="38"/>
      <c r="QK159" s="38"/>
      <c r="QL159" s="38"/>
      <c r="QM159" s="38"/>
      <c r="QN159" s="38"/>
      <c r="QO159" s="38"/>
      <c r="QP159" s="38"/>
      <c r="QQ159" s="38"/>
      <c r="QR159" s="38"/>
      <c r="QS159" s="38"/>
      <c r="QT159" s="38"/>
      <c r="QU159" s="38"/>
      <c r="QV159" s="38"/>
      <c r="QW159" s="38"/>
      <c r="QX159" s="38"/>
      <c r="QY159" s="38"/>
      <c r="QZ159" s="38"/>
      <c r="RA159" s="38"/>
      <c r="RB159" s="38"/>
      <c r="RC159" s="38"/>
      <c r="RD159" s="38"/>
      <c r="RE159" s="38"/>
      <c r="RF159" s="38"/>
      <c r="RG159" s="38"/>
      <c r="RH159" s="38"/>
      <c r="RI159" s="38"/>
      <c r="RJ159" s="38"/>
      <c r="RK159" s="38"/>
      <c r="RL159" s="38"/>
      <c r="RM159" s="38"/>
      <c r="RN159" s="38"/>
      <c r="RO159" s="38"/>
      <c r="RP159" s="38"/>
      <c r="RQ159" s="38"/>
      <c r="RR159" s="38"/>
      <c r="RS159" s="38"/>
      <c r="RT159" s="38"/>
      <c r="RU159" s="38"/>
      <c r="RV159" s="38"/>
      <c r="RW159" s="38"/>
      <c r="RX159" s="38"/>
      <c r="RY159" s="38"/>
      <c r="RZ159" s="38"/>
      <c r="SA159" s="38"/>
      <c r="SB159" s="38"/>
      <c r="SC159" s="38"/>
      <c r="SD159" s="38"/>
      <c r="SE159" s="38"/>
      <c r="SF159" s="38"/>
      <c r="SG159" s="38"/>
      <c r="SH159" s="38"/>
      <c r="SI159" s="38"/>
      <c r="SJ159" s="38"/>
      <c r="SK159" s="38"/>
      <c r="SL159" s="38"/>
      <c r="SM159" s="38"/>
      <c r="SN159" s="38"/>
      <c r="SO159" s="38"/>
      <c r="SP159" s="38"/>
      <c r="SQ159" s="38"/>
      <c r="SR159" s="38"/>
      <c r="SS159" s="38"/>
      <c r="ST159" s="38"/>
      <c r="SU159" s="38"/>
      <c r="SV159" s="38"/>
      <c r="SW159" s="38"/>
      <c r="SX159" s="38"/>
      <c r="SY159" s="38"/>
      <c r="SZ159" s="38"/>
      <c r="TA159" s="38"/>
      <c r="TB159" s="38"/>
      <c r="TC159" s="38"/>
      <c r="TD159" s="38"/>
      <c r="TE159" s="38"/>
      <c r="TF159" s="38"/>
      <c r="TG159" s="38"/>
      <c r="TH159" s="38"/>
      <c r="TI159" s="38"/>
    </row>
    <row r="160" spans="1:529" s="40" customFormat="1" ht="38.25" customHeight="1" x14ac:dyDescent="0.25">
      <c r="A160" s="77" t="s">
        <v>40</v>
      </c>
      <c r="B160" s="75"/>
      <c r="C160" s="75"/>
      <c r="D160" s="33" t="s">
        <v>46</v>
      </c>
      <c r="E160" s="68">
        <f>SUM(E161+E162+E163+E164+E165+E166+E168+E169+E170+E171+E167+E172)</f>
        <v>3706717</v>
      </c>
      <c r="F160" s="68">
        <f t="shared" ref="F160:P160" si="84">SUM(F161+F162+F163+F164+F165+F166+F168+F169+F170+F171+F167+F172)</f>
        <v>3621811</v>
      </c>
      <c r="G160" s="68">
        <f t="shared" si="84"/>
        <v>1552300</v>
      </c>
      <c r="H160" s="68">
        <f t="shared" si="84"/>
        <v>0</v>
      </c>
      <c r="I160" s="68">
        <f t="shared" si="84"/>
        <v>84906</v>
      </c>
      <c r="J160" s="68">
        <f t="shared" si="84"/>
        <v>164874492.18000001</v>
      </c>
      <c r="K160" s="68">
        <f t="shared" si="84"/>
        <v>151027220</v>
      </c>
      <c r="L160" s="68">
        <f t="shared" si="84"/>
        <v>3200000</v>
      </c>
      <c r="M160" s="68">
        <f t="shared" si="84"/>
        <v>2348000</v>
      </c>
      <c r="N160" s="68">
        <f t="shared" si="84"/>
        <v>90600</v>
      </c>
      <c r="O160" s="68">
        <f t="shared" si="84"/>
        <v>161674492.18000001</v>
      </c>
      <c r="P160" s="68">
        <f t="shared" si="84"/>
        <v>168581209.18000001</v>
      </c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/>
      <c r="HT160" s="39"/>
      <c r="HU160" s="39"/>
      <c r="HV160" s="39"/>
      <c r="HW160" s="39"/>
      <c r="HX160" s="39"/>
      <c r="HY160" s="39"/>
      <c r="HZ160" s="39"/>
      <c r="IA160" s="39"/>
      <c r="IB160" s="39"/>
      <c r="IC160" s="39"/>
      <c r="ID160" s="39"/>
      <c r="IE160" s="39"/>
      <c r="IF160" s="39"/>
      <c r="IG160" s="39"/>
      <c r="IH160" s="39"/>
      <c r="II160" s="39"/>
      <c r="IJ160" s="39"/>
      <c r="IK160" s="39"/>
      <c r="IL160" s="39"/>
      <c r="IM160" s="39"/>
      <c r="IN160" s="39"/>
      <c r="IO160" s="39"/>
      <c r="IP160" s="39"/>
      <c r="IQ160" s="39"/>
      <c r="IR160" s="39"/>
      <c r="IS160" s="39"/>
      <c r="IT160" s="39"/>
      <c r="IU160" s="39"/>
      <c r="IV160" s="39"/>
      <c r="IW160" s="39"/>
      <c r="IX160" s="39"/>
      <c r="IY160" s="39"/>
      <c r="IZ160" s="39"/>
      <c r="JA160" s="39"/>
      <c r="JB160" s="39"/>
      <c r="JC160" s="39"/>
      <c r="JD160" s="39"/>
      <c r="JE160" s="39"/>
      <c r="JF160" s="39"/>
      <c r="JG160" s="39"/>
      <c r="JH160" s="39"/>
      <c r="JI160" s="39"/>
      <c r="JJ160" s="39"/>
      <c r="JK160" s="39"/>
      <c r="JL160" s="39"/>
      <c r="JM160" s="39"/>
      <c r="JN160" s="39"/>
      <c r="JO160" s="39"/>
      <c r="JP160" s="39"/>
      <c r="JQ160" s="39"/>
      <c r="JR160" s="39"/>
      <c r="JS160" s="39"/>
      <c r="JT160" s="39"/>
      <c r="JU160" s="39"/>
      <c r="JV160" s="39"/>
      <c r="JW160" s="39"/>
      <c r="JX160" s="39"/>
      <c r="JY160" s="39"/>
      <c r="JZ160" s="39"/>
      <c r="KA160" s="39"/>
      <c r="KB160" s="39"/>
      <c r="KC160" s="39"/>
      <c r="KD160" s="39"/>
      <c r="KE160" s="39"/>
      <c r="KF160" s="39"/>
      <c r="KG160" s="39"/>
      <c r="KH160" s="39"/>
      <c r="KI160" s="39"/>
      <c r="KJ160" s="39"/>
      <c r="KK160" s="39"/>
      <c r="KL160" s="39"/>
      <c r="KM160" s="39"/>
      <c r="KN160" s="39"/>
      <c r="KO160" s="39"/>
      <c r="KP160" s="39"/>
      <c r="KQ160" s="39"/>
      <c r="KR160" s="39"/>
      <c r="KS160" s="39"/>
      <c r="KT160" s="39"/>
      <c r="KU160" s="39"/>
      <c r="KV160" s="39"/>
      <c r="KW160" s="39"/>
      <c r="KX160" s="39"/>
      <c r="KY160" s="39"/>
      <c r="KZ160" s="39"/>
      <c r="LA160" s="39"/>
      <c r="LB160" s="39"/>
      <c r="LC160" s="39"/>
      <c r="LD160" s="39"/>
      <c r="LE160" s="39"/>
      <c r="LF160" s="39"/>
      <c r="LG160" s="39"/>
      <c r="LH160" s="39"/>
      <c r="LI160" s="39"/>
      <c r="LJ160" s="39"/>
      <c r="LK160" s="39"/>
      <c r="LL160" s="39"/>
      <c r="LM160" s="39"/>
      <c r="LN160" s="39"/>
      <c r="LO160" s="39"/>
      <c r="LP160" s="39"/>
      <c r="LQ160" s="39"/>
      <c r="LR160" s="39"/>
      <c r="LS160" s="39"/>
      <c r="LT160" s="39"/>
      <c r="LU160" s="39"/>
      <c r="LV160" s="39"/>
      <c r="LW160" s="39"/>
      <c r="LX160" s="39"/>
      <c r="LY160" s="39"/>
      <c r="LZ160" s="39"/>
      <c r="MA160" s="39"/>
      <c r="MB160" s="39"/>
      <c r="MC160" s="39"/>
      <c r="MD160" s="39"/>
      <c r="ME160" s="39"/>
      <c r="MF160" s="39"/>
      <c r="MG160" s="39"/>
      <c r="MH160" s="39"/>
      <c r="MI160" s="39"/>
      <c r="MJ160" s="39"/>
      <c r="MK160" s="39"/>
      <c r="ML160" s="39"/>
      <c r="MM160" s="39"/>
      <c r="MN160" s="39"/>
      <c r="MO160" s="39"/>
      <c r="MP160" s="39"/>
      <c r="MQ160" s="39"/>
      <c r="MR160" s="39"/>
      <c r="MS160" s="39"/>
      <c r="MT160" s="39"/>
      <c r="MU160" s="39"/>
      <c r="MV160" s="39"/>
      <c r="MW160" s="39"/>
      <c r="MX160" s="39"/>
      <c r="MY160" s="39"/>
      <c r="MZ160" s="39"/>
      <c r="NA160" s="39"/>
      <c r="NB160" s="39"/>
      <c r="NC160" s="39"/>
      <c r="ND160" s="39"/>
      <c r="NE160" s="39"/>
      <c r="NF160" s="39"/>
      <c r="NG160" s="39"/>
      <c r="NH160" s="39"/>
      <c r="NI160" s="39"/>
      <c r="NJ160" s="39"/>
      <c r="NK160" s="39"/>
      <c r="NL160" s="39"/>
      <c r="NM160" s="39"/>
      <c r="NN160" s="39"/>
      <c r="NO160" s="39"/>
      <c r="NP160" s="39"/>
      <c r="NQ160" s="39"/>
      <c r="NR160" s="39"/>
      <c r="NS160" s="39"/>
      <c r="NT160" s="39"/>
      <c r="NU160" s="39"/>
      <c r="NV160" s="39"/>
      <c r="NW160" s="39"/>
      <c r="NX160" s="39"/>
      <c r="NY160" s="39"/>
      <c r="NZ160" s="39"/>
      <c r="OA160" s="39"/>
      <c r="OB160" s="39"/>
      <c r="OC160" s="39"/>
      <c r="OD160" s="39"/>
      <c r="OE160" s="39"/>
      <c r="OF160" s="39"/>
      <c r="OG160" s="39"/>
      <c r="OH160" s="39"/>
      <c r="OI160" s="39"/>
      <c r="OJ160" s="39"/>
      <c r="OK160" s="39"/>
      <c r="OL160" s="39"/>
      <c r="OM160" s="39"/>
      <c r="ON160" s="39"/>
      <c r="OO160" s="39"/>
      <c r="OP160" s="39"/>
      <c r="OQ160" s="39"/>
      <c r="OR160" s="39"/>
      <c r="OS160" s="39"/>
      <c r="OT160" s="39"/>
      <c r="OU160" s="39"/>
      <c r="OV160" s="39"/>
      <c r="OW160" s="39"/>
      <c r="OX160" s="39"/>
      <c r="OY160" s="39"/>
      <c r="OZ160" s="39"/>
      <c r="PA160" s="39"/>
      <c r="PB160" s="39"/>
      <c r="PC160" s="39"/>
      <c r="PD160" s="39"/>
      <c r="PE160" s="39"/>
      <c r="PF160" s="39"/>
      <c r="PG160" s="39"/>
      <c r="PH160" s="39"/>
      <c r="PI160" s="39"/>
      <c r="PJ160" s="39"/>
      <c r="PK160" s="39"/>
      <c r="PL160" s="39"/>
      <c r="PM160" s="39"/>
      <c r="PN160" s="39"/>
      <c r="PO160" s="39"/>
      <c r="PP160" s="39"/>
      <c r="PQ160" s="39"/>
      <c r="PR160" s="39"/>
      <c r="PS160" s="39"/>
      <c r="PT160" s="39"/>
      <c r="PU160" s="39"/>
      <c r="PV160" s="39"/>
      <c r="PW160" s="39"/>
      <c r="PX160" s="39"/>
      <c r="PY160" s="39"/>
      <c r="PZ160" s="39"/>
      <c r="QA160" s="39"/>
      <c r="QB160" s="39"/>
      <c r="QC160" s="39"/>
      <c r="QD160" s="39"/>
      <c r="QE160" s="39"/>
      <c r="QF160" s="39"/>
      <c r="QG160" s="39"/>
      <c r="QH160" s="39"/>
      <c r="QI160" s="39"/>
      <c r="QJ160" s="39"/>
      <c r="QK160" s="39"/>
      <c r="QL160" s="39"/>
      <c r="QM160" s="39"/>
      <c r="QN160" s="39"/>
      <c r="QO160" s="39"/>
      <c r="QP160" s="39"/>
      <c r="QQ160" s="39"/>
      <c r="QR160" s="39"/>
      <c r="QS160" s="39"/>
      <c r="QT160" s="39"/>
      <c r="QU160" s="39"/>
      <c r="QV160" s="39"/>
      <c r="QW160" s="39"/>
      <c r="QX160" s="39"/>
      <c r="QY160" s="39"/>
      <c r="QZ160" s="39"/>
      <c r="RA160" s="39"/>
      <c r="RB160" s="39"/>
      <c r="RC160" s="39"/>
      <c r="RD160" s="39"/>
      <c r="RE160" s="39"/>
      <c r="RF160" s="39"/>
      <c r="RG160" s="39"/>
      <c r="RH160" s="39"/>
      <c r="RI160" s="39"/>
      <c r="RJ160" s="39"/>
      <c r="RK160" s="39"/>
      <c r="RL160" s="39"/>
      <c r="RM160" s="39"/>
      <c r="RN160" s="39"/>
      <c r="RO160" s="39"/>
      <c r="RP160" s="39"/>
      <c r="RQ160" s="39"/>
      <c r="RR160" s="39"/>
      <c r="RS160" s="39"/>
      <c r="RT160" s="39"/>
      <c r="RU160" s="39"/>
      <c r="RV160" s="39"/>
      <c r="RW160" s="39"/>
      <c r="RX160" s="39"/>
      <c r="RY160" s="39"/>
      <c r="RZ160" s="39"/>
      <c r="SA160" s="39"/>
      <c r="SB160" s="39"/>
      <c r="SC160" s="39"/>
      <c r="SD160" s="39"/>
      <c r="SE160" s="39"/>
      <c r="SF160" s="39"/>
      <c r="SG160" s="39"/>
      <c r="SH160" s="39"/>
      <c r="SI160" s="39"/>
      <c r="SJ160" s="39"/>
      <c r="SK160" s="39"/>
      <c r="SL160" s="39"/>
      <c r="SM160" s="39"/>
      <c r="SN160" s="39"/>
      <c r="SO160" s="39"/>
      <c r="SP160" s="39"/>
      <c r="SQ160" s="39"/>
      <c r="SR160" s="39"/>
      <c r="SS160" s="39"/>
      <c r="ST160" s="39"/>
      <c r="SU160" s="39"/>
      <c r="SV160" s="39"/>
      <c r="SW160" s="39"/>
      <c r="SX160" s="39"/>
      <c r="SY160" s="39"/>
      <c r="SZ160" s="39"/>
      <c r="TA160" s="39"/>
      <c r="TB160" s="39"/>
      <c r="TC160" s="39"/>
      <c r="TD160" s="39"/>
      <c r="TE160" s="39"/>
      <c r="TF160" s="39"/>
      <c r="TG160" s="39"/>
      <c r="TH160" s="39"/>
      <c r="TI160" s="39"/>
    </row>
    <row r="161" spans="1:529" s="23" customFormat="1" ht="44.25" customHeight="1" x14ac:dyDescent="0.25">
      <c r="A161" s="43" t="s">
        <v>170</v>
      </c>
      <c r="B161" s="44" t="str">
        <f>'дод 4'!A19</f>
        <v>0160</v>
      </c>
      <c r="C161" s="44" t="str">
        <f>'дод 4'!B19</f>
        <v>0111</v>
      </c>
      <c r="D161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61" s="69">
        <f t="shared" ref="E161:E172" si="85">F161+I161</f>
        <v>1893800</v>
      </c>
      <c r="F161" s="69">
        <f>1976700-82900</f>
        <v>1893800</v>
      </c>
      <c r="G161" s="69">
        <f>1620200-67900</f>
        <v>1552300</v>
      </c>
      <c r="H161" s="69"/>
      <c r="I161" s="69"/>
      <c r="J161" s="69">
        <f>L161+O161</f>
        <v>3200000</v>
      </c>
      <c r="K161" s="69"/>
      <c r="L161" s="69">
        <v>3200000</v>
      </c>
      <c r="M161" s="69">
        <v>2348000</v>
      </c>
      <c r="N161" s="69">
        <v>90600</v>
      </c>
      <c r="O161" s="69"/>
      <c r="P161" s="69">
        <f t="shared" ref="P161:P172" si="86">E161+J161</f>
        <v>5093800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</row>
    <row r="162" spans="1:529" s="23" customFormat="1" ht="22.5" customHeight="1" x14ac:dyDescent="0.25">
      <c r="A162" s="43" t="s">
        <v>242</v>
      </c>
      <c r="B162" s="44" t="str">
        <f>'дод 4'!A93</f>
        <v>6030</v>
      </c>
      <c r="C162" s="44" t="str">
        <f>'дод 4'!B93</f>
        <v>0620</v>
      </c>
      <c r="D162" s="24" t="str">
        <f>'дод 4'!C93</f>
        <v>Організація благоустрою населених пунктів</v>
      </c>
      <c r="E162" s="69">
        <f t="shared" si="85"/>
        <v>0</v>
      </c>
      <c r="F162" s="69"/>
      <c r="G162" s="69"/>
      <c r="H162" s="69"/>
      <c r="I162" s="69"/>
      <c r="J162" s="69">
        <f t="shared" ref="J162:J177" si="87">L162+O162</f>
        <v>15454000</v>
      </c>
      <c r="K162" s="69">
        <f>60000000-5000000-3750000-35796000</f>
        <v>15454000</v>
      </c>
      <c r="L162" s="69"/>
      <c r="M162" s="69"/>
      <c r="N162" s="69"/>
      <c r="O162" s="69">
        <f>60000000-5000000-3750000-35796000</f>
        <v>15454000</v>
      </c>
      <c r="P162" s="69">
        <f t="shared" si="86"/>
        <v>15454000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</row>
    <row r="163" spans="1:529" s="23" customFormat="1" ht="54.75" customHeight="1" x14ac:dyDescent="0.25">
      <c r="A163" s="43" t="s">
        <v>243</v>
      </c>
      <c r="B163" s="44" t="str">
        <f>'дод 4'!A94</f>
        <v>6084</v>
      </c>
      <c r="C163" s="44" t="str">
        <f>'дод 4'!B94</f>
        <v>0610</v>
      </c>
      <c r="D163" s="24" t="str">
        <f>'дод 4'!C94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63" s="69">
        <f t="shared" si="85"/>
        <v>84906</v>
      </c>
      <c r="F163" s="69"/>
      <c r="G163" s="69"/>
      <c r="H163" s="69"/>
      <c r="I163" s="69">
        <v>84906</v>
      </c>
      <c r="J163" s="69">
        <f t="shared" si="87"/>
        <v>77703.06</v>
      </c>
      <c r="K163" s="69"/>
      <c r="L163" s="71"/>
      <c r="M163" s="69"/>
      <c r="N163" s="69"/>
      <c r="O163" s="69">
        <f>46724+30979.06</f>
        <v>77703.06</v>
      </c>
      <c r="P163" s="69">
        <f t="shared" si="86"/>
        <v>162609.06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</row>
    <row r="164" spans="1:529" s="23" customFormat="1" ht="33.75" customHeight="1" x14ac:dyDescent="0.25">
      <c r="A164" s="43" t="s">
        <v>318</v>
      </c>
      <c r="B164" s="44" t="str">
        <f>'дод 4'!A102</f>
        <v>7310</v>
      </c>
      <c r="C164" s="44" t="str">
        <f>'дод 4'!B102</f>
        <v>0443</v>
      </c>
      <c r="D164" s="24" t="str">
        <f>'дод 4'!C102</f>
        <v>Будівництво об'єктів житлово-комунального господарства</v>
      </c>
      <c r="E164" s="69">
        <f t="shared" si="85"/>
        <v>0</v>
      </c>
      <c r="F164" s="69"/>
      <c r="G164" s="69"/>
      <c r="H164" s="69"/>
      <c r="I164" s="69"/>
      <c r="J164" s="69">
        <f t="shared" si="87"/>
        <v>4590000</v>
      </c>
      <c r="K164" s="69">
        <f>3000000+1590000</f>
        <v>4590000</v>
      </c>
      <c r="L164" s="69"/>
      <c r="M164" s="69"/>
      <c r="N164" s="69"/>
      <c r="O164" s="69">
        <f>3000000+1590000</f>
        <v>4590000</v>
      </c>
      <c r="P164" s="69">
        <f t="shared" si="86"/>
        <v>4590000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</row>
    <row r="165" spans="1:529" s="23" customFormat="1" ht="21.75" customHeight="1" x14ac:dyDescent="0.25">
      <c r="A165" s="43" t="s">
        <v>319</v>
      </c>
      <c r="B165" s="44" t="str">
        <f>'дод 4'!A103</f>
        <v>7321</v>
      </c>
      <c r="C165" s="44" t="str">
        <f>'дод 4'!B103</f>
        <v>0443</v>
      </c>
      <c r="D165" s="24" t="str">
        <f>'дод 4'!C103</f>
        <v>Будівництво освітніх установ та закладів</v>
      </c>
      <c r="E165" s="69">
        <f t="shared" si="85"/>
        <v>0</v>
      </c>
      <c r="F165" s="69"/>
      <c r="G165" s="69"/>
      <c r="H165" s="69"/>
      <c r="I165" s="69"/>
      <c r="J165" s="69">
        <f t="shared" si="87"/>
        <v>4000000</v>
      </c>
      <c r="K165" s="69">
        <f>9000000-5000000</f>
        <v>4000000</v>
      </c>
      <c r="L165" s="69"/>
      <c r="M165" s="69"/>
      <c r="N165" s="69"/>
      <c r="O165" s="69">
        <f>9000000-5000000</f>
        <v>4000000</v>
      </c>
      <c r="P165" s="69">
        <f t="shared" si="86"/>
        <v>4000000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</row>
    <row r="166" spans="1:529" s="23" customFormat="1" ht="18" customHeight="1" x14ac:dyDescent="0.25">
      <c r="A166" s="43" t="s">
        <v>321</v>
      </c>
      <c r="B166" s="44" t="str">
        <f>'дод 4'!A104</f>
        <v>7322</v>
      </c>
      <c r="C166" s="44" t="str">
        <f>'дод 4'!B104</f>
        <v>0443</v>
      </c>
      <c r="D166" s="24" t="str">
        <f>'дод 4'!C104</f>
        <v>Будівництво медичних установ та закладів</v>
      </c>
      <c r="E166" s="69">
        <f t="shared" si="85"/>
        <v>0</v>
      </c>
      <c r="F166" s="69"/>
      <c r="G166" s="69"/>
      <c r="H166" s="69"/>
      <c r="I166" s="69"/>
      <c r="J166" s="69">
        <f t="shared" si="87"/>
        <v>4454849</v>
      </c>
      <c r="K166" s="69">
        <f>7000000-3286719+741568</f>
        <v>4454849</v>
      </c>
      <c r="L166" s="69"/>
      <c r="M166" s="69"/>
      <c r="N166" s="69"/>
      <c r="O166" s="69">
        <f>7000000-3286719+741568</f>
        <v>4454849</v>
      </c>
      <c r="P166" s="69">
        <f t="shared" si="86"/>
        <v>4454849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</row>
    <row r="167" spans="1:529" s="23" customFormat="1" ht="30" x14ac:dyDescent="0.25">
      <c r="A167" s="43" t="s">
        <v>421</v>
      </c>
      <c r="B167" s="44">
        <f>'дод 4'!A105</f>
        <v>7325</v>
      </c>
      <c r="C167" s="44">
        <f>'дод 4'!B105</f>
        <v>443</v>
      </c>
      <c r="D167" s="24" t="str">
        <f>'дод 4'!C105</f>
        <v>Будівництво споруд, установ та закладів фізичної культури і спорту</v>
      </c>
      <c r="E167" s="69"/>
      <c r="F167" s="69"/>
      <c r="G167" s="69"/>
      <c r="H167" s="69"/>
      <c r="I167" s="69"/>
      <c r="J167" s="69">
        <f t="shared" si="87"/>
        <v>100000</v>
      </c>
      <c r="K167" s="69">
        <f>7000000-7000000+100000</f>
        <v>100000</v>
      </c>
      <c r="L167" s="69"/>
      <c r="M167" s="69"/>
      <c r="N167" s="69"/>
      <c r="O167" s="69">
        <f>7000000-7000000+100000</f>
        <v>100000</v>
      </c>
      <c r="P167" s="69">
        <f t="shared" si="86"/>
        <v>100000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</row>
    <row r="168" spans="1:529" s="23" customFormat="1" ht="23.25" customHeight="1" x14ac:dyDescent="0.25">
      <c r="A168" s="43" t="s">
        <v>323</v>
      </c>
      <c r="B168" s="44" t="str">
        <f>'дод 4'!A106</f>
        <v>7330</v>
      </c>
      <c r="C168" s="44" t="str">
        <f>'дод 4'!B106</f>
        <v>0443</v>
      </c>
      <c r="D168" s="24" t="str">
        <f>'дод 4'!C106</f>
        <v>Будівництво інших об'єктів комунальної власності</v>
      </c>
      <c r="E168" s="69">
        <f t="shared" si="85"/>
        <v>0</v>
      </c>
      <c r="F168" s="69"/>
      <c r="G168" s="69"/>
      <c r="H168" s="69"/>
      <c r="I168" s="69"/>
      <c r="J168" s="69">
        <f t="shared" si="87"/>
        <v>42980823</v>
      </c>
      <c r="K168" s="69">
        <f>41200000+100000-1000000+300000+1000000+1000000-1800000+860151+8034260+1003444+2000000+282968-10000000</f>
        <v>42980823</v>
      </c>
      <c r="L168" s="69"/>
      <c r="M168" s="69"/>
      <c r="N168" s="69"/>
      <c r="O168" s="69">
        <f>41200000+100000-1000000+300000+1000000+1000000-1800000+860151+8034260+1003444+2000000+282968-10000000</f>
        <v>42980823</v>
      </c>
      <c r="P168" s="69">
        <f t="shared" si="86"/>
        <v>42980823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  <c r="MA168" s="26"/>
      <c r="MB168" s="26"/>
      <c r="MC168" s="26"/>
      <c r="MD168" s="26"/>
      <c r="ME168" s="26"/>
      <c r="MF168" s="26"/>
      <c r="MG168" s="26"/>
      <c r="MH168" s="26"/>
      <c r="MI168" s="26"/>
      <c r="MJ168" s="26"/>
      <c r="MK168" s="26"/>
      <c r="ML168" s="26"/>
      <c r="MM168" s="26"/>
      <c r="MN168" s="26"/>
      <c r="MO168" s="26"/>
      <c r="MP168" s="26"/>
      <c r="MQ168" s="26"/>
      <c r="MR168" s="26"/>
      <c r="MS168" s="26"/>
      <c r="MT168" s="26"/>
      <c r="MU168" s="26"/>
      <c r="MV168" s="26"/>
      <c r="MW168" s="26"/>
      <c r="MX168" s="26"/>
      <c r="MY168" s="26"/>
      <c r="MZ168" s="26"/>
      <c r="NA168" s="26"/>
      <c r="NB168" s="26"/>
      <c r="NC168" s="26"/>
      <c r="ND168" s="26"/>
      <c r="NE168" s="26"/>
      <c r="NF168" s="26"/>
      <c r="NG168" s="26"/>
      <c r="NH168" s="26"/>
      <c r="NI168" s="26"/>
      <c r="NJ168" s="26"/>
      <c r="NK168" s="26"/>
      <c r="NL168" s="26"/>
      <c r="NM168" s="26"/>
      <c r="NN168" s="26"/>
      <c r="NO168" s="26"/>
      <c r="NP168" s="26"/>
      <c r="NQ168" s="26"/>
      <c r="NR168" s="26"/>
      <c r="NS168" s="26"/>
      <c r="NT168" s="26"/>
      <c r="NU168" s="26"/>
      <c r="NV168" s="26"/>
      <c r="NW168" s="26"/>
      <c r="NX168" s="26"/>
      <c r="NY168" s="26"/>
      <c r="NZ168" s="26"/>
      <c r="OA168" s="26"/>
      <c r="OB168" s="26"/>
      <c r="OC168" s="26"/>
      <c r="OD168" s="26"/>
      <c r="OE168" s="26"/>
      <c r="OF168" s="26"/>
      <c r="OG168" s="26"/>
      <c r="OH168" s="26"/>
      <c r="OI168" s="26"/>
      <c r="OJ168" s="26"/>
      <c r="OK168" s="26"/>
      <c r="OL168" s="26"/>
      <c r="OM168" s="26"/>
      <c r="ON168" s="26"/>
      <c r="OO168" s="26"/>
      <c r="OP168" s="26"/>
      <c r="OQ168" s="26"/>
      <c r="OR168" s="26"/>
      <c r="OS168" s="26"/>
      <c r="OT168" s="26"/>
      <c r="OU168" s="26"/>
      <c r="OV168" s="26"/>
      <c r="OW168" s="26"/>
      <c r="OX168" s="26"/>
      <c r="OY168" s="26"/>
      <c r="OZ168" s="26"/>
      <c r="PA168" s="26"/>
      <c r="PB168" s="26"/>
      <c r="PC168" s="26"/>
      <c r="PD168" s="26"/>
      <c r="PE168" s="26"/>
      <c r="PF168" s="26"/>
      <c r="PG168" s="26"/>
      <c r="PH168" s="26"/>
      <c r="PI168" s="26"/>
      <c r="PJ168" s="26"/>
      <c r="PK168" s="26"/>
      <c r="PL168" s="26"/>
      <c r="PM168" s="26"/>
      <c r="PN168" s="26"/>
      <c r="PO168" s="26"/>
      <c r="PP168" s="26"/>
      <c r="PQ168" s="26"/>
      <c r="PR168" s="26"/>
      <c r="PS168" s="26"/>
      <c r="PT168" s="26"/>
      <c r="PU168" s="26"/>
      <c r="PV168" s="26"/>
      <c r="PW168" s="26"/>
      <c r="PX168" s="26"/>
      <c r="PY168" s="26"/>
      <c r="PZ168" s="26"/>
      <c r="QA168" s="26"/>
      <c r="QB168" s="26"/>
      <c r="QC168" s="26"/>
      <c r="QD168" s="26"/>
      <c r="QE168" s="26"/>
      <c r="QF168" s="26"/>
      <c r="QG168" s="26"/>
      <c r="QH168" s="26"/>
      <c r="QI168" s="26"/>
      <c r="QJ168" s="26"/>
      <c r="QK168" s="26"/>
      <c r="QL168" s="26"/>
      <c r="QM168" s="26"/>
      <c r="QN168" s="26"/>
      <c r="QO168" s="26"/>
      <c r="QP168" s="26"/>
      <c r="QQ168" s="26"/>
      <c r="QR168" s="26"/>
      <c r="QS168" s="26"/>
      <c r="QT168" s="26"/>
      <c r="QU168" s="26"/>
      <c r="QV168" s="26"/>
      <c r="QW168" s="26"/>
      <c r="QX168" s="26"/>
      <c r="QY168" s="26"/>
      <c r="QZ168" s="26"/>
      <c r="RA168" s="26"/>
      <c r="RB168" s="26"/>
      <c r="RC168" s="26"/>
      <c r="RD168" s="26"/>
      <c r="RE168" s="26"/>
      <c r="RF168" s="26"/>
      <c r="RG168" s="26"/>
      <c r="RH168" s="26"/>
      <c r="RI168" s="26"/>
      <c r="RJ168" s="26"/>
      <c r="RK168" s="26"/>
      <c r="RL168" s="26"/>
      <c r="RM168" s="26"/>
      <c r="RN168" s="26"/>
      <c r="RO168" s="26"/>
      <c r="RP168" s="26"/>
      <c r="RQ168" s="26"/>
      <c r="RR168" s="26"/>
      <c r="RS168" s="26"/>
      <c r="RT168" s="26"/>
      <c r="RU168" s="26"/>
      <c r="RV168" s="26"/>
      <c r="RW168" s="26"/>
      <c r="RX168" s="26"/>
      <c r="RY168" s="26"/>
      <c r="RZ168" s="26"/>
      <c r="SA168" s="26"/>
      <c r="SB168" s="26"/>
      <c r="SC168" s="26"/>
      <c r="SD168" s="26"/>
      <c r="SE168" s="26"/>
      <c r="SF168" s="26"/>
      <c r="SG168" s="26"/>
      <c r="SH168" s="26"/>
      <c r="SI168" s="26"/>
      <c r="SJ168" s="26"/>
      <c r="SK168" s="26"/>
      <c r="SL168" s="26"/>
      <c r="SM168" s="26"/>
      <c r="SN168" s="26"/>
      <c r="SO168" s="26"/>
      <c r="SP168" s="26"/>
      <c r="SQ168" s="26"/>
      <c r="SR168" s="26"/>
      <c r="SS168" s="26"/>
      <c r="ST168" s="26"/>
      <c r="SU168" s="26"/>
      <c r="SV168" s="26"/>
      <c r="SW168" s="26"/>
      <c r="SX168" s="26"/>
      <c r="SY168" s="26"/>
      <c r="SZ168" s="26"/>
      <c r="TA168" s="26"/>
      <c r="TB168" s="26"/>
      <c r="TC168" s="26"/>
      <c r="TD168" s="26"/>
      <c r="TE168" s="26"/>
      <c r="TF168" s="26"/>
      <c r="TG168" s="26"/>
      <c r="TH168" s="26"/>
      <c r="TI168" s="26"/>
    </row>
    <row r="169" spans="1:529" s="23" customFormat="1" ht="44.25" customHeight="1" x14ac:dyDescent="0.25">
      <c r="A169" s="43" t="s">
        <v>448</v>
      </c>
      <c r="B169" s="44">
        <f>'дод 4'!A108</f>
        <v>7361</v>
      </c>
      <c r="C169" s="44" t="str">
        <f>'дод 4'!B108</f>
        <v>0490</v>
      </c>
      <c r="D169" s="24" t="str">
        <f>'дод 4'!C108</f>
        <v>Співфінансування інвестиційних проектів, що реалізуються за рахунок коштів державного фонду регіонального розвитку</v>
      </c>
      <c r="E169" s="69">
        <f t="shared" ref="E169" si="88">F169+I169</f>
        <v>0</v>
      </c>
      <c r="F169" s="69"/>
      <c r="G169" s="69"/>
      <c r="H169" s="69"/>
      <c r="I169" s="69"/>
      <c r="J169" s="69">
        <f t="shared" ref="J169" si="89">L169+O169</f>
        <v>5000000</v>
      </c>
      <c r="K169" s="69">
        <v>5000000</v>
      </c>
      <c r="L169" s="69"/>
      <c r="M169" s="69"/>
      <c r="N169" s="69"/>
      <c r="O169" s="69">
        <v>5000000</v>
      </c>
      <c r="P169" s="69">
        <f t="shared" si="86"/>
        <v>5000000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23" customFormat="1" ht="42.75" customHeight="1" x14ac:dyDescent="0.25">
      <c r="A170" s="43" t="s">
        <v>437</v>
      </c>
      <c r="B170" s="44">
        <v>7363</v>
      </c>
      <c r="C170" s="43" t="s">
        <v>102</v>
      </c>
      <c r="D170" s="24" t="s">
        <v>438</v>
      </c>
      <c r="E170" s="69">
        <f t="shared" si="85"/>
        <v>0</v>
      </c>
      <c r="F170" s="69"/>
      <c r="G170" s="69"/>
      <c r="H170" s="69"/>
      <c r="I170" s="69"/>
      <c r="J170" s="69">
        <f t="shared" si="87"/>
        <v>95000</v>
      </c>
      <c r="K170" s="69">
        <v>95000</v>
      </c>
      <c r="L170" s="69"/>
      <c r="M170" s="69"/>
      <c r="N170" s="69"/>
      <c r="O170" s="69">
        <v>95000</v>
      </c>
      <c r="P170" s="69">
        <f t="shared" si="86"/>
        <v>95000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</row>
    <row r="171" spans="1:529" s="23" customFormat="1" ht="21.75" customHeight="1" x14ac:dyDescent="0.25">
      <c r="A171" s="43" t="s">
        <v>177</v>
      </c>
      <c r="B171" s="44" t="str">
        <f>'дод 4'!A121</f>
        <v>7640</v>
      </c>
      <c r="C171" s="44" t="str">
        <f>'дод 4'!B121</f>
        <v>0470</v>
      </c>
      <c r="D171" s="24" t="str">
        <f>'дод 4'!C121</f>
        <v>Заходи з енергозбереження</v>
      </c>
      <c r="E171" s="69">
        <f t="shared" si="85"/>
        <v>1728011</v>
      </c>
      <c r="F171" s="69">
        <v>1728011</v>
      </c>
      <c r="G171" s="69"/>
      <c r="H171" s="69"/>
      <c r="I171" s="69"/>
      <c r="J171" s="69">
        <f t="shared" si="87"/>
        <v>84089000</v>
      </c>
      <c r="K171" s="69">
        <v>74352548</v>
      </c>
      <c r="L171" s="71"/>
      <c r="M171" s="69"/>
      <c r="N171" s="69"/>
      <c r="O171" s="69">
        <f>74352548+9736452</f>
        <v>84089000</v>
      </c>
      <c r="P171" s="69">
        <f t="shared" si="86"/>
        <v>85817011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</row>
    <row r="172" spans="1:529" s="23" customFormat="1" ht="116.25" customHeight="1" x14ac:dyDescent="0.25">
      <c r="A172" s="43" t="s">
        <v>443</v>
      </c>
      <c r="B172" s="44">
        <v>7691</v>
      </c>
      <c r="C172" s="46" t="s">
        <v>102</v>
      </c>
      <c r="D172" s="3" t="s">
        <v>367</v>
      </c>
      <c r="E172" s="69">
        <f t="shared" si="85"/>
        <v>0</v>
      </c>
      <c r="F172" s="69"/>
      <c r="G172" s="69"/>
      <c r="H172" s="69"/>
      <c r="I172" s="69"/>
      <c r="J172" s="69">
        <f t="shared" si="87"/>
        <v>833117.12</v>
      </c>
      <c r="K172" s="69"/>
      <c r="L172" s="71"/>
      <c r="M172" s="69"/>
      <c r="N172" s="69"/>
      <c r="O172" s="69">
        <v>833117.12</v>
      </c>
      <c r="P172" s="69">
        <f t="shared" si="86"/>
        <v>833117.12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31" customFormat="1" ht="35.25" customHeight="1" x14ac:dyDescent="0.2">
      <c r="A173" s="76" t="s">
        <v>244</v>
      </c>
      <c r="B173" s="74"/>
      <c r="C173" s="74"/>
      <c r="D173" s="30" t="s">
        <v>53</v>
      </c>
      <c r="E173" s="66">
        <f>E174</f>
        <v>9067800</v>
      </c>
      <c r="F173" s="66">
        <f t="shared" ref="F173:J173" si="90">F174</f>
        <v>9067800</v>
      </c>
      <c r="G173" s="66">
        <f t="shared" si="90"/>
        <v>6950200</v>
      </c>
      <c r="H173" s="66">
        <f t="shared" si="90"/>
        <v>92400</v>
      </c>
      <c r="I173" s="66">
        <f t="shared" si="90"/>
        <v>0</v>
      </c>
      <c r="J173" s="66">
        <f t="shared" si="90"/>
        <v>2696249.54</v>
      </c>
      <c r="K173" s="66">
        <f t="shared" ref="K173" si="91">K174</f>
        <v>0</v>
      </c>
      <c r="L173" s="66">
        <f t="shared" ref="L173" si="92">L174</f>
        <v>1946249.54</v>
      </c>
      <c r="M173" s="66">
        <f t="shared" ref="M173" si="93">M174</f>
        <v>0</v>
      </c>
      <c r="N173" s="66">
        <f t="shared" ref="N173" si="94">N174</f>
        <v>0</v>
      </c>
      <c r="O173" s="66">
        <f t="shared" ref="O173:P173" si="95">O174</f>
        <v>750000</v>
      </c>
      <c r="P173" s="66">
        <f t="shared" si="95"/>
        <v>11764049.539999999</v>
      </c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  <c r="MI173" s="38"/>
      <c r="MJ173" s="38"/>
      <c r="MK173" s="38"/>
      <c r="ML173" s="38"/>
      <c r="MM173" s="38"/>
      <c r="MN173" s="38"/>
      <c r="MO173" s="38"/>
      <c r="MP173" s="38"/>
      <c r="MQ173" s="38"/>
      <c r="MR173" s="38"/>
      <c r="MS173" s="38"/>
      <c r="MT173" s="38"/>
      <c r="MU173" s="38"/>
      <c r="MV173" s="38"/>
      <c r="MW173" s="38"/>
      <c r="MX173" s="38"/>
      <c r="MY173" s="38"/>
      <c r="MZ173" s="38"/>
      <c r="NA173" s="38"/>
      <c r="NB173" s="38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38"/>
      <c r="OI173" s="38"/>
      <c r="OJ173" s="38"/>
      <c r="OK173" s="38"/>
      <c r="OL173" s="38"/>
      <c r="OM173" s="38"/>
      <c r="ON173" s="38"/>
      <c r="OO173" s="38"/>
      <c r="OP173" s="38"/>
      <c r="OQ173" s="38"/>
      <c r="OR173" s="38"/>
      <c r="OS173" s="38"/>
      <c r="OT173" s="38"/>
      <c r="OU173" s="38"/>
      <c r="OV173" s="38"/>
      <c r="OW173" s="38"/>
      <c r="OX173" s="38"/>
      <c r="OY173" s="38"/>
      <c r="OZ173" s="38"/>
      <c r="PA173" s="38"/>
      <c r="PB173" s="38"/>
      <c r="PC173" s="38"/>
      <c r="PD173" s="38"/>
      <c r="PE173" s="38"/>
      <c r="PF173" s="38"/>
      <c r="PG173" s="38"/>
      <c r="PH173" s="38"/>
      <c r="PI173" s="38"/>
      <c r="PJ173" s="38"/>
      <c r="PK173" s="38"/>
      <c r="PL173" s="38"/>
      <c r="PM173" s="38"/>
      <c r="PN173" s="38"/>
      <c r="PO173" s="38"/>
      <c r="PP173" s="38"/>
      <c r="PQ173" s="38"/>
      <c r="PR173" s="38"/>
      <c r="PS173" s="38"/>
      <c r="PT173" s="38"/>
      <c r="PU173" s="38"/>
      <c r="PV173" s="38"/>
      <c r="PW173" s="38"/>
      <c r="PX173" s="38"/>
      <c r="PY173" s="38"/>
      <c r="PZ173" s="38"/>
      <c r="QA173" s="38"/>
      <c r="QB173" s="38"/>
      <c r="QC173" s="38"/>
      <c r="QD173" s="38"/>
      <c r="QE173" s="38"/>
      <c r="QF173" s="38"/>
      <c r="QG173" s="38"/>
      <c r="QH173" s="38"/>
      <c r="QI173" s="38"/>
      <c r="QJ173" s="38"/>
      <c r="QK173" s="38"/>
      <c r="QL173" s="38"/>
      <c r="QM173" s="38"/>
      <c r="QN173" s="38"/>
      <c r="QO173" s="38"/>
      <c r="QP173" s="38"/>
      <c r="QQ173" s="38"/>
      <c r="QR173" s="38"/>
      <c r="QS173" s="38"/>
      <c r="QT173" s="38"/>
      <c r="QU173" s="38"/>
      <c r="QV173" s="38"/>
      <c r="QW173" s="38"/>
      <c r="QX173" s="38"/>
      <c r="QY173" s="38"/>
      <c r="QZ173" s="38"/>
      <c r="RA173" s="38"/>
      <c r="RB173" s="38"/>
      <c r="RC173" s="38"/>
      <c r="RD173" s="38"/>
      <c r="RE173" s="38"/>
      <c r="RF173" s="38"/>
      <c r="RG173" s="38"/>
      <c r="RH173" s="38"/>
      <c r="RI173" s="38"/>
      <c r="RJ173" s="38"/>
      <c r="RK173" s="38"/>
      <c r="RL173" s="38"/>
      <c r="RM173" s="38"/>
      <c r="RN173" s="38"/>
      <c r="RO173" s="38"/>
      <c r="RP173" s="38"/>
      <c r="RQ173" s="38"/>
      <c r="RR173" s="38"/>
      <c r="RS173" s="38"/>
      <c r="RT173" s="38"/>
      <c r="RU173" s="38"/>
      <c r="RV173" s="38"/>
      <c r="RW173" s="38"/>
      <c r="RX173" s="38"/>
      <c r="RY173" s="38"/>
      <c r="RZ173" s="38"/>
      <c r="SA173" s="38"/>
      <c r="SB173" s="38"/>
      <c r="SC173" s="38"/>
      <c r="SD173" s="38"/>
      <c r="SE173" s="38"/>
      <c r="SF173" s="38"/>
      <c r="SG173" s="38"/>
      <c r="SH173" s="38"/>
      <c r="SI173" s="38"/>
      <c r="SJ173" s="38"/>
      <c r="SK173" s="38"/>
      <c r="SL173" s="38"/>
      <c r="SM173" s="38"/>
      <c r="SN173" s="38"/>
      <c r="SO173" s="38"/>
      <c r="SP173" s="38"/>
      <c r="SQ173" s="38"/>
      <c r="SR173" s="38"/>
      <c r="SS173" s="38"/>
      <c r="ST173" s="38"/>
      <c r="SU173" s="38"/>
      <c r="SV173" s="38"/>
      <c r="SW173" s="38"/>
      <c r="SX173" s="38"/>
      <c r="SY173" s="38"/>
      <c r="SZ173" s="38"/>
      <c r="TA173" s="38"/>
      <c r="TB173" s="38"/>
      <c r="TC173" s="38"/>
      <c r="TD173" s="38"/>
      <c r="TE173" s="38"/>
      <c r="TF173" s="38"/>
      <c r="TG173" s="38"/>
      <c r="TH173" s="38"/>
      <c r="TI173" s="38"/>
    </row>
    <row r="174" spans="1:529" s="40" customFormat="1" ht="41.25" customHeight="1" x14ac:dyDescent="0.25">
      <c r="A174" s="77" t="s">
        <v>245</v>
      </c>
      <c r="B174" s="75"/>
      <c r="C174" s="75"/>
      <c r="D174" s="33" t="s">
        <v>53</v>
      </c>
      <c r="E174" s="68">
        <f>E175+E176+E177</f>
        <v>9067800</v>
      </c>
      <c r="F174" s="68">
        <f t="shared" ref="F174:P174" si="96">F175+F176+F177</f>
        <v>9067800</v>
      </c>
      <c r="G174" s="68">
        <f t="shared" si="96"/>
        <v>6950200</v>
      </c>
      <c r="H174" s="68">
        <f t="shared" si="96"/>
        <v>92400</v>
      </c>
      <c r="I174" s="68">
        <f t="shared" si="96"/>
        <v>0</v>
      </c>
      <c r="J174" s="68">
        <f t="shared" si="96"/>
        <v>2696249.54</v>
      </c>
      <c r="K174" s="68">
        <f t="shared" si="96"/>
        <v>0</v>
      </c>
      <c r="L174" s="68">
        <f>L175+L176+L177</f>
        <v>1946249.54</v>
      </c>
      <c r="M174" s="68">
        <f t="shared" si="96"/>
        <v>0</v>
      </c>
      <c r="N174" s="68">
        <f t="shared" si="96"/>
        <v>0</v>
      </c>
      <c r="O174" s="68">
        <f t="shared" si="96"/>
        <v>750000</v>
      </c>
      <c r="P174" s="68">
        <f t="shared" si="96"/>
        <v>11764049.539999999</v>
      </c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  <c r="KV174" s="39"/>
      <c r="KW174" s="39"/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/>
      <c r="LK174" s="39"/>
      <c r="LL174" s="39"/>
      <c r="LM174" s="39"/>
      <c r="LN174" s="39"/>
      <c r="LO174" s="39"/>
      <c r="LP174" s="39"/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/>
      <c r="ME174" s="39"/>
      <c r="MF174" s="39"/>
      <c r="MG174" s="39"/>
      <c r="MH174" s="39"/>
      <c r="MI174" s="39"/>
      <c r="MJ174" s="39"/>
      <c r="MK174" s="39"/>
      <c r="ML174" s="39"/>
      <c r="MM174" s="39"/>
      <c r="MN174" s="39"/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/>
      <c r="NE174" s="39"/>
      <c r="NF174" s="39"/>
      <c r="NG174" s="39"/>
      <c r="NH174" s="39"/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/>
      <c r="OT174" s="39"/>
      <c r="OU174" s="39"/>
      <c r="OV174" s="39"/>
      <c r="OW174" s="39"/>
      <c r="OX174" s="39"/>
      <c r="OY174" s="39"/>
      <c r="OZ174" s="39"/>
      <c r="PA174" s="39"/>
      <c r="PB174" s="39"/>
      <c r="PC174" s="39"/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/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/>
      <c r="RB174" s="39"/>
      <c r="RC174" s="39"/>
      <c r="RD174" s="39"/>
      <c r="RE174" s="39"/>
      <c r="RF174" s="39"/>
      <c r="RG174" s="39"/>
      <c r="RH174" s="39"/>
      <c r="RI174" s="39"/>
      <c r="RJ174" s="39"/>
      <c r="RK174" s="39"/>
      <c r="RL174" s="39"/>
      <c r="RM174" s="39"/>
      <c r="RN174" s="39"/>
      <c r="RO174" s="39"/>
      <c r="RP174" s="39"/>
      <c r="RQ174" s="39"/>
      <c r="RR174" s="39"/>
      <c r="RS174" s="39"/>
      <c r="RT174" s="39"/>
      <c r="RU174" s="39"/>
      <c r="RV174" s="39"/>
      <c r="RW174" s="39"/>
      <c r="RX174" s="39"/>
      <c r="RY174" s="39"/>
      <c r="RZ174" s="39"/>
      <c r="SA174" s="39"/>
      <c r="SB174" s="39"/>
      <c r="SC174" s="39"/>
      <c r="SD174" s="39"/>
      <c r="SE174" s="39"/>
      <c r="SF174" s="39"/>
      <c r="SG174" s="39"/>
      <c r="SH174" s="39"/>
      <c r="SI174" s="39"/>
      <c r="SJ174" s="39"/>
      <c r="SK174" s="39"/>
      <c r="SL174" s="39"/>
      <c r="SM174" s="39"/>
      <c r="SN174" s="39"/>
      <c r="SO174" s="39"/>
      <c r="SP174" s="39"/>
      <c r="SQ174" s="39"/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/>
      <c r="TC174" s="39"/>
      <c r="TD174" s="39"/>
      <c r="TE174" s="39"/>
      <c r="TF174" s="39"/>
      <c r="TG174" s="39"/>
      <c r="TH174" s="39"/>
      <c r="TI174" s="39"/>
    </row>
    <row r="175" spans="1:529" s="23" customFormat="1" ht="45" customHeight="1" x14ac:dyDescent="0.25">
      <c r="A175" s="43" t="s">
        <v>246</v>
      </c>
      <c r="B175" s="44" t="str">
        <f>'дод 4'!A19</f>
        <v>0160</v>
      </c>
      <c r="C175" s="44" t="str">
        <f>'дод 4'!B19</f>
        <v>0111</v>
      </c>
      <c r="D175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75" s="69">
        <f>F175+I175</f>
        <v>8892800</v>
      </c>
      <c r="F175" s="69">
        <f>8936200+12100+288619-394119+50000</f>
        <v>8892800</v>
      </c>
      <c r="G175" s="69">
        <f>7036700+236573-323073</f>
        <v>6950200</v>
      </c>
      <c r="H175" s="69">
        <v>92400</v>
      </c>
      <c r="I175" s="69"/>
      <c r="J175" s="69">
        <f t="shared" si="87"/>
        <v>0</v>
      </c>
      <c r="K175" s="69"/>
      <c r="L175" s="69"/>
      <c r="M175" s="69"/>
      <c r="N175" s="69"/>
      <c r="O175" s="69"/>
      <c r="P175" s="69">
        <f>E175+J175</f>
        <v>8892800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</row>
    <row r="176" spans="1:529" s="23" customFormat="1" ht="34.5" customHeight="1" x14ac:dyDescent="0.25">
      <c r="A176" s="43" t="s">
        <v>363</v>
      </c>
      <c r="B176" s="44" t="str">
        <f>'дод 4'!A95</f>
        <v>6090</v>
      </c>
      <c r="C176" s="44" t="str">
        <f>'дод 4'!B95</f>
        <v>0640</v>
      </c>
      <c r="D176" s="24" t="str">
        <f>'дод 4'!C95</f>
        <v>Інша діяльність у сфері житлово-комунального господарства</v>
      </c>
      <c r="E176" s="69">
        <f>F176+I176</f>
        <v>175000</v>
      </c>
      <c r="F176" s="69">
        <v>175000</v>
      </c>
      <c r="G176" s="69"/>
      <c r="H176" s="69"/>
      <c r="I176" s="69"/>
      <c r="J176" s="69">
        <f t="shared" si="87"/>
        <v>0</v>
      </c>
      <c r="K176" s="69"/>
      <c r="L176" s="69"/>
      <c r="M176" s="69"/>
      <c r="N176" s="69"/>
      <c r="O176" s="69"/>
      <c r="P176" s="69">
        <f>E176+J176</f>
        <v>175000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</row>
    <row r="177" spans="1:529" s="23" customFormat="1" ht="87.75" customHeight="1" x14ac:dyDescent="0.25">
      <c r="A177" s="52" t="s">
        <v>349</v>
      </c>
      <c r="B177" s="45" t="str">
        <f>'дод 4'!A126</f>
        <v>7691</v>
      </c>
      <c r="C177" s="45" t="str">
        <f>'дод 4'!B126</f>
        <v>0490</v>
      </c>
      <c r="D177" s="22" t="str">
        <f>'дод 4'!C126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77" s="69">
        <f>F177+I177</f>
        <v>0</v>
      </c>
      <c r="F177" s="69"/>
      <c r="G177" s="69"/>
      <c r="H177" s="69"/>
      <c r="I177" s="69"/>
      <c r="J177" s="69">
        <f t="shared" si="87"/>
        <v>2696249.54</v>
      </c>
      <c r="K177" s="69"/>
      <c r="L177" s="69">
        <f>1321371+1074878.54-450000</f>
        <v>1946249.54</v>
      </c>
      <c r="M177" s="69"/>
      <c r="N177" s="69"/>
      <c r="O177" s="69">
        <f>300000+450000</f>
        <v>750000</v>
      </c>
      <c r="P177" s="69">
        <f>E177+J177</f>
        <v>2696249.54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</row>
    <row r="178" spans="1:529" s="31" customFormat="1" ht="36.75" customHeight="1" x14ac:dyDescent="0.2">
      <c r="A178" s="76" t="s">
        <v>249</v>
      </c>
      <c r="B178" s="74"/>
      <c r="C178" s="74"/>
      <c r="D178" s="30" t="s">
        <v>56</v>
      </c>
      <c r="E178" s="66">
        <f>E179</f>
        <v>4531018</v>
      </c>
      <c r="F178" s="66">
        <f t="shared" ref="F178:J179" si="97">F179</f>
        <v>4531018</v>
      </c>
      <c r="G178" s="66">
        <f t="shared" si="97"/>
        <v>3516425</v>
      </c>
      <c r="H178" s="66">
        <f t="shared" si="97"/>
        <v>52700</v>
      </c>
      <c r="I178" s="66">
        <f t="shared" si="97"/>
        <v>0</v>
      </c>
      <c r="J178" s="66">
        <f t="shared" si="97"/>
        <v>0</v>
      </c>
      <c r="K178" s="66">
        <f t="shared" ref="K178:K179" si="98">K179</f>
        <v>0</v>
      </c>
      <c r="L178" s="66">
        <f t="shared" ref="L178:L179" si="99">L179</f>
        <v>0</v>
      </c>
      <c r="M178" s="66">
        <f t="shared" ref="M178:M179" si="100">M179</f>
        <v>0</v>
      </c>
      <c r="N178" s="66">
        <f t="shared" ref="N178:N179" si="101">N179</f>
        <v>0</v>
      </c>
      <c r="O178" s="66">
        <f t="shared" ref="O178:P179" si="102">O179</f>
        <v>0</v>
      </c>
      <c r="P178" s="66">
        <f t="shared" si="102"/>
        <v>4531018</v>
      </c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8"/>
      <c r="GE178" s="38"/>
      <c r="GF178" s="38"/>
      <c r="GG178" s="38"/>
      <c r="GH178" s="38"/>
      <c r="GI178" s="38"/>
      <c r="GJ178" s="38"/>
      <c r="GK178" s="38"/>
      <c r="GL178" s="38"/>
      <c r="GM178" s="38"/>
      <c r="GN178" s="38"/>
      <c r="GO178" s="38"/>
      <c r="GP178" s="38"/>
      <c r="GQ178" s="38"/>
      <c r="GR178" s="38"/>
      <c r="GS178" s="38"/>
      <c r="GT178" s="38"/>
      <c r="GU178" s="38"/>
      <c r="GV178" s="38"/>
      <c r="GW178" s="38"/>
      <c r="GX178" s="38"/>
      <c r="GY178" s="38"/>
      <c r="GZ178" s="38"/>
      <c r="HA178" s="38"/>
      <c r="HB178" s="38"/>
      <c r="HC178" s="38"/>
      <c r="HD178" s="38"/>
      <c r="HE178" s="38"/>
      <c r="HF178" s="38"/>
      <c r="HG178" s="38"/>
      <c r="HH178" s="38"/>
      <c r="HI178" s="38"/>
      <c r="HJ178" s="38"/>
      <c r="HK178" s="38"/>
      <c r="HL178" s="38"/>
      <c r="HM178" s="38"/>
      <c r="HN178" s="38"/>
      <c r="HO178" s="38"/>
      <c r="HP178" s="38"/>
      <c r="HQ178" s="38"/>
      <c r="HR178" s="38"/>
      <c r="HS178" s="38"/>
      <c r="HT178" s="38"/>
      <c r="HU178" s="38"/>
      <c r="HV178" s="38"/>
      <c r="HW178" s="38"/>
      <c r="HX178" s="38"/>
      <c r="HY178" s="38"/>
      <c r="HZ178" s="38"/>
      <c r="IA178" s="38"/>
      <c r="IB178" s="38"/>
      <c r="IC178" s="38"/>
      <c r="ID178" s="38"/>
      <c r="IE178" s="38"/>
      <c r="IF178" s="38"/>
      <c r="IG178" s="38"/>
      <c r="IH178" s="38"/>
      <c r="II178" s="38"/>
      <c r="IJ178" s="38"/>
      <c r="IK178" s="38"/>
      <c r="IL178" s="38"/>
      <c r="IM178" s="38"/>
      <c r="IN178" s="38"/>
      <c r="IO178" s="38"/>
      <c r="IP178" s="38"/>
      <c r="IQ178" s="38"/>
      <c r="IR178" s="38"/>
      <c r="IS178" s="38"/>
      <c r="IT178" s="38"/>
      <c r="IU178" s="38"/>
      <c r="IV178" s="38"/>
      <c r="IW178" s="38"/>
      <c r="IX178" s="38"/>
      <c r="IY178" s="38"/>
      <c r="IZ178" s="38"/>
      <c r="JA178" s="38"/>
      <c r="JB178" s="38"/>
      <c r="JC178" s="38"/>
      <c r="JD178" s="38"/>
      <c r="JE178" s="38"/>
      <c r="JF178" s="38"/>
      <c r="JG178" s="38"/>
      <c r="JH178" s="38"/>
      <c r="JI178" s="38"/>
      <c r="JJ178" s="38"/>
      <c r="JK178" s="38"/>
      <c r="JL178" s="38"/>
      <c r="JM178" s="38"/>
      <c r="JN178" s="38"/>
      <c r="JO178" s="38"/>
      <c r="JP178" s="38"/>
      <c r="JQ178" s="38"/>
      <c r="JR178" s="38"/>
      <c r="JS178" s="38"/>
      <c r="JT178" s="38"/>
      <c r="JU178" s="38"/>
      <c r="JV178" s="38"/>
      <c r="JW178" s="38"/>
      <c r="JX178" s="38"/>
      <c r="JY178" s="38"/>
      <c r="JZ178" s="38"/>
      <c r="KA178" s="38"/>
      <c r="KB178" s="38"/>
      <c r="KC178" s="38"/>
      <c r="KD178" s="38"/>
      <c r="KE178" s="38"/>
      <c r="KF178" s="38"/>
      <c r="KG178" s="38"/>
      <c r="KH178" s="38"/>
      <c r="KI178" s="38"/>
      <c r="KJ178" s="38"/>
      <c r="KK178" s="38"/>
      <c r="KL178" s="38"/>
      <c r="KM178" s="38"/>
      <c r="KN178" s="38"/>
      <c r="KO178" s="38"/>
      <c r="KP178" s="38"/>
      <c r="KQ178" s="38"/>
      <c r="KR178" s="38"/>
      <c r="KS178" s="38"/>
      <c r="KT178" s="38"/>
      <c r="KU178" s="38"/>
      <c r="KV178" s="38"/>
      <c r="KW178" s="38"/>
      <c r="KX178" s="38"/>
      <c r="KY178" s="38"/>
      <c r="KZ178" s="38"/>
      <c r="LA178" s="38"/>
      <c r="LB178" s="38"/>
      <c r="LC178" s="38"/>
      <c r="LD178" s="38"/>
      <c r="LE178" s="38"/>
      <c r="LF178" s="38"/>
      <c r="LG178" s="38"/>
      <c r="LH178" s="38"/>
      <c r="LI178" s="38"/>
      <c r="LJ178" s="38"/>
      <c r="LK178" s="38"/>
      <c r="LL178" s="38"/>
      <c r="LM178" s="38"/>
      <c r="LN178" s="38"/>
      <c r="LO178" s="38"/>
      <c r="LP178" s="38"/>
      <c r="LQ178" s="38"/>
      <c r="LR178" s="38"/>
      <c r="LS178" s="38"/>
      <c r="LT178" s="38"/>
      <c r="LU178" s="38"/>
      <c r="LV178" s="38"/>
      <c r="LW178" s="38"/>
      <c r="LX178" s="38"/>
      <c r="LY178" s="38"/>
      <c r="LZ178" s="38"/>
      <c r="MA178" s="38"/>
      <c r="MB178" s="38"/>
      <c r="MC178" s="38"/>
      <c r="MD178" s="38"/>
      <c r="ME178" s="38"/>
      <c r="MF178" s="38"/>
      <c r="MG178" s="38"/>
      <c r="MH178" s="38"/>
      <c r="MI178" s="38"/>
      <c r="MJ178" s="38"/>
      <c r="MK178" s="38"/>
      <c r="ML178" s="38"/>
      <c r="MM178" s="38"/>
      <c r="MN178" s="38"/>
      <c r="MO178" s="38"/>
      <c r="MP178" s="38"/>
      <c r="MQ178" s="38"/>
      <c r="MR178" s="38"/>
      <c r="MS178" s="38"/>
      <c r="MT178" s="38"/>
      <c r="MU178" s="38"/>
      <c r="MV178" s="38"/>
      <c r="MW178" s="38"/>
      <c r="MX178" s="38"/>
      <c r="MY178" s="38"/>
      <c r="MZ178" s="38"/>
      <c r="NA178" s="38"/>
      <c r="NB178" s="38"/>
      <c r="NC178" s="38"/>
      <c r="ND178" s="38"/>
      <c r="NE178" s="38"/>
      <c r="NF178" s="38"/>
      <c r="NG178" s="38"/>
      <c r="NH178" s="38"/>
      <c r="NI178" s="38"/>
      <c r="NJ178" s="38"/>
      <c r="NK178" s="38"/>
      <c r="NL178" s="38"/>
      <c r="NM178" s="38"/>
      <c r="NN178" s="38"/>
      <c r="NO178" s="38"/>
      <c r="NP178" s="38"/>
      <c r="NQ178" s="38"/>
      <c r="NR178" s="38"/>
      <c r="NS178" s="38"/>
      <c r="NT178" s="38"/>
      <c r="NU178" s="38"/>
      <c r="NV178" s="38"/>
      <c r="NW178" s="38"/>
      <c r="NX178" s="38"/>
      <c r="NY178" s="38"/>
      <c r="NZ178" s="38"/>
      <c r="OA178" s="38"/>
      <c r="OB178" s="38"/>
      <c r="OC178" s="38"/>
      <c r="OD178" s="38"/>
      <c r="OE178" s="38"/>
      <c r="OF178" s="38"/>
      <c r="OG178" s="38"/>
      <c r="OH178" s="38"/>
      <c r="OI178" s="38"/>
      <c r="OJ178" s="38"/>
      <c r="OK178" s="38"/>
      <c r="OL178" s="38"/>
      <c r="OM178" s="38"/>
      <c r="ON178" s="38"/>
      <c r="OO178" s="38"/>
      <c r="OP178" s="38"/>
      <c r="OQ178" s="38"/>
      <c r="OR178" s="38"/>
      <c r="OS178" s="38"/>
      <c r="OT178" s="38"/>
      <c r="OU178" s="38"/>
      <c r="OV178" s="38"/>
      <c r="OW178" s="38"/>
      <c r="OX178" s="38"/>
      <c r="OY178" s="38"/>
      <c r="OZ178" s="38"/>
      <c r="PA178" s="38"/>
      <c r="PB178" s="38"/>
      <c r="PC178" s="38"/>
      <c r="PD178" s="38"/>
      <c r="PE178" s="38"/>
      <c r="PF178" s="38"/>
      <c r="PG178" s="38"/>
      <c r="PH178" s="38"/>
      <c r="PI178" s="38"/>
      <c r="PJ178" s="38"/>
      <c r="PK178" s="38"/>
      <c r="PL178" s="38"/>
      <c r="PM178" s="38"/>
      <c r="PN178" s="38"/>
      <c r="PO178" s="38"/>
      <c r="PP178" s="38"/>
      <c r="PQ178" s="38"/>
      <c r="PR178" s="38"/>
      <c r="PS178" s="38"/>
      <c r="PT178" s="38"/>
      <c r="PU178" s="38"/>
      <c r="PV178" s="38"/>
      <c r="PW178" s="38"/>
      <c r="PX178" s="38"/>
      <c r="PY178" s="38"/>
      <c r="PZ178" s="38"/>
      <c r="QA178" s="38"/>
      <c r="QB178" s="38"/>
      <c r="QC178" s="38"/>
      <c r="QD178" s="38"/>
      <c r="QE178" s="38"/>
      <c r="QF178" s="38"/>
      <c r="QG178" s="38"/>
      <c r="QH178" s="38"/>
      <c r="QI178" s="38"/>
      <c r="QJ178" s="38"/>
      <c r="QK178" s="38"/>
      <c r="QL178" s="38"/>
      <c r="QM178" s="38"/>
      <c r="QN178" s="38"/>
      <c r="QO178" s="38"/>
      <c r="QP178" s="38"/>
      <c r="QQ178" s="38"/>
      <c r="QR178" s="38"/>
      <c r="QS178" s="38"/>
      <c r="QT178" s="38"/>
      <c r="QU178" s="38"/>
      <c r="QV178" s="38"/>
      <c r="QW178" s="38"/>
      <c r="QX178" s="38"/>
      <c r="QY178" s="38"/>
      <c r="QZ178" s="38"/>
      <c r="RA178" s="38"/>
      <c r="RB178" s="38"/>
      <c r="RC178" s="38"/>
      <c r="RD178" s="38"/>
      <c r="RE178" s="38"/>
      <c r="RF178" s="38"/>
      <c r="RG178" s="38"/>
      <c r="RH178" s="38"/>
      <c r="RI178" s="38"/>
      <c r="RJ178" s="38"/>
      <c r="RK178" s="38"/>
      <c r="RL178" s="38"/>
      <c r="RM178" s="38"/>
      <c r="RN178" s="38"/>
      <c r="RO178" s="38"/>
      <c r="RP178" s="38"/>
      <c r="RQ178" s="38"/>
      <c r="RR178" s="38"/>
      <c r="RS178" s="38"/>
      <c r="RT178" s="38"/>
      <c r="RU178" s="38"/>
      <c r="RV178" s="38"/>
      <c r="RW178" s="38"/>
      <c r="RX178" s="38"/>
      <c r="RY178" s="38"/>
      <c r="RZ178" s="38"/>
      <c r="SA178" s="38"/>
      <c r="SB178" s="38"/>
      <c r="SC178" s="38"/>
      <c r="SD178" s="38"/>
      <c r="SE178" s="38"/>
      <c r="SF178" s="38"/>
      <c r="SG178" s="38"/>
      <c r="SH178" s="38"/>
      <c r="SI178" s="38"/>
      <c r="SJ178" s="38"/>
      <c r="SK178" s="38"/>
      <c r="SL178" s="38"/>
      <c r="SM178" s="38"/>
      <c r="SN178" s="38"/>
      <c r="SO178" s="38"/>
      <c r="SP178" s="38"/>
      <c r="SQ178" s="38"/>
      <c r="SR178" s="38"/>
      <c r="SS178" s="38"/>
      <c r="ST178" s="38"/>
      <c r="SU178" s="38"/>
      <c r="SV178" s="38"/>
      <c r="SW178" s="38"/>
      <c r="SX178" s="38"/>
      <c r="SY178" s="38"/>
      <c r="SZ178" s="38"/>
      <c r="TA178" s="38"/>
      <c r="TB178" s="38"/>
      <c r="TC178" s="38"/>
      <c r="TD178" s="38"/>
      <c r="TE178" s="38"/>
      <c r="TF178" s="38"/>
      <c r="TG178" s="38"/>
      <c r="TH178" s="38"/>
      <c r="TI178" s="38"/>
    </row>
    <row r="179" spans="1:529" s="40" customFormat="1" ht="35.25" customHeight="1" x14ac:dyDescent="0.25">
      <c r="A179" s="77" t="s">
        <v>247</v>
      </c>
      <c r="B179" s="75"/>
      <c r="C179" s="75"/>
      <c r="D179" s="33" t="s">
        <v>56</v>
      </c>
      <c r="E179" s="68">
        <f>E180</f>
        <v>4531018</v>
      </c>
      <c r="F179" s="68">
        <f t="shared" si="97"/>
        <v>4531018</v>
      </c>
      <c r="G179" s="68">
        <f t="shared" si="97"/>
        <v>3516425</v>
      </c>
      <c r="H179" s="68">
        <f t="shared" si="97"/>
        <v>52700</v>
      </c>
      <c r="I179" s="68">
        <f t="shared" si="97"/>
        <v>0</v>
      </c>
      <c r="J179" s="68">
        <f t="shared" si="97"/>
        <v>0</v>
      </c>
      <c r="K179" s="68">
        <f t="shared" si="98"/>
        <v>0</v>
      </c>
      <c r="L179" s="68">
        <f t="shared" si="99"/>
        <v>0</v>
      </c>
      <c r="M179" s="68">
        <f t="shared" si="100"/>
        <v>0</v>
      </c>
      <c r="N179" s="68">
        <f t="shared" si="101"/>
        <v>0</v>
      </c>
      <c r="O179" s="68">
        <f t="shared" si="102"/>
        <v>0</v>
      </c>
      <c r="P179" s="68">
        <f t="shared" si="102"/>
        <v>4531018</v>
      </c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  <c r="IQ179" s="39"/>
      <c r="IR179" s="39"/>
      <c r="IS179" s="39"/>
      <c r="IT179" s="39"/>
      <c r="IU179" s="39"/>
      <c r="IV179" s="39"/>
      <c r="IW179" s="39"/>
      <c r="IX179" s="39"/>
      <c r="IY179" s="39"/>
      <c r="IZ179" s="39"/>
      <c r="JA179" s="39"/>
      <c r="JB179" s="39"/>
      <c r="JC179" s="39"/>
      <c r="JD179" s="39"/>
      <c r="JE179" s="39"/>
      <c r="JF179" s="39"/>
      <c r="JG179" s="39"/>
      <c r="JH179" s="39"/>
      <c r="JI179" s="39"/>
      <c r="JJ179" s="39"/>
      <c r="JK179" s="39"/>
      <c r="JL179" s="39"/>
      <c r="JM179" s="39"/>
      <c r="JN179" s="39"/>
      <c r="JO179" s="39"/>
      <c r="JP179" s="39"/>
      <c r="JQ179" s="39"/>
      <c r="JR179" s="39"/>
      <c r="JS179" s="39"/>
      <c r="JT179" s="39"/>
      <c r="JU179" s="39"/>
      <c r="JV179" s="39"/>
      <c r="JW179" s="39"/>
      <c r="JX179" s="39"/>
      <c r="JY179" s="39"/>
      <c r="JZ179" s="39"/>
      <c r="KA179" s="39"/>
      <c r="KB179" s="39"/>
      <c r="KC179" s="39"/>
      <c r="KD179" s="39"/>
      <c r="KE179" s="39"/>
      <c r="KF179" s="39"/>
      <c r="KG179" s="39"/>
      <c r="KH179" s="39"/>
      <c r="KI179" s="39"/>
      <c r="KJ179" s="39"/>
      <c r="KK179" s="39"/>
      <c r="KL179" s="39"/>
      <c r="KM179" s="39"/>
      <c r="KN179" s="39"/>
      <c r="KO179" s="39"/>
      <c r="KP179" s="39"/>
      <c r="KQ179" s="39"/>
      <c r="KR179" s="39"/>
      <c r="KS179" s="39"/>
      <c r="KT179" s="39"/>
      <c r="KU179" s="39"/>
      <c r="KV179" s="39"/>
      <c r="KW179" s="39"/>
      <c r="KX179" s="39"/>
      <c r="KY179" s="39"/>
      <c r="KZ179" s="39"/>
      <c r="LA179" s="39"/>
      <c r="LB179" s="39"/>
      <c r="LC179" s="39"/>
      <c r="LD179" s="39"/>
      <c r="LE179" s="39"/>
      <c r="LF179" s="39"/>
      <c r="LG179" s="39"/>
      <c r="LH179" s="39"/>
      <c r="LI179" s="39"/>
      <c r="LJ179" s="39"/>
      <c r="LK179" s="39"/>
      <c r="LL179" s="39"/>
      <c r="LM179" s="39"/>
      <c r="LN179" s="39"/>
      <c r="LO179" s="39"/>
      <c r="LP179" s="39"/>
      <c r="LQ179" s="39"/>
      <c r="LR179" s="39"/>
      <c r="LS179" s="39"/>
      <c r="LT179" s="39"/>
      <c r="LU179" s="39"/>
      <c r="LV179" s="39"/>
      <c r="LW179" s="39"/>
      <c r="LX179" s="39"/>
      <c r="LY179" s="39"/>
      <c r="LZ179" s="39"/>
      <c r="MA179" s="39"/>
      <c r="MB179" s="39"/>
      <c r="MC179" s="39"/>
      <c r="MD179" s="39"/>
      <c r="ME179" s="39"/>
      <c r="MF179" s="39"/>
      <c r="MG179" s="39"/>
      <c r="MH179" s="39"/>
      <c r="MI179" s="39"/>
      <c r="MJ179" s="39"/>
      <c r="MK179" s="39"/>
      <c r="ML179" s="39"/>
      <c r="MM179" s="39"/>
      <c r="MN179" s="39"/>
      <c r="MO179" s="39"/>
      <c r="MP179" s="39"/>
      <c r="MQ179" s="39"/>
      <c r="MR179" s="39"/>
      <c r="MS179" s="39"/>
      <c r="MT179" s="39"/>
      <c r="MU179" s="39"/>
      <c r="MV179" s="39"/>
      <c r="MW179" s="39"/>
      <c r="MX179" s="39"/>
      <c r="MY179" s="39"/>
      <c r="MZ179" s="39"/>
      <c r="NA179" s="39"/>
      <c r="NB179" s="39"/>
      <c r="NC179" s="39"/>
      <c r="ND179" s="39"/>
      <c r="NE179" s="39"/>
      <c r="NF179" s="39"/>
      <c r="NG179" s="39"/>
      <c r="NH179" s="39"/>
      <c r="NI179" s="39"/>
      <c r="NJ179" s="39"/>
      <c r="NK179" s="39"/>
      <c r="NL179" s="39"/>
      <c r="NM179" s="39"/>
      <c r="NN179" s="39"/>
      <c r="NO179" s="39"/>
      <c r="NP179" s="39"/>
      <c r="NQ179" s="39"/>
      <c r="NR179" s="39"/>
      <c r="NS179" s="39"/>
      <c r="NT179" s="39"/>
      <c r="NU179" s="39"/>
      <c r="NV179" s="39"/>
      <c r="NW179" s="39"/>
      <c r="NX179" s="39"/>
      <c r="NY179" s="39"/>
      <c r="NZ179" s="39"/>
      <c r="OA179" s="39"/>
      <c r="OB179" s="39"/>
      <c r="OC179" s="39"/>
      <c r="OD179" s="39"/>
      <c r="OE179" s="39"/>
      <c r="OF179" s="39"/>
      <c r="OG179" s="39"/>
      <c r="OH179" s="39"/>
      <c r="OI179" s="39"/>
      <c r="OJ179" s="39"/>
      <c r="OK179" s="39"/>
      <c r="OL179" s="39"/>
      <c r="OM179" s="39"/>
      <c r="ON179" s="39"/>
      <c r="OO179" s="39"/>
      <c r="OP179" s="39"/>
      <c r="OQ179" s="39"/>
      <c r="OR179" s="39"/>
      <c r="OS179" s="39"/>
      <c r="OT179" s="39"/>
      <c r="OU179" s="39"/>
      <c r="OV179" s="39"/>
      <c r="OW179" s="39"/>
      <c r="OX179" s="39"/>
      <c r="OY179" s="39"/>
      <c r="OZ179" s="39"/>
      <c r="PA179" s="39"/>
      <c r="PB179" s="39"/>
      <c r="PC179" s="39"/>
      <c r="PD179" s="39"/>
      <c r="PE179" s="39"/>
      <c r="PF179" s="39"/>
      <c r="PG179" s="39"/>
      <c r="PH179" s="39"/>
      <c r="PI179" s="39"/>
      <c r="PJ179" s="39"/>
      <c r="PK179" s="39"/>
      <c r="PL179" s="39"/>
      <c r="PM179" s="39"/>
      <c r="PN179" s="39"/>
      <c r="PO179" s="39"/>
      <c r="PP179" s="39"/>
      <c r="PQ179" s="39"/>
      <c r="PR179" s="39"/>
      <c r="PS179" s="39"/>
      <c r="PT179" s="39"/>
      <c r="PU179" s="39"/>
      <c r="PV179" s="39"/>
      <c r="PW179" s="39"/>
      <c r="PX179" s="39"/>
      <c r="PY179" s="39"/>
      <c r="PZ179" s="39"/>
      <c r="QA179" s="39"/>
      <c r="QB179" s="39"/>
      <c r="QC179" s="39"/>
      <c r="QD179" s="39"/>
      <c r="QE179" s="39"/>
      <c r="QF179" s="39"/>
      <c r="QG179" s="39"/>
      <c r="QH179" s="39"/>
      <c r="QI179" s="39"/>
      <c r="QJ179" s="39"/>
      <c r="QK179" s="39"/>
      <c r="QL179" s="39"/>
      <c r="QM179" s="39"/>
      <c r="QN179" s="39"/>
      <c r="QO179" s="39"/>
      <c r="QP179" s="39"/>
      <c r="QQ179" s="39"/>
      <c r="QR179" s="39"/>
      <c r="QS179" s="39"/>
      <c r="QT179" s="39"/>
      <c r="QU179" s="39"/>
      <c r="QV179" s="39"/>
      <c r="QW179" s="39"/>
      <c r="QX179" s="39"/>
      <c r="QY179" s="39"/>
      <c r="QZ179" s="39"/>
      <c r="RA179" s="39"/>
      <c r="RB179" s="39"/>
      <c r="RC179" s="39"/>
      <c r="RD179" s="39"/>
      <c r="RE179" s="39"/>
      <c r="RF179" s="39"/>
      <c r="RG179" s="39"/>
      <c r="RH179" s="39"/>
      <c r="RI179" s="39"/>
      <c r="RJ179" s="39"/>
      <c r="RK179" s="39"/>
      <c r="RL179" s="39"/>
      <c r="RM179" s="39"/>
      <c r="RN179" s="39"/>
      <c r="RO179" s="39"/>
      <c r="RP179" s="39"/>
      <c r="RQ179" s="39"/>
      <c r="RR179" s="39"/>
      <c r="RS179" s="39"/>
      <c r="RT179" s="39"/>
      <c r="RU179" s="39"/>
      <c r="RV179" s="39"/>
      <c r="RW179" s="39"/>
      <c r="RX179" s="39"/>
      <c r="RY179" s="39"/>
      <c r="RZ179" s="39"/>
      <c r="SA179" s="39"/>
      <c r="SB179" s="39"/>
      <c r="SC179" s="39"/>
      <c r="SD179" s="39"/>
      <c r="SE179" s="39"/>
      <c r="SF179" s="39"/>
      <c r="SG179" s="39"/>
      <c r="SH179" s="39"/>
      <c r="SI179" s="39"/>
      <c r="SJ179" s="39"/>
      <c r="SK179" s="39"/>
      <c r="SL179" s="39"/>
      <c r="SM179" s="39"/>
      <c r="SN179" s="39"/>
      <c r="SO179" s="39"/>
      <c r="SP179" s="39"/>
      <c r="SQ179" s="39"/>
      <c r="SR179" s="39"/>
      <c r="SS179" s="39"/>
      <c r="ST179" s="39"/>
      <c r="SU179" s="39"/>
      <c r="SV179" s="39"/>
      <c r="SW179" s="39"/>
      <c r="SX179" s="39"/>
      <c r="SY179" s="39"/>
      <c r="SZ179" s="39"/>
      <c r="TA179" s="39"/>
      <c r="TB179" s="39"/>
      <c r="TC179" s="39"/>
      <c r="TD179" s="39"/>
      <c r="TE179" s="39"/>
      <c r="TF179" s="39"/>
      <c r="TG179" s="39"/>
      <c r="TH179" s="39"/>
      <c r="TI179" s="39"/>
    </row>
    <row r="180" spans="1:529" s="23" customFormat="1" ht="43.5" customHeight="1" x14ac:dyDescent="0.25">
      <c r="A180" s="43" t="s">
        <v>248</v>
      </c>
      <c r="B180" s="44" t="str">
        <f>'дод 4'!A19</f>
        <v>0160</v>
      </c>
      <c r="C180" s="44" t="str">
        <f>'дод 4'!B19</f>
        <v>0111</v>
      </c>
      <c r="D180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80" s="69">
        <f>F180+I180</f>
        <v>4531018</v>
      </c>
      <c r="F180" s="69">
        <f>4985700+21800-233000-243482</f>
        <v>4531018</v>
      </c>
      <c r="G180" s="69">
        <f>3907000-191000-199575</f>
        <v>3516425</v>
      </c>
      <c r="H180" s="69">
        <v>52700</v>
      </c>
      <c r="I180" s="69"/>
      <c r="J180" s="69">
        <f>L180+O180</f>
        <v>0</v>
      </c>
      <c r="K180" s="69"/>
      <c r="L180" s="69"/>
      <c r="M180" s="69"/>
      <c r="N180" s="69"/>
      <c r="O180" s="69"/>
      <c r="P180" s="69">
        <f>E180+J180</f>
        <v>4531018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</row>
    <row r="181" spans="1:529" s="31" customFormat="1" ht="37.5" customHeight="1" x14ac:dyDescent="0.2">
      <c r="A181" s="76" t="s">
        <v>250</v>
      </c>
      <c r="B181" s="74"/>
      <c r="C181" s="74"/>
      <c r="D181" s="30" t="s">
        <v>52</v>
      </c>
      <c r="E181" s="66">
        <f>E182</f>
        <v>20393000</v>
      </c>
      <c r="F181" s="66">
        <f t="shared" ref="F181:J181" si="103">F182</f>
        <v>19775000</v>
      </c>
      <c r="G181" s="66">
        <f t="shared" si="103"/>
        <v>13931300</v>
      </c>
      <c r="H181" s="66">
        <f t="shared" si="103"/>
        <v>314600</v>
      </c>
      <c r="I181" s="66">
        <f t="shared" si="103"/>
        <v>618000</v>
      </c>
      <c r="J181" s="66">
        <f t="shared" si="103"/>
        <v>100000</v>
      </c>
      <c r="K181" s="66">
        <f t="shared" ref="K181" si="104">K182</f>
        <v>100000</v>
      </c>
      <c r="L181" s="66">
        <f t="shared" ref="L181" si="105">L182</f>
        <v>0</v>
      </c>
      <c r="M181" s="66">
        <f t="shared" ref="M181" si="106">M182</f>
        <v>0</v>
      </c>
      <c r="N181" s="66">
        <f t="shared" ref="N181" si="107">N182</f>
        <v>0</v>
      </c>
      <c r="O181" s="66">
        <f t="shared" ref="O181" si="108">O182</f>
        <v>100000</v>
      </c>
      <c r="P181" s="66">
        <f>P182</f>
        <v>20493000</v>
      </c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  <c r="DS181" s="38"/>
      <c r="DT181" s="38"/>
      <c r="DU181" s="38"/>
      <c r="DV181" s="38"/>
      <c r="DW181" s="38"/>
      <c r="DX181" s="38"/>
      <c r="DY181" s="38"/>
      <c r="DZ181" s="38"/>
      <c r="EA181" s="38"/>
      <c r="EB181" s="38"/>
      <c r="EC181" s="38"/>
      <c r="ED181" s="38"/>
      <c r="EE181" s="38"/>
      <c r="EF181" s="38"/>
      <c r="EG181" s="38"/>
      <c r="EH181" s="38"/>
      <c r="EI181" s="38"/>
      <c r="EJ181" s="38"/>
      <c r="EK181" s="38"/>
      <c r="EL181" s="38"/>
      <c r="EM181" s="38"/>
      <c r="EN181" s="38"/>
      <c r="EO181" s="38"/>
      <c r="EP181" s="38"/>
      <c r="EQ181" s="38"/>
      <c r="ER181" s="38"/>
      <c r="ES181" s="38"/>
      <c r="ET181" s="38"/>
      <c r="EU181" s="38"/>
      <c r="EV181" s="38"/>
      <c r="EW181" s="38"/>
      <c r="EX181" s="38"/>
      <c r="EY181" s="38"/>
      <c r="EZ181" s="38"/>
      <c r="FA181" s="38"/>
      <c r="FB181" s="38"/>
      <c r="FC181" s="38"/>
      <c r="FD181" s="38"/>
      <c r="FE181" s="38"/>
      <c r="FF181" s="38"/>
      <c r="FG181" s="38"/>
      <c r="FH181" s="38"/>
      <c r="FI181" s="38"/>
      <c r="FJ181" s="38"/>
      <c r="FK181" s="38"/>
      <c r="FL181" s="38"/>
      <c r="FM181" s="38"/>
      <c r="FN181" s="38"/>
      <c r="FO181" s="38"/>
      <c r="FP181" s="38"/>
      <c r="FQ181" s="38"/>
      <c r="FR181" s="38"/>
      <c r="FS181" s="38"/>
      <c r="FT181" s="38"/>
      <c r="FU181" s="38"/>
      <c r="FV181" s="38"/>
      <c r="FW181" s="38"/>
      <c r="FX181" s="38"/>
      <c r="FY181" s="38"/>
      <c r="FZ181" s="38"/>
      <c r="GA181" s="38"/>
      <c r="GB181" s="38"/>
      <c r="GC181" s="38"/>
      <c r="GD181" s="38"/>
      <c r="GE181" s="38"/>
      <c r="GF181" s="38"/>
      <c r="GG181" s="38"/>
      <c r="GH181" s="38"/>
      <c r="GI181" s="38"/>
      <c r="GJ181" s="38"/>
      <c r="GK181" s="38"/>
      <c r="GL181" s="38"/>
      <c r="GM181" s="38"/>
      <c r="GN181" s="38"/>
      <c r="GO181" s="38"/>
      <c r="GP181" s="38"/>
      <c r="GQ181" s="38"/>
      <c r="GR181" s="38"/>
      <c r="GS181" s="38"/>
      <c r="GT181" s="38"/>
      <c r="GU181" s="38"/>
      <c r="GV181" s="38"/>
      <c r="GW181" s="38"/>
      <c r="GX181" s="38"/>
      <c r="GY181" s="38"/>
      <c r="GZ181" s="38"/>
      <c r="HA181" s="38"/>
      <c r="HB181" s="38"/>
      <c r="HC181" s="38"/>
      <c r="HD181" s="38"/>
      <c r="HE181" s="38"/>
      <c r="HF181" s="38"/>
      <c r="HG181" s="38"/>
      <c r="HH181" s="38"/>
      <c r="HI181" s="38"/>
      <c r="HJ181" s="38"/>
      <c r="HK181" s="38"/>
      <c r="HL181" s="38"/>
      <c r="HM181" s="38"/>
      <c r="HN181" s="38"/>
      <c r="HO181" s="38"/>
      <c r="HP181" s="38"/>
      <c r="HQ181" s="38"/>
      <c r="HR181" s="38"/>
      <c r="HS181" s="38"/>
      <c r="HT181" s="38"/>
      <c r="HU181" s="38"/>
      <c r="HV181" s="38"/>
      <c r="HW181" s="38"/>
      <c r="HX181" s="38"/>
      <c r="HY181" s="38"/>
      <c r="HZ181" s="38"/>
      <c r="IA181" s="38"/>
      <c r="IB181" s="38"/>
      <c r="IC181" s="38"/>
      <c r="ID181" s="38"/>
      <c r="IE181" s="38"/>
      <c r="IF181" s="38"/>
      <c r="IG181" s="38"/>
      <c r="IH181" s="38"/>
      <c r="II181" s="38"/>
      <c r="IJ181" s="38"/>
      <c r="IK181" s="38"/>
      <c r="IL181" s="38"/>
      <c r="IM181" s="38"/>
      <c r="IN181" s="38"/>
      <c r="IO181" s="38"/>
      <c r="IP181" s="38"/>
      <c r="IQ181" s="38"/>
      <c r="IR181" s="38"/>
      <c r="IS181" s="38"/>
      <c r="IT181" s="38"/>
      <c r="IU181" s="38"/>
      <c r="IV181" s="38"/>
      <c r="IW181" s="38"/>
      <c r="IX181" s="38"/>
      <c r="IY181" s="38"/>
      <c r="IZ181" s="38"/>
      <c r="JA181" s="38"/>
      <c r="JB181" s="38"/>
      <c r="JC181" s="38"/>
      <c r="JD181" s="38"/>
      <c r="JE181" s="38"/>
      <c r="JF181" s="38"/>
      <c r="JG181" s="38"/>
      <c r="JH181" s="38"/>
      <c r="JI181" s="38"/>
      <c r="JJ181" s="38"/>
      <c r="JK181" s="38"/>
      <c r="JL181" s="38"/>
      <c r="JM181" s="38"/>
      <c r="JN181" s="38"/>
      <c r="JO181" s="38"/>
      <c r="JP181" s="38"/>
      <c r="JQ181" s="38"/>
      <c r="JR181" s="38"/>
      <c r="JS181" s="38"/>
      <c r="JT181" s="38"/>
      <c r="JU181" s="38"/>
      <c r="JV181" s="38"/>
      <c r="JW181" s="38"/>
      <c r="JX181" s="38"/>
      <c r="JY181" s="38"/>
      <c r="JZ181" s="38"/>
      <c r="KA181" s="38"/>
      <c r="KB181" s="38"/>
      <c r="KC181" s="38"/>
      <c r="KD181" s="38"/>
      <c r="KE181" s="38"/>
      <c r="KF181" s="38"/>
      <c r="KG181" s="38"/>
      <c r="KH181" s="38"/>
      <c r="KI181" s="38"/>
      <c r="KJ181" s="38"/>
      <c r="KK181" s="38"/>
      <c r="KL181" s="38"/>
      <c r="KM181" s="38"/>
      <c r="KN181" s="38"/>
      <c r="KO181" s="38"/>
      <c r="KP181" s="38"/>
      <c r="KQ181" s="38"/>
      <c r="KR181" s="38"/>
      <c r="KS181" s="38"/>
      <c r="KT181" s="38"/>
      <c r="KU181" s="38"/>
      <c r="KV181" s="38"/>
      <c r="KW181" s="38"/>
      <c r="KX181" s="38"/>
      <c r="KY181" s="38"/>
      <c r="KZ181" s="38"/>
      <c r="LA181" s="38"/>
      <c r="LB181" s="38"/>
      <c r="LC181" s="38"/>
      <c r="LD181" s="38"/>
      <c r="LE181" s="38"/>
      <c r="LF181" s="38"/>
      <c r="LG181" s="38"/>
      <c r="LH181" s="38"/>
      <c r="LI181" s="38"/>
      <c r="LJ181" s="38"/>
      <c r="LK181" s="38"/>
      <c r="LL181" s="38"/>
      <c r="LM181" s="38"/>
      <c r="LN181" s="38"/>
      <c r="LO181" s="38"/>
      <c r="LP181" s="38"/>
      <c r="LQ181" s="38"/>
      <c r="LR181" s="38"/>
      <c r="LS181" s="38"/>
      <c r="LT181" s="38"/>
      <c r="LU181" s="38"/>
      <c r="LV181" s="38"/>
      <c r="LW181" s="38"/>
      <c r="LX181" s="38"/>
      <c r="LY181" s="38"/>
      <c r="LZ181" s="38"/>
      <c r="MA181" s="38"/>
      <c r="MB181" s="38"/>
      <c r="MC181" s="38"/>
      <c r="MD181" s="38"/>
      <c r="ME181" s="38"/>
      <c r="MF181" s="38"/>
      <c r="MG181" s="38"/>
      <c r="MH181" s="38"/>
      <c r="MI181" s="38"/>
      <c r="MJ181" s="38"/>
      <c r="MK181" s="38"/>
      <c r="ML181" s="38"/>
      <c r="MM181" s="38"/>
      <c r="MN181" s="38"/>
      <c r="MO181" s="38"/>
      <c r="MP181" s="38"/>
      <c r="MQ181" s="38"/>
      <c r="MR181" s="38"/>
      <c r="MS181" s="38"/>
      <c r="MT181" s="38"/>
      <c r="MU181" s="38"/>
      <c r="MV181" s="38"/>
      <c r="MW181" s="38"/>
      <c r="MX181" s="38"/>
      <c r="MY181" s="38"/>
      <c r="MZ181" s="38"/>
      <c r="NA181" s="38"/>
      <c r="NB181" s="38"/>
      <c r="NC181" s="38"/>
      <c r="ND181" s="38"/>
      <c r="NE181" s="38"/>
      <c r="NF181" s="38"/>
      <c r="NG181" s="38"/>
      <c r="NH181" s="38"/>
      <c r="NI181" s="38"/>
      <c r="NJ181" s="38"/>
      <c r="NK181" s="38"/>
      <c r="NL181" s="38"/>
      <c r="NM181" s="38"/>
      <c r="NN181" s="38"/>
      <c r="NO181" s="38"/>
      <c r="NP181" s="38"/>
      <c r="NQ181" s="38"/>
      <c r="NR181" s="38"/>
      <c r="NS181" s="38"/>
      <c r="NT181" s="38"/>
      <c r="NU181" s="38"/>
      <c r="NV181" s="38"/>
      <c r="NW181" s="38"/>
      <c r="NX181" s="38"/>
      <c r="NY181" s="38"/>
      <c r="NZ181" s="38"/>
      <c r="OA181" s="38"/>
      <c r="OB181" s="38"/>
      <c r="OC181" s="38"/>
      <c r="OD181" s="38"/>
      <c r="OE181" s="38"/>
      <c r="OF181" s="38"/>
      <c r="OG181" s="38"/>
      <c r="OH181" s="38"/>
      <c r="OI181" s="38"/>
      <c r="OJ181" s="38"/>
      <c r="OK181" s="38"/>
      <c r="OL181" s="38"/>
      <c r="OM181" s="38"/>
      <c r="ON181" s="38"/>
      <c r="OO181" s="38"/>
      <c r="OP181" s="38"/>
      <c r="OQ181" s="38"/>
      <c r="OR181" s="38"/>
      <c r="OS181" s="38"/>
      <c r="OT181" s="38"/>
      <c r="OU181" s="38"/>
      <c r="OV181" s="38"/>
      <c r="OW181" s="38"/>
      <c r="OX181" s="38"/>
      <c r="OY181" s="38"/>
      <c r="OZ181" s="38"/>
      <c r="PA181" s="38"/>
      <c r="PB181" s="38"/>
      <c r="PC181" s="38"/>
      <c r="PD181" s="38"/>
      <c r="PE181" s="38"/>
      <c r="PF181" s="38"/>
      <c r="PG181" s="38"/>
      <c r="PH181" s="38"/>
      <c r="PI181" s="38"/>
      <c r="PJ181" s="38"/>
      <c r="PK181" s="38"/>
      <c r="PL181" s="38"/>
      <c r="PM181" s="38"/>
      <c r="PN181" s="38"/>
      <c r="PO181" s="38"/>
      <c r="PP181" s="38"/>
      <c r="PQ181" s="38"/>
      <c r="PR181" s="38"/>
      <c r="PS181" s="38"/>
      <c r="PT181" s="38"/>
      <c r="PU181" s="38"/>
      <c r="PV181" s="38"/>
      <c r="PW181" s="38"/>
      <c r="PX181" s="38"/>
      <c r="PY181" s="38"/>
      <c r="PZ181" s="38"/>
      <c r="QA181" s="38"/>
      <c r="QB181" s="38"/>
      <c r="QC181" s="38"/>
      <c r="QD181" s="38"/>
      <c r="QE181" s="38"/>
      <c r="QF181" s="38"/>
      <c r="QG181" s="38"/>
      <c r="QH181" s="38"/>
      <c r="QI181" s="38"/>
      <c r="QJ181" s="38"/>
      <c r="QK181" s="38"/>
      <c r="QL181" s="38"/>
      <c r="QM181" s="38"/>
      <c r="QN181" s="38"/>
      <c r="QO181" s="38"/>
      <c r="QP181" s="38"/>
      <c r="QQ181" s="38"/>
      <c r="QR181" s="38"/>
      <c r="QS181" s="38"/>
      <c r="QT181" s="38"/>
      <c r="QU181" s="38"/>
      <c r="QV181" s="38"/>
      <c r="QW181" s="38"/>
      <c r="QX181" s="38"/>
      <c r="QY181" s="38"/>
      <c r="QZ181" s="38"/>
      <c r="RA181" s="38"/>
      <c r="RB181" s="38"/>
      <c r="RC181" s="38"/>
      <c r="RD181" s="38"/>
      <c r="RE181" s="38"/>
      <c r="RF181" s="38"/>
      <c r="RG181" s="38"/>
      <c r="RH181" s="38"/>
      <c r="RI181" s="38"/>
      <c r="RJ181" s="38"/>
      <c r="RK181" s="38"/>
      <c r="RL181" s="38"/>
      <c r="RM181" s="38"/>
      <c r="RN181" s="38"/>
      <c r="RO181" s="38"/>
      <c r="RP181" s="38"/>
      <c r="RQ181" s="38"/>
      <c r="RR181" s="38"/>
      <c r="RS181" s="38"/>
      <c r="RT181" s="38"/>
      <c r="RU181" s="38"/>
      <c r="RV181" s="38"/>
      <c r="RW181" s="38"/>
      <c r="RX181" s="38"/>
      <c r="RY181" s="38"/>
      <c r="RZ181" s="38"/>
      <c r="SA181" s="38"/>
      <c r="SB181" s="38"/>
      <c r="SC181" s="38"/>
      <c r="SD181" s="38"/>
      <c r="SE181" s="38"/>
      <c r="SF181" s="38"/>
      <c r="SG181" s="38"/>
      <c r="SH181" s="38"/>
      <c r="SI181" s="38"/>
      <c r="SJ181" s="38"/>
      <c r="SK181" s="38"/>
      <c r="SL181" s="38"/>
      <c r="SM181" s="38"/>
      <c r="SN181" s="38"/>
      <c r="SO181" s="38"/>
      <c r="SP181" s="38"/>
      <c r="SQ181" s="38"/>
      <c r="SR181" s="38"/>
      <c r="SS181" s="38"/>
      <c r="ST181" s="38"/>
      <c r="SU181" s="38"/>
      <c r="SV181" s="38"/>
      <c r="SW181" s="38"/>
      <c r="SX181" s="38"/>
      <c r="SY181" s="38"/>
      <c r="SZ181" s="38"/>
      <c r="TA181" s="38"/>
      <c r="TB181" s="38"/>
      <c r="TC181" s="38"/>
      <c r="TD181" s="38"/>
      <c r="TE181" s="38"/>
      <c r="TF181" s="38"/>
      <c r="TG181" s="38"/>
      <c r="TH181" s="38"/>
      <c r="TI181" s="38"/>
    </row>
    <row r="182" spans="1:529" s="40" customFormat="1" ht="37.5" customHeight="1" x14ac:dyDescent="0.25">
      <c r="A182" s="77" t="s">
        <v>251</v>
      </c>
      <c r="B182" s="75"/>
      <c r="C182" s="75"/>
      <c r="D182" s="33" t="s">
        <v>52</v>
      </c>
      <c r="E182" s="68">
        <f>E183+E184++E185+E186+E187+E188</f>
        <v>20393000</v>
      </c>
      <c r="F182" s="68">
        <f t="shared" ref="F182:P182" si="109">F183+F184++F185+F186+F187+F188</f>
        <v>19775000</v>
      </c>
      <c r="G182" s="68">
        <f t="shared" si="109"/>
        <v>13931300</v>
      </c>
      <c r="H182" s="68">
        <f t="shared" si="109"/>
        <v>314600</v>
      </c>
      <c r="I182" s="68">
        <f t="shared" si="109"/>
        <v>618000</v>
      </c>
      <c r="J182" s="68">
        <f t="shared" si="109"/>
        <v>100000</v>
      </c>
      <c r="K182" s="68">
        <f>K183+K184++K185+K186+K187+K188</f>
        <v>100000</v>
      </c>
      <c r="L182" s="68">
        <f t="shared" si="109"/>
        <v>0</v>
      </c>
      <c r="M182" s="68">
        <f t="shared" si="109"/>
        <v>0</v>
      </c>
      <c r="N182" s="68">
        <f t="shared" si="109"/>
        <v>0</v>
      </c>
      <c r="O182" s="68">
        <f t="shared" si="109"/>
        <v>100000</v>
      </c>
      <c r="P182" s="68">
        <f t="shared" si="109"/>
        <v>20493000</v>
      </c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P182" s="39"/>
      <c r="IQ182" s="39"/>
      <c r="IR182" s="39"/>
      <c r="IS182" s="39"/>
      <c r="IT182" s="39"/>
      <c r="IU182" s="39"/>
      <c r="IV182" s="39"/>
      <c r="IW182" s="39"/>
      <c r="IX182" s="39"/>
      <c r="IY182" s="39"/>
      <c r="IZ182" s="39"/>
      <c r="JA182" s="39"/>
      <c r="JB182" s="39"/>
      <c r="JC182" s="39"/>
      <c r="JD182" s="39"/>
      <c r="JE182" s="39"/>
      <c r="JF182" s="39"/>
      <c r="JG182" s="39"/>
      <c r="JH182" s="39"/>
      <c r="JI182" s="39"/>
      <c r="JJ182" s="39"/>
      <c r="JK182" s="39"/>
      <c r="JL182" s="39"/>
      <c r="JM182" s="39"/>
      <c r="JN182" s="39"/>
      <c r="JO182" s="39"/>
      <c r="JP182" s="39"/>
      <c r="JQ182" s="39"/>
      <c r="JR182" s="39"/>
      <c r="JS182" s="39"/>
      <c r="JT182" s="39"/>
      <c r="JU182" s="39"/>
      <c r="JV182" s="39"/>
      <c r="JW182" s="39"/>
      <c r="JX182" s="39"/>
      <c r="JY182" s="39"/>
      <c r="JZ182" s="39"/>
      <c r="KA182" s="39"/>
      <c r="KB182" s="39"/>
      <c r="KC182" s="39"/>
      <c r="KD182" s="39"/>
      <c r="KE182" s="39"/>
      <c r="KF182" s="39"/>
      <c r="KG182" s="39"/>
      <c r="KH182" s="39"/>
      <c r="KI182" s="39"/>
      <c r="KJ182" s="39"/>
      <c r="KK182" s="39"/>
      <c r="KL182" s="39"/>
      <c r="KM182" s="39"/>
      <c r="KN182" s="39"/>
      <c r="KO182" s="39"/>
      <c r="KP182" s="39"/>
      <c r="KQ182" s="39"/>
      <c r="KR182" s="39"/>
      <c r="KS182" s="39"/>
      <c r="KT182" s="39"/>
      <c r="KU182" s="39"/>
      <c r="KV182" s="39"/>
      <c r="KW182" s="39"/>
      <c r="KX182" s="39"/>
      <c r="KY182" s="39"/>
      <c r="KZ182" s="39"/>
      <c r="LA182" s="39"/>
      <c r="LB182" s="39"/>
      <c r="LC182" s="39"/>
      <c r="LD182" s="39"/>
      <c r="LE182" s="39"/>
      <c r="LF182" s="39"/>
      <c r="LG182" s="39"/>
      <c r="LH182" s="39"/>
      <c r="LI182" s="39"/>
      <c r="LJ182" s="39"/>
      <c r="LK182" s="39"/>
      <c r="LL182" s="39"/>
      <c r="LM182" s="39"/>
      <c r="LN182" s="39"/>
      <c r="LO182" s="39"/>
      <c r="LP182" s="39"/>
      <c r="LQ182" s="39"/>
      <c r="LR182" s="39"/>
      <c r="LS182" s="39"/>
      <c r="LT182" s="39"/>
      <c r="LU182" s="39"/>
      <c r="LV182" s="39"/>
      <c r="LW182" s="39"/>
      <c r="LX182" s="39"/>
      <c r="LY182" s="39"/>
      <c r="LZ182" s="39"/>
      <c r="MA182" s="39"/>
      <c r="MB182" s="39"/>
      <c r="MC182" s="39"/>
      <c r="MD182" s="39"/>
      <c r="ME182" s="39"/>
      <c r="MF182" s="39"/>
      <c r="MG182" s="39"/>
      <c r="MH182" s="39"/>
      <c r="MI182" s="39"/>
      <c r="MJ182" s="39"/>
      <c r="MK182" s="39"/>
      <c r="ML182" s="39"/>
      <c r="MM182" s="39"/>
      <c r="MN182" s="39"/>
      <c r="MO182" s="39"/>
      <c r="MP182" s="39"/>
      <c r="MQ182" s="39"/>
      <c r="MR182" s="39"/>
      <c r="MS182" s="39"/>
      <c r="MT182" s="39"/>
      <c r="MU182" s="39"/>
      <c r="MV182" s="39"/>
      <c r="MW182" s="39"/>
      <c r="MX182" s="39"/>
      <c r="MY182" s="39"/>
      <c r="MZ182" s="39"/>
      <c r="NA182" s="39"/>
      <c r="NB182" s="39"/>
      <c r="NC182" s="39"/>
      <c r="ND182" s="39"/>
      <c r="NE182" s="39"/>
      <c r="NF182" s="39"/>
      <c r="NG182" s="39"/>
      <c r="NH182" s="39"/>
      <c r="NI182" s="39"/>
      <c r="NJ182" s="39"/>
      <c r="NK182" s="39"/>
      <c r="NL182" s="39"/>
      <c r="NM182" s="39"/>
      <c r="NN182" s="39"/>
      <c r="NO182" s="39"/>
      <c r="NP182" s="39"/>
      <c r="NQ182" s="39"/>
      <c r="NR182" s="39"/>
      <c r="NS182" s="39"/>
      <c r="NT182" s="39"/>
      <c r="NU182" s="39"/>
      <c r="NV182" s="39"/>
      <c r="NW182" s="39"/>
      <c r="NX182" s="39"/>
      <c r="NY182" s="39"/>
      <c r="NZ182" s="39"/>
      <c r="OA182" s="39"/>
      <c r="OB182" s="39"/>
      <c r="OC182" s="39"/>
      <c r="OD182" s="39"/>
      <c r="OE182" s="39"/>
      <c r="OF182" s="39"/>
      <c r="OG182" s="39"/>
      <c r="OH182" s="39"/>
      <c r="OI182" s="39"/>
      <c r="OJ182" s="39"/>
      <c r="OK182" s="39"/>
      <c r="OL182" s="39"/>
      <c r="OM182" s="39"/>
      <c r="ON182" s="39"/>
      <c r="OO182" s="39"/>
      <c r="OP182" s="39"/>
      <c r="OQ182" s="39"/>
      <c r="OR182" s="39"/>
      <c r="OS182" s="39"/>
      <c r="OT182" s="39"/>
      <c r="OU182" s="39"/>
      <c r="OV182" s="39"/>
      <c r="OW182" s="39"/>
      <c r="OX182" s="39"/>
      <c r="OY182" s="39"/>
      <c r="OZ182" s="39"/>
      <c r="PA182" s="39"/>
      <c r="PB182" s="39"/>
      <c r="PC182" s="39"/>
      <c r="PD182" s="39"/>
      <c r="PE182" s="39"/>
      <c r="PF182" s="39"/>
      <c r="PG182" s="39"/>
      <c r="PH182" s="39"/>
      <c r="PI182" s="39"/>
      <c r="PJ182" s="39"/>
      <c r="PK182" s="39"/>
      <c r="PL182" s="39"/>
      <c r="PM182" s="39"/>
      <c r="PN182" s="39"/>
      <c r="PO182" s="39"/>
      <c r="PP182" s="39"/>
      <c r="PQ182" s="39"/>
      <c r="PR182" s="39"/>
      <c r="PS182" s="39"/>
      <c r="PT182" s="39"/>
      <c r="PU182" s="39"/>
      <c r="PV182" s="39"/>
      <c r="PW182" s="39"/>
      <c r="PX182" s="39"/>
      <c r="PY182" s="39"/>
      <c r="PZ182" s="39"/>
      <c r="QA182" s="39"/>
      <c r="QB182" s="39"/>
      <c r="QC182" s="39"/>
      <c r="QD182" s="39"/>
      <c r="QE182" s="39"/>
      <c r="QF182" s="39"/>
      <c r="QG182" s="39"/>
      <c r="QH182" s="39"/>
      <c r="QI182" s="39"/>
      <c r="QJ182" s="39"/>
      <c r="QK182" s="39"/>
      <c r="QL182" s="39"/>
      <c r="QM182" s="39"/>
      <c r="QN182" s="39"/>
      <c r="QO182" s="39"/>
      <c r="QP182" s="39"/>
      <c r="QQ182" s="39"/>
      <c r="QR182" s="39"/>
      <c r="QS182" s="39"/>
      <c r="QT182" s="39"/>
      <c r="QU182" s="39"/>
      <c r="QV182" s="39"/>
      <c r="QW182" s="39"/>
      <c r="QX182" s="39"/>
      <c r="QY182" s="39"/>
      <c r="QZ182" s="39"/>
      <c r="RA182" s="39"/>
      <c r="RB182" s="39"/>
      <c r="RC182" s="39"/>
      <c r="RD182" s="39"/>
      <c r="RE182" s="39"/>
      <c r="RF182" s="39"/>
      <c r="RG182" s="39"/>
      <c r="RH182" s="39"/>
      <c r="RI182" s="39"/>
      <c r="RJ182" s="39"/>
      <c r="RK182" s="39"/>
      <c r="RL182" s="39"/>
      <c r="RM182" s="39"/>
      <c r="RN182" s="39"/>
      <c r="RO182" s="39"/>
      <c r="RP182" s="39"/>
      <c r="RQ182" s="39"/>
      <c r="RR182" s="39"/>
      <c r="RS182" s="39"/>
      <c r="RT182" s="39"/>
      <c r="RU182" s="39"/>
      <c r="RV182" s="39"/>
      <c r="RW182" s="39"/>
      <c r="RX182" s="39"/>
      <c r="RY182" s="39"/>
      <c r="RZ182" s="39"/>
      <c r="SA182" s="39"/>
      <c r="SB182" s="39"/>
      <c r="SC182" s="39"/>
      <c r="SD182" s="39"/>
      <c r="SE182" s="39"/>
      <c r="SF182" s="39"/>
      <c r="SG182" s="39"/>
      <c r="SH182" s="39"/>
      <c r="SI182" s="39"/>
      <c r="SJ182" s="39"/>
      <c r="SK182" s="39"/>
      <c r="SL182" s="39"/>
      <c r="SM182" s="39"/>
      <c r="SN182" s="39"/>
      <c r="SO182" s="39"/>
      <c r="SP182" s="39"/>
      <c r="SQ182" s="39"/>
      <c r="SR182" s="39"/>
      <c r="SS182" s="39"/>
      <c r="ST182" s="39"/>
      <c r="SU182" s="39"/>
      <c r="SV182" s="39"/>
      <c r="SW182" s="39"/>
      <c r="SX182" s="39"/>
      <c r="SY182" s="39"/>
      <c r="SZ182" s="39"/>
      <c r="TA182" s="39"/>
      <c r="TB182" s="39"/>
      <c r="TC182" s="39"/>
      <c r="TD182" s="39"/>
      <c r="TE182" s="39"/>
      <c r="TF182" s="39"/>
      <c r="TG182" s="39"/>
      <c r="TH182" s="39"/>
      <c r="TI182" s="39"/>
    </row>
    <row r="183" spans="1:529" s="23" customFormat="1" ht="47.25" customHeight="1" x14ac:dyDescent="0.25">
      <c r="A183" s="43" t="s">
        <v>252</v>
      </c>
      <c r="B183" s="44" t="str">
        <f>'дод 4'!A19</f>
        <v>0160</v>
      </c>
      <c r="C183" s="44" t="str">
        <f>'дод 4'!B19</f>
        <v>0111</v>
      </c>
      <c r="D183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83" s="69">
        <f t="shared" ref="E183:E188" si="110">F183+I183</f>
        <v>17983000</v>
      </c>
      <c r="F183" s="69">
        <f>18803900+108500-929400</f>
        <v>17983000</v>
      </c>
      <c r="G183" s="69">
        <f>14693100-761800</f>
        <v>13931300</v>
      </c>
      <c r="H183" s="69">
        <v>314600</v>
      </c>
      <c r="I183" s="69"/>
      <c r="J183" s="69">
        <f>L183+O183</f>
        <v>25000</v>
      </c>
      <c r="K183" s="69">
        <v>25000</v>
      </c>
      <c r="L183" s="69"/>
      <c r="M183" s="69"/>
      <c r="N183" s="69"/>
      <c r="O183" s="69">
        <v>25000</v>
      </c>
      <c r="P183" s="69">
        <f t="shared" ref="P183:P188" si="111">E183+J183</f>
        <v>18008000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</row>
    <row r="184" spans="1:529" s="28" customFormat="1" ht="29.25" customHeight="1" x14ac:dyDescent="0.25">
      <c r="A184" s="43" t="s">
        <v>253</v>
      </c>
      <c r="B184" s="44" t="str">
        <f>'дод 4'!A99</f>
        <v>7130</v>
      </c>
      <c r="C184" s="44" t="str">
        <f>'дод 4'!B99</f>
        <v>0421</v>
      </c>
      <c r="D184" s="24" t="str">
        <f>'дод 4'!C99</f>
        <v>Здійснення заходів із землеустрою</v>
      </c>
      <c r="E184" s="69">
        <f t="shared" si="110"/>
        <v>700000</v>
      </c>
      <c r="F184" s="69">
        <v>700000</v>
      </c>
      <c r="G184" s="69"/>
      <c r="H184" s="69"/>
      <c r="I184" s="69"/>
      <c r="J184" s="69">
        <f t="shared" ref="J184:J188" si="112">L184+O184</f>
        <v>0</v>
      </c>
      <c r="K184" s="69"/>
      <c r="L184" s="69"/>
      <c r="M184" s="69"/>
      <c r="N184" s="69"/>
      <c r="O184" s="69"/>
      <c r="P184" s="69">
        <f t="shared" si="111"/>
        <v>700000</v>
      </c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  <c r="IT184" s="37"/>
      <c r="IU184" s="37"/>
      <c r="IV184" s="37"/>
      <c r="IW184" s="37"/>
      <c r="IX184" s="37"/>
      <c r="IY184" s="37"/>
      <c r="IZ184" s="37"/>
      <c r="JA184" s="37"/>
      <c r="JB184" s="37"/>
      <c r="JC184" s="37"/>
      <c r="JD184" s="37"/>
      <c r="JE184" s="37"/>
      <c r="JF184" s="37"/>
      <c r="JG184" s="37"/>
      <c r="JH184" s="37"/>
      <c r="JI184" s="37"/>
      <c r="JJ184" s="37"/>
      <c r="JK184" s="37"/>
      <c r="JL184" s="37"/>
      <c r="JM184" s="37"/>
      <c r="JN184" s="37"/>
      <c r="JO184" s="37"/>
      <c r="JP184" s="37"/>
      <c r="JQ184" s="37"/>
      <c r="JR184" s="37"/>
      <c r="JS184" s="37"/>
      <c r="JT184" s="37"/>
      <c r="JU184" s="37"/>
      <c r="JV184" s="37"/>
      <c r="JW184" s="37"/>
      <c r="JX184" s="37"/>
      <c r="JY184" s="37"/>
      <c r="JZ184" s="37"/>
      <c r="KA184" s="37"/>
      <c r="KB184" s="37"/>
      <c r="KC184" s="37"/>
      <c r="KD184" s="37"/>
      <c r="KE184" s="37"/>
      <c r="KF184" s="37"/>
      <c r="KG184" s="37"/>
      <c r="KH184" s="37"/>
      <c r="KI184" s="37"/>
      <c r="KJ184" s="37"/>
      <c r="KK184" s="37"/>
      <c r="KL184" s="37"/>
      <c r="KM184" s="37"/>
      <c r="KN184" s="37"/>
      <c r="KO184" s="37"/>
      <c r="KP184" s="37"/>
      <c r="KQ184" s="37"/>
      <c r="KR184" s="37"/>
      <c r="KS184" s="37"/>
      <c r="KT184" s="37"/>
      <c r="KU184" s="37"/>
      <c r="KV184" s="37"/>
      <c r="KW184" s="37"/>
      <c r="KX184" s="37"/>
      <c r="KY184" s="37"/>
      <c r="KZ184" s="37"/>
      <c r="LA184" s="37"/>
      <c r="LB184" s="37"/>
      <c r="LC184" s="37"/>
      <c r="LD184" s="37"/>
      <c r="LE184" s="37"/>
      <c r="LF184" s="37"/>
      <c r="LG184" s="37"/>
      <c r="LH184" s="37"/>
      <c r="LI184" s="37"/>
      <c r="LJ184" s="37"/>
      <c r="LK184" s="37"/>
      <c r="LL184" s="37"/>
      <c r="LM184" s="37"/>
      <c r="LN184" s="37"/>
      <c r="LO184" s="37"/>
      <c r="LP184" s="37"/>
      <c r="LQ184" s="37"/>
      <c r="LR184" s="37"/>
      <c r="LS184" s="37"/>
      <c r="LT184" s="37"/>
      <c r="LU184" s="37"/>
      <c r="LV184" s="37"/>
      <c r="LW184" s="37"/>
      <c r="LX184" s="37"/>
      <c r="LY184" s="37"/>
      <c r="LZ184" s="37"/>
      <c r="MA184" s="37"/>
      <c r="MB184" s="37"/>
      <c r="MC184" s="37"/>
      <c r="MD184" s="37"/>
      <c r="ME184" s="37"/>
      <c r="MF184" s="37"/>
      <c r="MG184" s="37"/>
      <c r="MH184" s="37"/>
      <c r="MI184" s="37"/>
      <c r="MJ184" s="37"/>
      <c r="MK184" s="37"/>
      <c r="ML184" s="37"/>
      <c r="MM184" s="37"/>
      <c r="MN184" s="37"/>
      <c r="MO184" s="37"/>
      <c r="MP184" s="37"/>
      <c r="MQ184" s="37"/>
      <c r="MR184" s="37"/>
      <c r="MS184" s="37"/>
      <c r="MT184" s="37"/>
      <c r="MU184" s="37"/>
      <c r="MV184" s="37"/>
      <c r="MW184" s="37"/>
      <c r="MX184" s="37"/>
      <c r="MY184" s="37"/>
      <c r="MZ184" s="37"/>
      <c r="NA184" s="37"/>
      <c r="NB184" s="37"/>
      <c r="NC184" s="37"/>
      <c r="ND184" s="37"/>
      <c r="NE184" s="37"/>
      <c r="NF184" s="37"/>
      <c r="NG184" s="37"/>
      <c r="NH184" s="37"/>
      <c r="NI184" s="37"/>
      <c r="NJ184" s="37"/>
      <c r="NK184" s="37"/>
      <c r="NL184" s="37"/>
      <c r="NM184" s="37"/>
      <c r="NN184" s="37"/>
      <c r="NO184" s="37"/>
      <c r="NP184" s="37"/>
      <c r="NQ184" s="37"/>
      <c r="NR184" s="37"/>
      <c r="NS184" s="37"/>
      <c r="NT184" s="37"/>
      <c r="NU184" s="37"/>
      <c r="NV184" s="37"/>
      <c r="NW184" s="37"/>
      <c r="NX184" s="37"/>
      <c r="NY184" s="37"/>
      <c r="NZ184" s="37"/>
      <c r="OA184" s="37"/>
      <c r="OB184" s="37"/>
      <c r="OC184" s="37"/>
      <c r="OD184" s="37"/>
      <c r="OE184" s="37"/>
      <c r="OF184" s="37"/>
      <c r="OG184" s="37"/>
      <c r="OH184" s="37"/>
      <c r="OI184" s="37"/>
      <c r="OJ184" s="37"/>
      <c r="OK184" s="37"/>
      <c r="OL184" s="37"/>
      <c r="OM184" s="37"/>
      <c r="ON184" s="37"/>
      <c r="OO184" s="37"/>
      <c r="OP184" s="37"/>
      <c r="OQ184" s="37"/>
      <c r="OR184" s="37"/>
      <c r="OS184" s="37"/>
      <c r="OT184" s="37"/>
      <c r="OU184" s="37"/>
      <c r="OV184" s="37"/>
      <c r="OW184" s="37"/>
      <c r="OX184" s="37"/>
      <c r="OY184" s="37"/>
      <c r="OZ184" s="37"/>
      <c r="PA184" s="37"/>
      <c r="PB184" s="37"/>
      <c r="PC184" s="37"/>
      <c r="PD184" s="37"/>
      <c r="PE184" s="37"/>
      <c r="PF184" s="37"/>
      <c r="PG184" s="37"/>
      <c r="PH184" s="37"/>
      <c r="PI184" s="37"/>
      <c r="PJ184" s="37"/>
      <c r="PK184" s="37"/>
      <c r="PL184" s="37"/>
      <c r="PM184" s="37"/>
      <c r="PN184" s="37"/>
      <c r="PO184" s="37"/>
      <c r="PP184" s="37"/>
      <c r="PQ184" s="37"/>
      <c r="PR184" s="37"/>
      <c r="PS184" s="37"/>
      <c r="PT184" s="37"/>
      <c r="PU184" s="37"/>
      <c r="PV184" s="37"/>
      <c r="PW184" s="37"/>
      <c r="PX184" s="37"/>
      <c r="PY184" s="37"/>
      <c r="PZ184" s="37"/>
      <c r="QA184" s="37"/>
      <c r="QB184" s="37"/>
      <c r="QC184" s="37"/>
      <c r="QD184" s="37"/>
      <c r="QE184" s="37"/>
      <c r="QF184" s="37"/>
      <c r="QG184" s="37"/>
      <c r="QH184" s="37"/>
      <c r="QI184" s="37"/>
      <c r="QJ184" s="37"/>
      <c r="QK184" s="37"/>
      <c r="QL184" s="37"/>
      <c r="QM184" s="37"/>
      <c r="QN184" s="37"/>
      <c r="QO184" s="37"/>
      <c r="QP184" s="37"/>
      <c r="QQ184" s="37"/>
      <c r="QR184" s="37"/>
      <c r="QS184" s="37"/>
      <c r="QT184" s="37"/>
      <c r="QU184" s="37"/>
      <c r="QV184" s="37"/>
      <c r="QW184" s="37"/>
      <c r="QX184" s="37"/>
      <c r="QY184" s="37"/>
      <c r="QZ184" s="37"/>
      <c r="RA184" s="37"/>
      <c r="RB184" s="37"/>
      <c r="RC184" s="37"/>
      <c r="RD184" s="37"/>
      <c r="RE184" s="37"/>
      <c r="RF184" s="37"/>
      <c r="RG184" s="37"/>
      <c r="RH184" s="37"/>
      <c r="RI184" s="37"/>
      <c r="RJ184" s="37"/>
      <c r="RK184" s="37"/>
      <c r="RL184" s="37"/>
      <c r="RM184" s="37"/>
      <c r="RN184" s="37"/>
      <c r="RO184" s="37"/>
      <c r="RP184" s="37"/>
      <c r="RQ184" s="37"/>
      <c r="RR184" s="37"/>
      <c r="RS184" s="37"/>
      <c r="RT184" s="37"/>
      <c r="RU184" s="37"/>
      <c r="RV184" s="37"/>
      <c r="RW184" s="37"/>
      <c r="RX184" s="37"/>
      <c r="RY184" s="37"/>
      <c r="RZ184" s="37"/>
      <c r="SA184" s="37"/>
      <c r="SB184" s="37"/>
      <c r="SC184" s="37"/>
      <c r="SD184" s="37"/>
      <c r="SE184" s="37"/>
      <c r="SF184" s="37"/>
      <c r="SG184" s="37"/>
      <c r="SH184" s="37"/>
      <c r="SI184" s="37"/>
      <c r="SJ184" s="37"/>
      <c r="SK184" s="37"/>
      <c r="SL184" s="37"/>
      <c r="SM184" s="37"/>
      <c r="SN184" s="37"/>
      <c r="SO184" s="37"/>
      <c r="SP184" s="37"/>
      <c r="SQ184" s="37"/>
      <c r="SR184" s="37"/>
      <c r="SS184" s="37"/>
      <c r="ST184" s="37"/>
      <c r="SU184" s="37"/>
      <c r="SV184" s="37"/>
      <c r="SW184" s="37"/>
      <c r="SX184" s="37"/>
      <c r="SY184" s="37"/>
      <c r="SZ184" s="37"/>
      <c r="TA184" s="37"/>
      <c r="TB184" s="37"/>
      <c r="TC184" s="37"/>
      <c r="TD184" s="37"/>
      <c r="TE184" s="37"/>
      <c r="TF184" s="37"/>
      <c r="TG184" s="37"/>
      <c r="TH184" s="37"/>
      <c r="TI184" s="37"/>
    </row>
    <row r="185" spans="1:529" s="23" customFormat="1" ht="27" customHeight="1" x14ac:dyDescent="0.25">
      <c r="A185" s="52" t="s">
        <v>254</v>
      </c>
      <c r="B185" s="45" t="str">
        <f>'дод 4'!A120</f>
        <v>7610</v>
      </c>
      <c r="C185" s="45" t="str">
        <f>'дод 4'!B120</f>
        <v>0411</v>
      </c>
      <c r="D185" s="22" t="str">
        <f>'дод 4'!C120</f>
        <v>Сприяння розвитку малого та середнього підприємництва</v>
      </c>
      <c r="E185" s="69">
        <f t="shared" si="110"/>
        <v>1020000</v>
      </c>
      <c r="F185" s="69">
        <f>220000+182000</f>
        <v>402000</v>
      </c>
      <c r="G185" s="69"/>
      <c r="H185" s="69"/>
      <c r="I185" s="69">
        <f>1000000-200000-182000</f>
        <v>618000</v>
      </c>
      <c r="J185" s="69">
        <f t="shared" si="112"/>
        <v>0</v>
      </c>
      <c r="K185" s="69"/>
      <c r="L185" s="69"/>
      <c r="M185" s="69"/>
      <c r="N185" s="69"/>
      <c r="O185" s="69"/>
      <c r="P185" s="69">
        <f t="shared" si="111"/>
        <v>1020000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</row>
    <row r="186" spans="1:529" s="23" customFormat="1" ht="37.5" customHeight="1" x14ac:dyDescent="0.25">
      <c r="A186" s="52" t="s">
        <v>309</v>
      </c>
      <c r="B186" s="45" t="str">
        <f>'дод 4'!A122</f>
        <v>7650</v>
      </c>
      <c r="C186" s="45" t="str">
        <f>'дод 4'!B122</f>
        <v>0490</v>
      </c>
      <c r="D186" s="22" t="str">
        <f>'дод 4'!C122</f>
        <v>Проведення експертної грошової оцінки земельної ділянки чи права на неї</v>
      </c>
      <c r="E186" s="69">
        <f t="shared" si="110"/>
        <v>0</v>
      </c>
      <c r="F186" s="69"/>
      <c r="G186" s="69"/>
      <c r="H186" s="69"/>
      <c r="I186" s="69"/>
      <c r="J186" s="69">
        <f t="shared" si="112"/>
        <v>30000</v>
      </c>
      <c r="K186" s="69">
        <v>30000</v>
      </c>
      <c r="L186" s="69"/>
      <c r="M186" s="69"/>
      <c r="N186" s="69"/>
      <c r="O186" s="69">
        <v>30000</v>
      </c>
      <c r="P186" s="69">
        <f t="shared" si="111"/>
        <v>30000</v>
      </c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  <c r="LB186" s="26"/>
      <c r="LC186" s="26"/>
      <c r="LD186" s="26"/>
      <c r="LE186" s="26"/>
      <c r="LF186" s="26"/>
      <c r="LG186" s="26"/>
      <c r="LH186" s="26"/>
      <c r="LI186" s="26"/>
      <c r="LJ186" s="26"/>
      <c r="LK186" s="26"/>
      <c r="LL186" s="26"/>
      <c r="LM186" s="26"/>
      <c r="LN186" s="26"/>
      <c r="LO186" s="26"/>
      <c r="LP186" s="26"/>
      <c r="LQ186" s="26"/>
      <c r="LR186" s="26"/>
      <c r="LS186" s="26"/>
      <c r="LT186" s="26"/>
      <c r="LU186" s="26"/>
      <c r="LV186" s="26"/>
      <c r="LW186" s="26"/>
      <c r="LX186" s="26"/>
      <c r="LY186" s="26"/>
      <c r="LZ186" s="26"/>
      <c r="MA186" s="26"/>
      <c r="MB186" s="26"/>
      <c r="MC186" s="26"/>
      <c r="MD186" s="26"/>
      <c r="ME186" s="26"/>
      <c r="MF186" s="26"/>
      <c r="MG186" s="26"/>
      <c r="MH186" s="26"/>
      <c r="MI186" s="26"/>
      <c r="MJ186" s="26"/>
      <c r="MK186" s="26"/>
      <c r="ML186" s="26"/>
      <c r="MM186" s="26"/>
      <c r="MN186" s="26"/>
      <c r="MO186" s="26"/>
      <c r="MP186" s="26"/>
      <c r="MQ186" s="26"/>
      <c r="MR186" s="26"/>
      <c r="MS186" s="26"/>
      <c r="MT186" s="26"/>
      <c r="MU186" s="26"/>
      <c r="MV186" s="26"/>
      <c r="MW186" s="26"/>
      <c r="MX186" s="26"/>
      <c r="MY186" s="26"/>
      <c r="MZ186" s="26"/>
      <c r="NA186" s="26"/>
      <c r="NB186" s="26"/>
      <c r="NC186" s="26"/>
      <c r="ND186" s="26"/>
      <c r="NE186" s="26"/>
      <c r="NF186" s="26"/>
      <c r="NG186" s="26"/>
      <c r="NH186" s="26"/>
      <c r="NI186" s="26"/>
      <c r="NJ186" s="26"/>
      <c r="NK186" s="26"/>
      <c r="NL186" s="26"/>
      <c r="NM186" s="26"/>
      <c r="NN186" s="26"/>
      <c r="NO186" s="26"/>
      <c r="NP186" s="26"/>
      <c r="NQ186" s="26"/>
      <c r="NR186" s="26"/>
      <c r="NS186" s="26"/>
      <c r="NT186" s="26"/>
      <c r="NU186" s="26"/>
      <c r="NV186" s="26"/>
      <c r="NW186" s="26"/>
      <c r="NX186" s="26"/>
      <c r="NY186" s="26"/>
      <c r="NZ186" s="26"/>
      <c r="OA186" s="26"/>
      <c r="OB186" s="26"/>
      <c r="OC186" s="26"/>
      <c r="OD186" s="26"/>
      <c r="OE186" s="26"/>
      <c r="OF186" s="26"/>
      <c r="OG186" s="26"/>
      <c r="OH186" s="26"/>
      <c r="OI186" s="26"/>
      <c r="OJ186" s="26"/>
      <c r="OK186" s="26"/>
      <c r="OL186" s="26"/>
      <c r="OM186" s="26"/>
      <c r="ON186" s="26"/>
      <c r="OO186" s="26"/>
      <c r="OP186" s="26"/>
      <c r="OQ186" s="26"/>
      <c r="OR186" s="26"/>
      <c r="OS186" s="26"/>
      <c r="OT186" s="26"/>
      <c r="OU186" s="26"/>
      <c r="OV186" s="26"/>
      <c r="OW186" s="26"/>
      <c r="OX186" s="26"/>
      <c r="OY186" s="26"/>
      <c r="OZ186" s="26"/>
      <c r="PA186" s="26"/>
      <c r="PB186" s="26"/>
      <c r="PC186" s="26"/>
      <c r="PD186" s="26"/>
      <c r="PE186" s="26"/>
      <c r="PF186" s="26"/>
      <c r="PG186" s="26"/>
      <c r="PH186" s="26"/>
      <c r="PI186" s="26"/>
      <c r="PJ186" s="26"/>
      <c r="PK186" s="26"/>
      <c r="PL186" s="26"/>
      <c r="PM186" s="26"/>
      <c r="PN186" s="26"/>
      <c r="PO186" s="26"/>
      <c r="PP186" s="26"/>
      <c r="PQ186" s="26"/>
      <c r="PR186" s="26"/>
      <c r="PS186" s="26"/>
      <c r="PT186" s="26"/>
      <c r="PU186" s="26"/>
      <c r="PV186" s="26"/>
      <c r="PW186" s="26"/>
      <c r="PX186" s="26"/>
      <c r="PY186" s="26"/>
      <c r="PZ186" s="26"/>
      <c r="QA186" s="26"/>
      <c r="QB186" s="26"/>
      <c r="QC186" s="26"/>
      <c r="QD186" s="26"/>
      <c r="QE186" s="26"/>
      <c r="QF186" s="26"/>
      <c r="QG186" s="26"/>
      <c r="QH186" s="26"/>
      <c r="QI186" s="26"/>
      <c r="QJ186" s="26"/>
      <c r="QK186" s="26"/>
      <c r="QL186" s="26"/>
      <c r="QM186" s="26"/>
      <c r="QN186" s="26"/>
      <c r="QO186" s="26"/>
      <c r="QP186" s="26"/>
      <c r="QQ186" s="26"/>
      <c r="QR186" s="26"/>
      <c r="QS186" s="26"/>
      <c r="QT186" s="26"/>
      <c r="QU186" s="26"/>
      <c r="QV186" s="26"/>
      <c r="QW186" s="26"/>
      <c r="QX186" s="26"/>
      <c r="QY186" s="26"/>
      <c r="QZ186" s="26"/>
      <c r="RA186" s="26"/>
      <c r="RB186" s="26"/>
      <c r="RC186" s="26"/>
      <c r="RD186" s="26"/>
      <c r="RE186" s="26"/>
      <c r="RF186" s="26"/>
      <c r="RG186" s="26"/>
      <c r="RH186" s="26"/>
      <c r="RI186" s="26"/>
      <c r="RJ186" s="26"/>
      <c r="RK186" s="26"/>
      <c r="RL186" s="26"/>
      <c r="RM186" s="26"/>
      <c r="RN186" s="26"/>
      <c r="RO186" s="26"/>
      <c r="RP186" s="26"/>
      <c r="RQ186" s="26"/>
      <c r="RR186" s="26"/>
      <c r="RS186" s="26"/>
      <c r="RT186" s="26"/>
      <c r="RU186" s="26"/>
      <c r="RV186" s="26"/>
      <c r="RW186" s="26"/>
      <c r="RX186" s="26"/>
      <c r="RY186" s="26"/>
      <c r="RZ186" s="26"/>
      <c r="SA186" s="26"/>
      <c r="SB186" s="26"/>
      <c r="SC186" s="26"/>
      <c r="SD186" s="26"/>
      <c r="SE186" s="26"/>
      <c r="SF186" s="26"/>
      <c r="SG186" s="26"/>
      <c r="SH186" s="26"/>
      <c r="SI186" s="26"/>
      <c r="SJ186" s="26"/>
      <c r="SK186" s="26"/>
      <c r="SL186" s="26"/>
      <c r="SM186" s="26"/>
      <c r="SN186" s="26"/>
      <c r="SO186" s="26"/>
      <c r="SP186" s="26"/>
      <c r="SQ186" s="26"/>
      <c r="SR186" s="26"/>
      <c r="SS186" s="26"/>
      <c r="ST186" s="26"/>
      <c r="SU186" s="26"/>
      <c r="SV186" s="26"/>
      <c r="SW186" s="26"/>
      <c r="SX186" s="26"/>
      <c r="SY186" s="26"/>
      <c r="SZ186" s="26"/>
      <c r="TA186" s="26"/>
      <c r="TB186" s="26"/>
      <c r="TC186" s="26"/>
      <c r="TD186" s="26"/>
      <c r="TE186" s="26"/>
      <c r="TF186" s="26"/>
      <c r="TG186" s="26"/>
      <c r="TH186" s="26"/>
      <c r="TI186" s="26"/>
    </row>
    <row r="187" spans="1:529" s="23" customFormat="1" ht="51.75" customHeight="1" x14ac:dyDescent="0.25">
      <c r="A187" s="52" t="s">
        <v>311</v>
      </c>
      <c r="B187" s="45" t="str">
        <f>'дод 4'!A123</f>
        <v>7660</v>
      </c>
      <c r="C187" s="45" t="str">
        <f>'дод 4'!B123</f>
        <v>0490</v>
      </c>
      <c r="D187" s="22" t="str">
        <f>'дод 4'!C123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87" s="69">
        <f t="shared" si="110"/>
        <v>0</v>
      </c>
      <c r="F187" s="69"/>
      <c r="G187" s="69"/>
      <c r="H187" s="69"/>
      <c r="I187" s="69"/>
      <c r="J187" s="69">
        <f t="shared" si="112"/>
        <v>45000</v>
      </c>
      <c r="K187" s="69">
        <v>45000</v>
      </c>
      <c r="L187" s="69"/>
      <c r="M187" s="69"/>
      <c r="N187" s="69"/>
      <c r="O187" s="69">
        <v>45000</v>
      </c>
      <c r="P187" s="69">
        <f t="shared" si="111"/>
        <v>45000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</row>
    <row r="188" spans="1:529" s="23" customFormat="1" ht="23.25" customHeight="1" x14ac:dyDescent="0.25">
      <c r="A188" s="52" t="s">
        <v>306</v>
      </c>
      <c r="B188" s="45" t="str">
        <f>'дод 4'!A127</f>
        <v>7693</v>
      </c>
      <c r="C188" s="45" t="str">
        <f>'дод 4'!B127</f>
        <v>0490</v>
      </c>
      <c r="D188" s="22" t="str">
        <f>'дод 4'!C127</f>
        <v>Інші заходи, пов'язані з економічною діяльністю</v>
      </c>
      <c r="E188" s="69">
        <f t="shared" si="110"/>
        <v>690000</v>
      </c>
      <c r="F188" s="69">
        <f>490000+200000</f>
        <v>690000</v>
      </c>
      <c r="G188" s="69"/>
      <c r="H188" s="69"/>
      <c r="I188" s="69"/>
      <c r="J188" s="69">
        <f t="shared" si="112"/>
        <v>0</v>
      </c>
      <c r="K188" s="69"/>
      <c r="L188" s="69"/>
      <c r="M188" s="69"/>
      <c r="N188" s="69"/>
      <c r="O188" s="69"/>
      <c r="P188" s="69">
        <f t="shared" si="111"/>
        <v>690000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</row>
    <row r="189" spans="1:529" s="31" customFormat="1" ht="36" customHeight="1" x14ac:dyDescent="0.2">
      <c r="A189" s="76" t="s">
        <v>255</v>
      </c>
      <c r="B189" s="74"/>
      <c r="C189" s="74"/>
      <c r="D189" s="30" t="s">
        <v>54</v>
      </c>
      <c r="E189" s="66">
        <f>E190</f>
        <v>134462055</v>
      </c>
      <c r="F189" s="66">
        <f t="shared" ref="F189:J189" si="113">F190</f>
        <v>127319665</v>
      </c>
      <c r="G189" s="66">
        <f t="shared" si="113"/>
        <v>13922900</v>
      </c>
      <c r="H189" s="66">
        <f t="shared" si="113"/>
        <v>244400</v>
      </c>
      <c r="I189" s="66">
        <f t="shared" si="113"/>
        <v>0</v>
      </c>
      <c r="J189" s="66">
        <f t="shared" si="113"/>
        <v>93500</v>
      </c>
      <c r="K189" s="66">
        <f t="shared" ref="K189" si="114">K190</f>
        <v>0</v>
      </c>
      <c r="L189" s="66">
        <f t="shared" ref="L189" si="115">L190</f>
        <v>93500</v>
      </c>
      <c r="M189" s="66">
        <f t="shared" ref="M189" si="116">M190</f>
        <v>0</v>
      </c>
      <c r="N189" s="66">
        <f t="shared" ref="N189" si="117">N190</f>
        <v>0</v>
      </c>
      <c r="O189" s="66">
        <f t="shared" ref="O189:P189" si="118">O190</f>
        <v>0</v>
      </c>
      <c r="P189" s="66">
        <f t="shared" si="118"/>
        <v>134555555</v>
      </c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38"/>
      <c r="IC189" s="38"/>
      <c r="ID189" s="38"/>
      <c r="IE189" s="38"/>
      <c r="IF189" s="38"/>
      <c r="IG189" s="38"/>
      <c r="IH189" s="38"/>
      <c r="II189" s="38"/>
      <c r="IJ189" s="38"/>
      <c r="IK189" s="38"/>
      <c r="IL189" s="38"/>
      <c r="IM189" s="38"/>
      <c r="IN189" s="38"/>
      <c r="IO189" s="38"/>
      <c r="IP189" s="38"/>
      <c r="IQ189" s="38"/>
      <c r="IR189" s="38"/>
      <c r="IS189" s="38"/>
      <c r="IT189" s="38"/>
      <c r="IU189" s="38"/>
      <c r="IV189" s="38"/>
      <c r="IW189" s="38"/>
      <c r="IX189" s="38"/>
      <c r="IY189" s="38"/>
      <c r="IZ189" s="38"/>
      <c r="JA189" s="38"/>
      <c r="JB189" s="38"/>
      <c r="JC189" s="38"/>
      <c r="JD189" s="38"/>
      <c r="JE189" s="38"/>
      <c r="JF189" s="38"/>
      <c r="JG189" s="38"/>
      <c r="JH189" s="38"/>
      <c r="JI189" s="38"/>
      <c r="JJ189" s="38"/>
      <c r="JK189" s="38"/>
      <c r="JL189" s="38"/>
      <c r="JM189" s="38"/>
      <c r="JN189" s="38"/>
      <c r="JO189" s="38"/>
      <c r="JP189" s="38"/>
      <c r="JQ189" s="38"/>
      <c r="JR189" s="38"/>
      <c r="JS189" s="38"/>
      <c r="JT189" s="38"/>
      <c r="JU189" s="38"/>
      <c r="JV189" s="38"/>
      <c r="JW189" s="38"/>
      <c r="JX189" s="38"/>
      <c r="JY189" s="38"/>
      <c r="JZ189" s="38"/>
      <c r="KA189" s="38"/>
      <c r="KB189" s="38"/>
      <c r="KC189" s="38"/>
      <c r="KD189" s="38"/>
      <c r="KE189" s="38"/>
      <c r="KF189" s="38"/>
      <c r="KG189" s="38"/>
      <c r="KH189" s="38"/>
      <c r="KI189" s="38"/>
      <c r="KJ189" s="38"/>
      <c r="KK189" s="38"/>
      <c r="KL189" s="38"/>
      <c r="KM189" s="38"/>
      <c r="KN189" s="38"/>
      <c r="KO189" s="38"/>
      <c r="KP189" s="38"/>
      <c r="KQ189" s="38"/>
      <c r="KR189" s="38"/>
      <c r="KS189" s="38"/>
      <c r="KT189" s="38"/>
      <c r="KU189" s="38"/>
      <c r="KV189" s="38"/>
      <c r="KW189" s="38"/>
      <c r="KX189" s="38"/>
      <c r="KY189" s="38"/>
      <c r="KZ189" s="38"/>
      <c r="LA189" s="38"/>
      <c r="LB189" s="38"/>
      <c r="LC189" s="38"/>
      <c r="LD189" s="38"/>
      <c r="LE189" s="38"/>
      <c r="LF189" s="38"/>
      <c r="LG189" s="38"/>
      <c r="LH189" s="38"/>
      <c r="LI189" s="38"/>
      <c r="LJ189" s="38"/>
      <c r="LK189" s="38"/>
      <c r="LL189" s="38"/>
      <c r="LM189" s="38"/>
      <c r="LN189" s="38"/>
      <c r="LO189" s="38"/>
      <c r="LP189" s="38"/>
      <c r="LQ189" s="38"/>
      <c r="LR189" s="38"/>
      <c r="LS189" s="38"/>
      <c r="LT189" s="38"/>
      <c r="LU189" s="38"/>
      <c r="LV189" s="38"/>
      <c r="LW189" s="38"/>
      <c r="LX189" s="38"/>
      <c r="LY189" s="38"/>
      <c r="LZ189" s="38"/>
      <c r="MA189" s="38"/>
      <c r="MB189" s="38"/>
      <c r="MC189" s="38"/>
      <c r="MD189" s="38"/>
      <c r="ME189" s="38"/>
      <c r="MF189" s="38"/>
      <c r="MG189" s="38"/>
      <c r="MH189" s="38"/>
      <c r="MI189" s="38"/>
      <c r="MJ189" s="38"/>
      <c r="MK189" s="38"/>
      <c r="ML189" s="38"/>
      <c r="MM189" s="38"/>
      <c r="MN189" s="38"/>
      <c r="MO189" s="38"/>
      <c r="MP189" s="38"/>
      <c r="MQ189" s="38"/>
      <c r="MR189" s="38"/>
      <c r="MS189" s="38"/>
      <c r="MT189" s="38"/>
      <c r="MU189" s="38"/>
      <c r="MV189" s="38"/>
      <c r="MW189" s="38"/>
      <c r="MX189" s="38"/>
      <c r="MY189" s="38"/>
      <c r="MZ189" s="38"/>
      <c r="NA189" s="38"/>
      <c r="NB189" s="38"/>
      <c r="NC189" s="38"/>
      <c r="ND189" s="38"/>
      <c r="NE189" s="38"/>
      <c r="NF189" s="38"/>
      <c r="NG189" s="38"/>
      <c r="NH189" s="38"/>
      <c r="NI189" s="38"/>
      <c r="NJ189" s="38"/>
      <c r="NK189" s="38"/>
      <c r="NL189" s="38"/>
      <c r="NM189" s="38"/>
      <c r="NN189" s="38"/>
      <c r="NO189" s="38"/>
      <c r="NP189" s="38"/>
      <c r="NQ189" s="38"/>
      <c r="NR189" s="38"/>
      <c r="NS189" s="38"/>
      <c r="NT189" s="38"/>
      <c r="NU189" s="38"/>
      <c r="NV189" s="38"/>
      <c r="NW189" s="38"/>
      <c r="NX189" s="38"/>
      <c r="NY189" s="38"/>
      <c r="NZ189" s="38"/>
      <c r="OA189" s="38"/>
      <c r="OB189" s="38"/>
      <c r="OC189" s="38"/>
      <c r="OD189" s="38"/>
      <c r="OE189" s="38"/>
      <c r="OF189" s="38"/>
      <c r="OG189" s="38"/>
      <c r="OH189" s="38"/>
      <c r="OI189" s="38"/>
      <c r="OJ189" s="38"/>
      <c r="OK189" s="38"/>
      <c r="OL189" s="38"/>
      <c r="OM189" s="38"/>
      <c r="ON189" s="38"/>
      <c r="OO189" s="38"/>
      <c r="OP189" s="38"/>
      <c r="OQ189" s="38"/>
      <c r="OR189" s="38"/>
      <c r="OS189" s="38"/>
      <c r="OT189" s="38"/>
      <c r="OU189" s="38"/>
      <c r="OV189" s="38"/>
      <c r="OW189" s="38"/>
      <c r="OX189" s="38"/>
      <c r="OY189" s="38"/>
      <c r="OZ189" s="38"/>
      <c r="PA189" s="38"/>
      <c r="PB189" s="38"/>
      <c r="PC189" s="38"/>
      <c r="PD189" s="38"/>
      <c r="PE189" s="38"/>
      <c r="PF189" s="38"/>
      <c r="PG189" s="38"/>
      <c r="PH189" s="38"/>
      <c r="PI189" s="38"/>
      <c r="PJ189" s="38"/>
      <c r="PK189" s="38"/>
      <c r="PL189" s="38"/>
      <c r="PM189" s="38"/>
      <c r="PN189" s="38"/>
      <c r="PO189" s="38"/>
      <c r="PP189" s="38"/>
      <c r="PQ189" s="38"/>
      <c r="PR189" s="38"/>
      <c r="PS189" s="38"/>
      <c r="PT189" s="38"/>
      <c r="PU189" s="38"/>
      <c r="PV189" s="38"/>
      <c r="PW189" s="38"/>
      <c r="PX189" s="38"/>
      <c r="PY189" s="38"/>
      <c r="PZ189" s="38"/>
      <c r="QA189" s="38"/>
      <c r="QB189" s="38"/>
      <c r="QC189" s="38"/>
      <c r="QD189" s="38"/>
      <c r="QE189" s="38"/>
      <c r="QF189" s="38"/>
      <c r="QG189" s="38"/>
      <c r="QH189" s="38"/>
      <c r="QI189" s="38"/>
      <c r="QJ189" s="38"/>
      <c r="QK189" s="38"/>
      <c r="QL189" s="38"/>
      <c r="QM189" s="38"/>
      <c r="QN189" s="38"/>
      <c r="QO189" s="38"/>
      <c r="QP189" s="38"/>
      <c r="QQ189" s="38"/>
      <c r="QR189" s="38"/>
      <c r="QS189" s="38"/>
      <c r="QT189" s="38"/>
      <c r="QU189" s="38"/>
      <c r="QV189" s="38"/>
      <c r="QW189" s="38"/>
      <c r="QX189" s="38"/>
      <c r="QY189" s="38"/>
      <c r="QZ189" s="38"/>
      <c r="RA189" s="38"/>
      <c r="RB189" s="38"/>
      <c r="RC189" s="38"/>
      <c r="RD189" s="38"/>
      <c r="RE189" s="38"/>
      <c r="RF189" s="38"/>
      <c r="RG189" s="38"/>
      <c r="RH189" s="38"/>
      <c r="RI189" s="38"/>
      <c r="RJ189" s="38"/>
      <c r="RK189" s="38"/>
      <c r="RL189" s="38"/>
      <c r="RM189" s="38"/>
      <c r="RN189" s="38"/>
      <c r="RO189" s="38"/>
      <c r="RP189" s="38"/>
      <c r="RQ189" s="38"/>
      <c r="RR189" s="38"/>
      <c r="RS189" s="38"/>
      <c r="RT189" s="38"/>
      <c r="RU189" s="38"/>
      <c r="RV189" s="38"/>
      <c r="RW189" s="38"/>
      <c r="RX189" s="38"/>
      <c r="RY189" s="38"/>
      <c r="RZ189" s="38"/>
      <c r="SA189" s="38"/>
      <c r="SB189" s="38"/>
      <c r="SC189" s="38"/>
      <c r="SD189" s="38"/>
      <c r="SE189" s="38"/>
      <c r="SF189" s="38"/>
      <c r="SG189" s="38"/>
      <c r="SH189" s="38"/>
      <c r="SI189" s="38"/>
      <c r="SJ189" s="38"/>
      <c r="SK189" s="38"/>
      <c r="SL189" s="38"/>
      <c r="SM189" s="38"/>
      <c r="SN189" s="38"/>
      <c r="SO189" s="38"/>
      <c r="SP189" s="38"/>
      <c r="SQ189" s="38"/>
      <c r="SR189" s="38"/>
      <c r="SS189" s="38"/>
      <c r="ST189" s="38"/>
      <c r="SU189" s="38"/>
      <c r="SV189" s="38"/>
      <c r="SW189" s="38"/>
      <c r="SX189" s="38"/>
      <c r="SY189" s="38"/>
      <c r="SZ189" s="38"/>
      <c r="TA189" s="38"/>
      <c r="TB189" s="38"/>
      <c r="TC189" s="38"/>
      <c r="TD189" s="38"/>
      <c r="TE189" s="38"/>
      <c r="TF189" s="38"/>
      <c r="TG189" s="38"/>
      <c r="TH189" s="38"/>
      <c r="TI189" s="38"/>
    </row>
    <row r="190" spans="1:529" s="40" customFormat="1" ht="36" customHeight="1" x14ac:dyDescent="0.25">
      <c r="A190" s="77" t="s">
        <v>256</v>
      </c>
      <c r="B190" s="75"/>
      <c r="C190" s="75"/>
      <c r="D190" s="33" t="s">
        <v>54</v>
      </c>
      <c r="E190" s="68">
        <f>SUM(E191+E192+E193+E195+E196+E197+E198+E194)</f>
        <v>134462055</v>
      </c>
      <c r="F190" s="68">
        <f t="shared" ref="F190:P190" si="119">SUM(F191+F192+F193+F195+F196+F197+F198+F194)</f>
        <v>127319665</v>
      </c>
      <c r="G190" s="68">
        <f t="shared" si="119"/>
        <v>13922900</v>
      </c>
      <c r="H190" s="68">
        <f t="shared" si="119"/>
        <v>244400</v>
      </c>
      <c r="I190" s="68">
        <f t="shared" si="119"/>
        <v>0</v>
      </c>
      <c r="J190" s="68">
        <f t="shared" si="119"/>
        <v>93500</v>
      </c>
      <c r="K190" s="68">
        <f t="shared" si="119"/>
        <v>0</v>
      </c>
      <c r="L190" s="68">
        <f t="shared" si="119"/>
        <v>93500</v>
      </c>
      <c r="M190" s="68">
        <f t="shared" si="119"/>
        <v>0</v>
      </c>
      <c r="N190" s="68">
        <f t="shared" si="119"/>
        <v>0</v>
      </c>
      <c r="O190" s="68">
        <f t="shared" si="119"/>
        <v>0</v>
      </c>
      <c r="P190" s="68">
        <f t="shared" si="119"/>
        <v>134555555</v>
      </c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  <c r="IW190" s="39"/>
      <c r="IX190" s="39"/>
      <c r="IY190" s="39"/>
      <c r="IZ190" s="39"/>
      <c r="JA190" s="39"/>
      <c r="JB190" s="39"/>
      <c r="JC190" s="39"/>
      <c r="JD190" s="39"/>
      <c r="JE190" s="39"/>
      <c r="JF190" s="39"/>
      <c r="JG190" s="39"/>
      <c r="JH190" s="39"/>
      <c r="JI190" s="39"/>
      <c r="JJ190" s="39"/>
      <c r="JK190" s="39"/>
      <c r="JL190" s="39"/>
      <c r="JM190" s="39"/>
      <c r="JN190" s="39"/>
      <c r="JO190" s="39"/>
      <c r="JP190" s="39"/>
      <c r="JQ190" s="39"/>
      <c r="JR190" s="39"/>
      <c r="JS190" s="39"/>
      <c r="JT190" s="39"/>
      <c r="JU190" s="39"/>
      <c r="JV190" s="39"/>
      <c r="JW190" s="39"/>
      <c r="JX190" s="39"/>
      <c r="JY190" s="39"/>
      <c r="JZ190" s="39"/>
      <c r="KA190" s="39"/>
      <c r="KB190" s="39"/>
      <c r="KC190" s="39"/>
      <c r="KD190" s="39"/>
      <c r="KE190" s="39"/>
      <c r="KF190" s="39"/>
      <c r="KG190" s="39"/>
      <c r="KH190" s="39"/>
      <c r="KI190" s="39"/>
      <c r="KJ190" s="39"/>
      <c r="KK190" s="39"/>
      <c r="KL190" s="39"/>
      <c r="KM190" s="39"/>
      <c r="KN190" s="39"/>
      <c r="KO190" s="39"/>
      <c r="KP190" s="39"/>
      <c r="KQ190" s="39"/>
      <c r="KR190" s="39"/>
      <c r="KS190" s="39"/>
      <c r="KT190" s="39"/>
      <c r="KU190" s="39"/>
      <c r="KV190" s="39"/>
      <c r="KW190" s="39"/>
      <c r="KX190" s="39"/>
      <c r="KY190" s="39"/>
      <c r="KZ190" s="39"/>
      <c r="LA190" s="39"/>
      <c r="LB190" s="39"/>
      <c r="LC190" s="39"/>
      <c r="LD190" s="39"/>
      <c r="LE190" s="39"/>
      <c r="LF190" s="39"/>
      <c r="LG190" s="39"/>
      <c r="LH190" s="39"/>
      <c r="LI190" s="39"/>
      <c r="LJ190" s="39"/>
      <c r="LK190" s="39"/>
      <c r="LL190" s="39"/>
      <c r="LM190" s="39"/>
      <c r="LN190" s="39"/>
      <c r="LO190" s="39"/>
      <c r="LP190" s="39"/>
      <c r="LQ190" s="39"/>
      <c r="LR190" s="39"/>
      <c r="LS190" s="39"/>
      <c r="LT190" s="39"/>
      <c r="LU190" s="39"/>
      <c r="LV190" s="39"/>
      <c r="LW190" s="39"/>
      <c r="LX190" s="39"/>
      <c r="LY190" s="39"/>
      <c r="LZ190" s="39"/>
      <c r="MA190" s="39"/>
      <c r="MB190" s="39"/>
      <c r="MC190" s="39"/>
      <c r="MD190" s="39"/>
      <c r="ME190" s="39"/>
      <c r="MF190" s="39"/>
      <c r="MG190" s="39"/>
      <c r="MH190" s="39"/>
      <c r="MI190" s="39"/>
      <c r="MJ190" s="39"/>
      <c r="MK190" s="39"/>
      <c r="ML190" s="39"/>
      <c r="MM190" s="39"/>
      <c r="MN190" s="39"/>
      <c r="MO190" s="39"/>
      <c r="MP190" s="39"/>
      <c r="MQ190" s="39"/>
      <c r="MR190" s="39"/>
      <c r="MS190" s="39"/>
      <c r="MT190" s="39"/>
      <c r="MU190" s="39"/>
      <c r="MV190" s="39"/>
      <c r="MW190" s="39"/>
      <c r="MX190" s="39"/>
      <c r="MY190" s="39"/>
      <c r="MZ190" s="39"/>
      <c r="NA190" s="39"/>
      <c r="NB190" s="39"/>
      <c r="NC190" s="39"/>
      <c r="ND190" s="39"/>
      <c r="NE190" s="39"/>
      <c r="NF190" s="39"/>
      <c r="NG190" s="39"/>
      <c r="NH190" s="39"/>
      <c r="NI190" s="39"/>
      <c r="NJ190" s="39"/>
      <c r="NK190" s="39"/>
      <c r="NL190" s="39"/>
      <c r="NM190" s="39"/>
      <c r="NN190" s="39"/>
      <c r="NO190" s="39"/>
      <c r="NP190" s="39"/>
      <c r="NQ190" s="39"/>
      <c r="NR190" s="39"/>
      <c r="NS190" s="39"/>
      <c r="NT190" s="39"/>
      <c r="NU190" s="39"/>
      <c r="NV190" s="39"/>
      <c r="NW190" s="39"/>
      <c r="NX190" s="39"/>
      <c r="NY190" s="39"/>
      <c r="NZ190" s="39"/>
      <c r="OA190" s="39"/>
      <c r="OB190" s="39"/>
      <c r="OC190" s="39"/>
      <c r="OD190" s="39"/>
      <c r="OE190" s="39"/>
      <c r="OF190" s="39"/>
      <c r="OG190" s="39"/>
      <c r="OH190" s="39"/>
      <c r="OI190" s="39"/>
      <c r="OJ190" s="39"/>
      <c r="OK190" s="39"/>
      <c r="OL190" s="39"/>
      <c r="OM190" s="39"/>
      <c r="ON190" s="39"/>
      <c r="OO190" s="39"/>
      <c r="OP190" s="39"/>
      <c r="OQ190" s="39"/>
      <c r="OR190" s="39"/>
      <c r="OS190" s="39"/>
      <c r="OT190" s="39"/>
      <c r="OU190" s="39"/>
      <c r="OV190" s="39"/>
      <c r="OW190" s="39"/>
      <c r="OX190" s="39"/>
      <c r="OY190" s="39"/>
      <c r="OZ190" s="39"/>
      <c r="PA190" s="39"/>
      <c r="PB190" s="39"/>
      <c r="PC190" s="39"/>
      <c r="PD190" s="39"/>
      <c r="PE190" s="39"/>
      <c r="PF190" s="39"/>
      <c r="PG190" s="39"/>
      <c r="PH190" s="39"/>
      <c r="PI190" s="39"/>
      <c r="PJ190" s="39"/>
      <c r="PK190" s="39"/>
      <c r="PL190" s="39"/>
      <c r="PM190" s="39"/>
      <c r="PN190" s="39"/>
      <c r="PO190" s="39"/>
      <c r="PP190" s="39"/>
      <c r="PQ190" s="39"/>
      <c r="PR190" s="39"/>
      <c r="PS190" s="39"/>
      <c r="PT190" s="39"/>
      <c r="PU190" s="39"/>
      <c r="PV190" s="39"/>
      <c r="PW190" s="39"/>
      <c r="PX190" s="39"/>
      <c r="PY190" s="39"/>
      <c r="PZ190" s="39"/>
      <c r="QA190" s="39"/>
      <c r="QB190" s="39"/>
      <c r="QC190" s="39"/>
      <c r="QD190" s="39"/>
      <c r="QE190" s="39"/>
      <c r="QF190" s="39"/>
      <c r="QG190" s="39"/>
      <c r="QH190" s="39"/>
      <c r="QI190" s="39"/>
      <c r="QJ190" s="39"/>
      <c r="QK190" s="39"/>
      <c r="QL190" s="39"/>
      <c r="QM190" s="39"/>
      <c r="QN190" s="39"/>
      <c r="QO190" s="39"/>
      <c r="QP190" s="39"/>
      <c r="QQ190" s="39"/>
      <c r="QR190" s="39"/>
      <c r="QS190" s="39"/>
      <c r="QT190" s="39"/>
      <c r="QU190" s="39"/>
      <c r="QV190" s="39"/>
      <c r="QW190" s="39"/>
      <c r="QX190" s="39"/>
      <c r="QY190" s="39"/>
      <c r="QZ190" s="39"/>
      <c r="RA190" s="39"/>
      <c r="RB190" s="39"/>
      <c r="RC190" s="39"/>
      <c r="RD190" s="39"/>
      <c r="RE190" s="39"/>
      <c r="RF190" s="39"/>
      <c r="RG190" s="39"/>
      <c r="RH190" s="39"/>
      <c r="RI190" s="39"/>
      <c r="RJ190" s="39"/>
      <c r="RK190" s="39"/>
      <c r="RL190" s="39"/>
      <c r="RM190" s="39"/>
      <c r="RN190" s="39"/>
      <c r="RO190" s="39"/>
      <c r="RP190" s="39"/>
      <c r="RQ190" s="39"/>
      <c r="RR190" s="39"/>
      <c r="RS190" s="39"/>
      <c r="RT190" s="39"/>
      <c r="RU190" s="39"/>
      <c r="RV190" s="39"/>
      <c r="RW190" s="39"/>
      <c r="RX190" s="39"/>
      <c r="RY190" s="39"/>
      <c r="RZ190" s="39"/>
      <c r="SA190" s="39"/>
      <c r="SB190" s="39"/>
      <c r="SC190" s="39"/>
      <c r="SD190" s="39"/>
      <c r="SE190" s="39"/>
      <c r="SF190" s="39"/>
      <c r="SG190" s="39"/>
      <c r="SH190" s="39"/>
      <c r="SI190" s="39"/>
      <c r="SJ190" s="39"/>
      <c r="SK190" s="39"/>
      <c r="SL190" s="39"/>
      <c r="SM190" s="39"/>
      <c r="SN190" s="39"/>
      <c r="SO190" s="39"/>
      <c r="SP190" s="39"/>
      <c r="SQ190" s="39"/>
      <c r="SR190" s="39"/>
      <c r="SS190" s="39"/>
      <c r="ST190" s="39"/>
      <c r="SU190" s="39"/>
      <c r="SV190" s="39"/>
      <c r="SW190" s="39"/>
      <c r="SX190" s="39"/>
      <c r="SY190" s="39"/>
      <c r="SZ190" s="39"/>
      <c r="TA190" s="39"/>
      <c r="TB190" s="39"/>
      <c r="TC190" s="39"/>
      <c r="TD190" s="39"/>
      <c r="TE190" s="39"/>
      <c r="TF190" s="39"/>
      <c r="TG190" s="39"/>
      <c r="TH190" s="39"/>
      <c r="TI190" s="39"/>
    </row>
    <row r="191" spans="1:529" s="23" customFormat="1" ht="42" customHeight="1" x14ac:dyDescent="0.25">
      <c r="A191" s="43" t="s">
        <v>257</v>
      </c>
      <c r="B191" s="44" t="str">
        <f>'дод 4'!A19</f>
        <v>0160</v>
      </c>
      <c r="C191" s="44" t="str">
        <f>'дод 4'!B19</f>
        <v>0111</v>
      </c>
      <c r="D191" s="22" t="str">
        <f>'дод 4'!C19</f>
        <v>Керівництво і управління у відповідній сфері у містах (місті Києві), селищах, селах, об’єднаних територіальних громадах</v>
      </c>
      <c r="E191" s="69">
        <f t="shared" ref="E191:E196" si="120">F191+I191</f>
        <v>17857800</v>
      </c>
      <c r="F191" s="69">
        <f>18669000+46200-857400</f>
        <v>17857800</v>
      </c>
      <c r="G191" s="69">
        <f>14625700-702800</f>
        <v>13922900</v>
      </c>
      <c r="H191" s="69">
        <v>244400</v>
      </c>
      <c r="I191" s="69"/>
      <c r="J191" s="69">
        <f>L191+O191</f>
        <v>0</v>
      </c>
      <c r="K191" s="69"/>
      <c r="L191" s="69"/>
      <c r="M191" s="69"/>
      <c r="N191" s="69"/>
      <c r="O191" s="69"/>
      <c r="P191" s="69">
        <f t="shared" ref="P191:P198" si="121">E191+J191</f>
        <v>17857800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</row>
    <row r="192" spans="1:529" s="23" customFormat="1" ht="18.75" customHeight="1" x14ac:dyDescent="0.25">
      <c r="A192" s="43" t="s">
        <v>300</v>
      </c>
      <c r="B192" s="44" t="str">
        <f>'дод 4'!A121</f>
        <v>7640</v>
      </c>
      <c r="C192" s="44" t="str">
        <f>'дод 4'!B121</f>
        <v>0470</v>
      </c>
      <c r="D192" s="24" t="str">
        <f>'дод 4'!C121</f>
        <v>Заходи з енергозбереження</v>
      </c>
      <c r="E192" s="69">
        <f t="shared" si="120"/>
        <v>345000</v>
      </c>
      <c r="F192" s="69">
        <v>345000</v>
      </c>
      <c r="G192" s="69"/>
      <c r="H192" s="69"/>
      <c r="I192" s="69"/>
      <c r="J192" s="69">
        <f t="shared" ref="J192:J198" si="122">L192+O192</f>
        <v>0</v>
      </c>
      <c r="K192" s="69"/>
      <c r="L192" s="69"/>
      <c r="M192" s="69"/>
      <c r="N192" s="69"/>
      <c r="O192" s="69"/>
      <c r="P192" s="69">
        <f t="shared" si="121"/>
        <v>345000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</row>
    <row r="193" spans="1:529" s="23" customFormat="1" ht="24" customHeight="1" x14ac:dyDescent="0.25">
      <c r="A193" s="43" t="s">
        <v>387</v>
      </c>
      <c r="B193" s="44" t="str">
        <f>'дод 4'!A127</f>
        <v>7693</v>
      </c>
      <c r="C193" s="44" t="str">
        <f>'дод 4'!B127</f>
        <v>0490</v>
      </c>
      <c r="D193" s="24" t="str">
        <f>'дод 4'!C127</f>
        <v>Інші заходи, пов'язані з економічною діяльністю</v>
      </c>
      <c r="E193" s="69">
        <f t="shared" si="120"/>
        <v>213200</v>
      </c>
      <c r="F193" s="69">
        <v>213200</v>
      </c>
      <c r="G193" s="69"/>
      <c r="H193" s="69"/>
      <c r="I193" s="69"/>
      <c r="J193" s="69">
        <f t="shared" si="122"/>
        <v>0</v>
      </c>
      <c r="K193" s="69"/>
      <c r="L193" s="69"/>
      <c r="M193" s="69"/>
      <c r="N193" s="69"/>
      <c r="O193" s="69"/>
      <c r="P193" s="69">
        <f t="shared" si="121"/>
        <v>213200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</row>
    <row r="194" spans="1:529" s="23" customFormat="1" ht="33.75" customHeight="1" x14ac:dyDescent="0.25">
      <c r="A194" s="43">
        <v>3718330</v>
      </c>
      <c r="B194" s="44">
        <f>'дод 4'!A137</f>
        <v>8330</v>
      </c>
      <c r="C194" s="44">
        <f>'дод 4'!B137</f>
        <v>540</v>
      </c>
      <c r="D194" s="24" t="str">
        <f>'дод 4'!C137</f>
        <v xml:space="preserve">Інша діяльність у сфері екології та охорони природних ресурсів </v>
      </c>
      <c r="E194" s="69">
        <f t="shared" si="120"/>
        <v>75000</v>
      </c>
      <c r="F194" s="69">
        <v>75000</v>
      </c>
      <c r="G194" s="69"/>
      <c r="H194" s="69"/>
      <c r="I194" s="69"/>
      <c r="J194" s="69">
        <f t="shared" si="122"/>
        <v>0</v>
      </c>
      <c r="K194" s="69"/>
      <c r="L194" s="69"/>
      <c r="M194" s="69"/>
      <c r="N194" s="69"/>
      <c r="O194" s="69"/>
      <c r="P194" s="69">
        <f t="shared" si="121"/>
        <v>75000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</row>
    <row r="195" spans="1:529" s="23" customFormat="1" ht="26.25" customHeight="1" x14ac:dyDescent="0.25">
      <c r="A195" s="43" t="s">
        <v>258</v>
      </c>
      <c r="B195" s="44" t="str">
        <f>'дод 4'!A138</f>
        <v>8340</v>
      </c>
      <c r="C195" s="43" t="str">
        <f>'дод 4'!B138</f>
        <v>0540</v>
      </c>
      <c r="D195" s="24" t="str">
        <f>'дод 4'!C138</f>
        <v>Природоохоронні заходи за рахунок цільових фондів</v>
      </c>
      <c r="E195" s="69">
        <f t="shared" si="120"/>
        <v>0</v>
      </c>
      <c r="F195" s="69"/>
      <c r="G195" s="69"/>
      <c r="H195" s="69"/>
      <c r="I195" s="69"/>
      <c r="J195" s="69">
        <f t="shared" si="122"/>
        <v>93500</v>
      </c>
      <c r="K195" s="69"/>
      <c r="L195" s="69">
        <f>45000+48500</f>
        <v>93500</v>
      </c>
      <c r="M195" s="69"/>
      <c r="N195" s="69"/>
      <c r="O195" s="69"/>
      <c r="P195" s="69">
        <f t="shared" si="121"/>
        <v>93500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</row>
    <row r="196" spans="1:529" s="23" customFormat="1" ht="27" customHeight="1" x14ac:dyDescent="0.25">
      <c r="A196" s="43" t="s">
        <v>259</v>
      </c>
      <c r="B196" s="44" t="str">
        <f>'дод 4'!A141</f>
        <v>8600</v>
      </c>
      <c r="C196" s="44" t="str">
        <f>'дод 4'!B141</f>
        <v>0170</v>
      </c>
      <c r="D196" s="24" t="str">
        <f>'дод 4'!C141</f>
        <v>Обслуговування місцевого боргу</v>
      </c>
      <c r="E196" s="69">
        <f t="shared" si="120"/>
        <v>712065</v>
      </c>
      <c r="F196" s="69">
        <f>28187+238378+445500</f>
        <v>712065</v>
      </c>
      <c r="G196" s="69"/>
      <c r="H196" s="69"/>
      <c r="I196" s="69"/>
      <c r="J196" s="69">
        <f t="shared" si="122"/>
        <v>0</v>
      </c>
      <c r="K196" s="69"/>
      <c r="L196" s="69"/>
      <c r="M196" s="69"/>
      <c r="N196" s="69"/>
      <c r="O196" s="69"/>
      <c r="P196" s="69">
        <f t="shared" si="121"/>
        <v>712065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</row>
    <row r="197" spans="1:529" s="23" customFormat="1" ht="21" customHeight="1" x14ac:dyDescent="0.25">
      <c r="A197" s="43" t="s">
        <v>273</v>
      </c>
      <c r="B197" s="44" t="str">
        <f>'дод 4'!A142</f>
        <v>8700</v>
      </c>
      <c r="C197" s="44" t="str">
        <f>'дод 4'!B142</f>
        <v>0133</v>
      </c>
      <c r="D197" s="24" t="str">
        <f>'дод 4'!C142</f>
        <v>Резервний фонд</v>
      </c>
      <c r="E197" s="69">
        <f>20000000+40000+102390-13000000</f>
        <v>7142390</v>
      </c>
      <c r="F197" s="69"/>
      <c r="G197" s="69"/>
      <c r="H197" s="69"/>
      <c r="I197" s="69"/>
      <c r="J197" s="69">
        <f t="shared" si="122"/>
        <v>0</v>
      </c>
      <c r="K197" s="69"/>
      <c r="L197" s="69"/>
      <c r="M197" s="69"/>
      <c r="N197" s="69"/>
      <c r="O197" s="69"/>
      <c r="P197" s="69">
        <f t="shared" si="121"/>
        <v>7142390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</row>
    <row r="198" spans="1:529" s="23" customFormat="1" ht="22.5" customHeight="1" x14ac:dyDescent="0.25">
      <c r="A198" s="43" t="s">
        <v>274</v>
      </c>
      <c r="B198" s="44" t="str">
        <f>'дод 4'!A145</f>
        <v>9110</v>
      </c>
      <c r="C198" s="44" t="str">
        <f>'дод 4'!B145</f>
        <v>0180</v>
      </c>
      <c r="D198" s="24" t="str">
        <f>'дод 4'!C145</f>
        <v>Реверсна дотація</v>
      </c>
      <c r="E198" s="69">
        <f>F198+I198</f>
        <v>108116600</v>
      </c>
      <c r="F198" s="69">
        <v>108116600</v>
      </c>
      <c r="G198" s="69"/>
      <c r="H198" s="69"/>
      <c r="I198" s="69"/>
      <c r="J198" s="69">
        <f t="shared" si="122"/>
        <v>0</v>
      </c>
      <c r="K198" s="69"/>
      <c r="L198" s="69"/>
      <c r="M198" s="69"/>
      <c r="N198" s="69"/>
      <c r="O198" s="69"/>
      <c r="P198" s="69">
        <f t="shared" si="121"/>
        <v>108116600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</row>
    <row r="199" spans="1:529" s="31" customFormat="1" ht="24.75" customHeight="1" x14ac:dyDescent="0.2">
      <c r="A199" s="90"/>
      <c r="B199" s="74"/>
      <c r="C199" s="79"/>
      <c r="D199" s="30" t="s">
        <v>27</v>
      </c>
      <c r="E199" s="66">
        <f>E17+E49+E75+E93+E115+E120+E130+E156+E159+E173+E178+E181+E189</f>
        <v>2091855561.5900002</v>
      </c>
      <c r="F199" s="66">
        <f t="shared" ref="F199:P199" si="123">F17+F49+F75+F93+F115+F120+F130+F156+F159+F173+F178+F181+F189</f>
        <v>2039711733.5900002</v>
      </c>
      <c r="G199" s="66">
        <f t="shared" si="123"/>
        <v>908969732</v>
      </c>
      <c r="H199" s="66">
        <f t="shared" si="123"/>
        <v>121640963</v>
      </c>
      <c r="I199" s="66">
        <f t="shared" si="123"/>
        <v>45001438</v>
      </c>
      <c r="J199" s="66">
        <f t="shared" si="123"/>
        <v>587403467.1099999</v>
      </c>
      <c r="K199" s="66">
        <f t="shared" si="123"/>
        <v>426752220.47000003</v>
      </c>
      <c r="L199" s="66">
        <f t="shared" si="123"/>
        <v>144233011.00999999</v>
      </c>
      <c r="M199" s="66">
        <f t="shared" si="123"/>
        <v>9012497</v>
      </c>
      <c r="N199" s="66">
        <f t="shared" si="123"/>
        <v>3810541</v>
      </c>
      <c r="O199" s="66">
        <f t="shared" si="123"/>
        <v>443170456.10000002</v>
      </c>
      <c r="P199" s="66">
        <f t="shared" si="123"/>
        <v>2679259028.6999998</v>
      </c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8"/>
      <c r="DM199" s="38"/>
      <c r="DN199" s="38"/>
      <c r="DO199" s="38"/>
      <c r="DP199" s="38"/>
      <c r="DQ199" s="38"/>
      <c r="DR199" s="38"/>
      <c r="DS199" s="38"/>
      <c r="DT199" s="38"/>
      <c r="DU199" s="38"/>
      <c r="DV199" s="38"/>
      <c r="DW199" s="38"/>
      <c r="DX199" s="38"/>
      <c r="DY199" s="38"/>
      <c r="DZ199" s="38"/>
      <c r="EA199" s="38"/>
      <c r="EB199" s="38"/>
      <c r="EC199" s="38"/>
      <c r="ED199" s="38"/>
      <c r="EE199" s="38"/>
      <c r="EF199" s="38"/>
      <c r="EG199" s="38"/>
      <c r="EH199" s="38"/>
      <c r="EI199" s="38"/>
      <c r="EJ199" s="38"/>
      <c r="EK199" s="38"/>
      <c r="EL199" s="38"/>
      <c r="EM199" s="38"/>
      <c r="EN199" s="38"/>
      <c r="EO199" s="38"/>
      <c r="EP199" s="38"/>
      <c r="EQ199" s="38"/>
      <c r="ER199" s="38"/>
      <c r="ES199" s="38"/>
      <c r="ET199" s="38"/>
      <c r="EU199" s="38"/>
      <c r="EV199" s="38"/>
      <c r="EW199" s="38"/>
      <c r="EX199" s="38"/>
      <c r="EY199" s="38"/>
      <c r="EZ199" s="38"/>
      <c r="FA199" s="38"/>
      <c r="FB199" s="38"/>
      <c r="FC199" s="38"/>
      <c r="FD199" s="38"/>
      <c r="FE199" s="38"/>
      <c r="FF199" s="38"/>
      <c r="FG199" s="38"/>
      <c r="FH199" s="38"/>
      <c r="FI199" s="38"/>
      <c r="FJ199" s="38"/>
      <c r="FK199" s="38"/>
      <c r="FL199" s="38"/>
      <c r="FM199" s="38"/>
      <c r="FN199" s="38"/>
      <c r="FO199" s="38"/>
      <c r="FP199" s="38"/>
      <c r="FQ199" s="38"/>
      <c r="FR199" s="38"/>
      <c r="FS199" s="38"/>
      <c r="FT199" s="38"/>
      <c r="FU199" s="38"/>
      <c r="FV199" s="38"/>
      <c r="FW199" s="38"/>
      <c r="FX199" s="38"/>
      <c r="FY199" s="38"/>
      <c r="FZ199" s="38"/>
      <c r="GA199" s="38"/>
      <c r="GB199" s="38"/>
      <c r="GC199" s="38"/>
      <c r="GD199" s="38"/>
      <c r="GE199" s="38"/>
      <c r="GF199" s="38"/>
      <c r="GG199" s="38"/>
      <c r="GH199" s="38"/>
      <c r="GI199" s="38"/>
      <c r="GJ199" s="38"/>
      <c r="GK199" s="38"/>
      <c r="GL199" s="38"/>
      <c r="GM199" s="38"/>
      <c r="GN199" s="38"/>
      <c r="GO199" s="38"/>
      <c r="GP199" s="38"/>
      <c r="GQ199" s="38"/>
      <c r="GR199" s="38"/>
      <c r="GS199" s="38"/>
      <c r="GT199" s="38"/>
      <c r="GU199" s="38"/>
      <c r="GV199" s="38"/>
      <c r="GW199" s="38"/>
      <c r="GX199" s="38"/>
      <c r="GY199" s="38"/>
      <c r="GZ199" s="38"/>
      <c r="HA199" s="38"/>
      <c r="HB199" s="38"/>
      <c r="HC199" s="38"/>
      <c r="HD199" s="38"/>
      <c r="HE199" s="38"/>
      <c r="HF199" s="38"/>
      <c r="HG199" s="38"/>
      <c r="HH199" s="38"/>
      <c r="HI199" s="38"/>
      <c r="HJ199" s="38"/>
      <c r="HK199" s="38"/>
      <c r="HL199" s="38"/>
      <c r="HM199" s="38"/>
      <c r="HN199" s="38"/>
      <c r="HO199" s="38"/>
      <c r="HP199" s="38"/>
      <c r="HQ199" s="38"/>
      <c r="HR199" s="38"/>
      <c r="HS199" s="38"/>
      <c r="HT199" s="38"/>
      <c r="HU199" s="38"/>
      <c r="HV199" s="38"/>
      <c r="HW199" s="38"/>
      <c r="HX199" s="38"/>
      <c r="HY199" s="38"/>
      <c r="HZ199" s="38"/>
      <c r="IA199" s="38"/>
      <c r="IB199" s="38"/>
      <c r="IC199" s="38"/>
      <c r="ID199" s="38"/>
      <c r="IE199" s="38"/>
      <c r="IF199" s="38"/>
      <c r="IG199" s="38"/>
      <c r="IH199" s="38"/>
      <c r="II199" s="38"/>
      <c r="IJ199" s="38"/>
      <c r="IK199" s="38"/>
      <c r="IL199" s="38"/>
      <c r="IM199" s="38"/>
      <c r="IN199" s="38"/>
      <c r="IO199" s="38"/>
      <c r="IP199" s="38"/>
      <c r="IQ199" s="38"/>
      <c r="IR199" s="38"/>
      <c r="IS199" s="38"/>
      <c r="IT199" s="38"/>
      <c r="IU199" s="38"/>
      <c r="IV199" s="38"/>
      <c r="IW199" s="38"/>
      <c r="IX199" s="38"/>
      <c r="IY199" s="38"/>
      <c r="IZ199" s="38"/>
      <c r="JA199" s="38"/>
      <c r="JB199" s="38"/>
      <c r="JC199" s="38"/>
      <c r="JD199" s="38"/>
      <c r="JE199" s="38"/>
      <c r="JF199" s="38"/>
      <c r="JG199" s="38"/>
      <c r="JH199" s="38"/>
      <c r="JI199" s="38"/>
      <c r="JJ199" s="38"/>
      <c r="JK199" s="38"/>
      <c r="JL199" s="38"/>
      <c r="JM199" s="38"/>
      <c r="JN199" s="38"/>
      <c r="JO199" s="38"/>
      <c r="JP199" s="38"/>
      <c r="JQ199" s="38"/>
      <c r="JR199" s="38"/>
      <c r="JS199" s="38"/>
      <c r="JT199" s="38"/>
      <c r="JU199" s="38"/>
      <c r="JV199" s="38"/>
      <c r="JW199" s="38"/>
      <c r="JX199" s="38"/>
      <c r="JY199" s="38"/>
      <c r="JZ199" s="38"/>
      <c r="KA199" s="38"/>
      <c r="KB199" s="38"/>
      <c r="KC199" s="38"/>
      <c r="KD199" s="38"/>
      <c r="KE199" s="38"/>
      <c r="KF199" s="38"/>
      <c r="KG199" s="38"/>
      <c r="KH199" s="38"/>
      <c r="KI199" s="38"/>
      <c r="KJ199" s="38"/>
      <c r="KK199" s="38"/>
      <c r="KL199" s="38"/>
      <c r="KM199" s="38"/>
      <c r="KN199" s="38"/>
      <c r="KO199" s="38"/>
      <c r="KP199" s="38"/>
      <c r="KQ199" s="38"/>
      <c r="KR199" s="38"/>
      <c r="KS199" s="38"/>
      <c r="KT199" s="38"/>
      <c r="KU199" s="38"/>
      <c r="KV199" s="38"/>
      <c r="KW199" s="38"/>
      <c r="KX199" s="38"/>
      <c r="KY199" s="38"/>
      <c r="KZ199" s="38"/>
      <c r="LA199" s="38"/>
      <c r="LB199" s="38"/>
      <c r="LC199" s="38"/>
      <c r="LD199" s="38"/>
      <c r="LE199" s="38"/>
      <c r="LF199" s="38"/>
      <c r="LG199" s="38"/>
      <c r="LH199" s="38"/>
      <c r="LI199" s="38"/>
      <c r="LJ199" s="38"/>
      <c r="LK199" s="38"/>
      <c r="LL199" s="38"/>
      <c r="LM199" s="38"/>
      <c r="LN199" s="38"/>
      <c r="LO199" s="38"/>
      <c r="LP199" s="38"/>
      <c r="LQ199" s="38"/>
      <c r="LR199" s="38"/>
      <c r="LS199" s="38"/>
      <c r="LT199" s="38"/>
      <c r="LU199" s="38"/>
      <c r="LV199" s="38"/>
      <c r="LW199" s="38"/>
      <c r="LX199" s="38"/>
      <c r="LY199" s="38"/>
      <c r="LZ199" s="38"/>
      <c r="MA199" s="38"/>
      <c r="MB199" s="38"/>
      <c r="MC199" s="38"/>
      <c r="MD199" s="38"/>
      <c r="ME199" s="38"/>
      <c r="MF199" s="38"/>
      <c r="MG199" s="38"/>
      <c r="MH199" s="38"/>
      <c r="MI199" s="38"/>
      <c r="MJ199" s="38"/>
      <c r="MK199" s="38"/>
      <c r="ML199" s="38"/>
      <c r="MM199" s="38"/>
      <c r="MN199" s="38"/>
      <c r="MO199" s="38"/>
      <c r="MP199" s="38"/>
      <c r="MQ199" s="38"/>
      <c r="MR199" s="38"/>
      <c r="MS199" s="38"/>
      <c r="MT199" s="38"/>
      <c r="MU199" s="38"/>
      <c r="MV199" s="38"/>
      <c r="MW199" s="38"/>
      <c r="MX199" s="38"/>
      <c r="MY199" s="38"/>
      <c r="MZ199" s="38"/>
      <c r="NA199" s="38"/>
      <c r="NB199" s="38"/>
      <c r="NC199" s="38"/>
      <c r="ND199" s="38"/>
      <c r="NE199" s="38"/>
      <c r="NF199" s="38"/>
      <c r="NG199" s="38"/>
      <c r="NH199" s="38"/>
      <c r="NI199" s="38"/>
      <c r="NJ199" s="38"/>
      <c r="NK199" s="38"/>
      <c r="NL199" s="38"/>
      <c r="NM199" s="38"/>
      <c r="NN199" s="38"/>
      <c r="NO199" s="38"/>
      <c r="NP199" s="38"/>
      <c r="NQ199" s="38"/>
      <c r="NR199" s="38"/>
      <c r="NS199" s="38"/>
      <c r="NT199" s="38"/>
      <c r="NU199" s="38"/>
      <c r="NV199" s="38"/>
      <c r="NW199" s="38"/>
      <c r="NX199" s="38"/>
      <c r="NY199" s="38"/>
      <c r="NZ199" s="38"/>
      <c r="OA199" s="38"/>
      <c r="OB199" s="38"/>
      <c r="OC199" s="38"/>
      <c r="OD199" s="38"/>
      <c r="OE199" s="38"/>
      <c r="OF199" s="38"/>
      <c r="OG199" s="38"/>
      <c r="OH199" s="38"/>
      <c r="OI199" s="38"/>
      <c r="OJ199" s="38"/>
      <c r="OK199" s="38"/>
      <c r="OL199" s="38"/>
      <c r="OM199" s="38"/>
      <c r="ON199" s="38"/>
      <c r="OO199" s="38"/>
      <c r="OP199" s="38"/>
      <c r="OQ199" s="38"/>
      <c r="OR199" s="38"/>
      <c r="OS199" s="38"/>
      <c r="OT199" s="38"/>
      <c r="OU199" s="38"/>
      <c r="OV199" s="38"/>
      <c r="OW199" s="38"/>
      <c r="OX199" s="38"/>
      <c r="OY199" s="38"/>
      <c r="OZ199" s="38"/>
      <c r="PA199" s="38"/>
      <c r="PB199" s="38"/>
      <c r="PC199" s="38"/>
      <c r="PD199" s="38"/>
      <c r="PE199" s="38"/>
      <c r="PF199" s="38"/>
      <c r="PG199" s="38"/>
      <c r="PH199" s="38"/>
      <c r="PI199" s="38"/>
      <c r="PJ199" s="38"/>
      <c r="PK199" s="38"/>
      <c r="PL199" s="38"/>
      <c r="PM199" s="38"/>
      <c r="PN199" s="38"/>
      <c r="PO199" s="38"/>
      <c r="PP199" s="38"/>
      <c r="PQ199" s="38"/>
      <c r="PR199" s="38"/>
      <c r="PS199" s="38"/>
      <c r="PT199" s="38"/>
      <c r="PU199" s="38"/>
      <c r="PV199" s="38"/>
      <c r="PW199" s="38"/>
      <c r="PX199" s="38"/>
      <c r="PY199" s="38"/>
      <c r="PZ199" s="38"/>
      <c r="QA199" s="38"/>
      <c r="QB199" s="38"/>
      <c r="QC199" s="38"/>
      <c r="QD199" s="38"/>
      <c r="QE199" s="38"/>
      <c r="QF199" s="38"/>
      <c r="QG199" s="38"/>
      <c r="QH199" s="38"/>
      <c r="QI199" s="38"/>
      <c r="QJ199" s="38"/>
      <c r="QK199" s="38"/>
      <c r="QL199" s="38"/>
      <c r="QM199" s="38"/>
      <c r="QN199" s="38"/>
      <c r="QO199" s="38"/>
      <c r="QP199" s="38"/>
      <c r="QQ199" s="38"/>
      <c r="QR199" s="38"/>
      <c r="QS199" s="38"/>
      <c r="QT199" s="38"/>
      <c r="QU199" s="38"/>
      <c r="QV199" s="38"/>
      <c r="QW199" s="38"/>
      <c r="QX199" s="38"/>
      <c r="QY199" s="38"/>
      <c r="QZ199" s="38"/>
      <c r="RA199" s="38"/>
      <c r="RB199" s="38"/>
      <c r="RC199" s="38"/>
      <c r="RD199" s="38"/>
      <c r="RE199" s="38"/>
      <c r="RF199" s="38"/>
      <c r="RG199" s="38"/>
      <c r="RH199" s="38"/>
      <c r="RI199" s="38"/>
      <c r="RJ199" s="38"/>
      <c r="RK199" s="38"/>
      <c r="RL199" s="38"/>
      <c r="RM199" s="38"/>
      <c r="RN199" s="38"/>
      <c r="RO199" s="38"/>
      <c r="RP199" s="38"/>
      <c r="RQ199" s="38"/>
      <c r="RR199" s="38"/>
      <c r="RS199" s="38"/>
      <c r="RT199" s="38"/>
      <c r="RU199" s="38"/>
      <c r="RV199" s="38"/>
      <c r="RW199" s="38"/>
      <c r="RX199" s="38"/>
      <c r="RY199" s="38"/>
      <c r="RZ199" s="38"/>
      <c r="SA199" s="38"/>
      <c r="SB199" s="38"/>
      <c r="SC199" s="38"/>
      <c r="SD199" s="38"/>
      <c r="SE199" s="38"/>
      <c r="SF199" s="38"/>
      <c r="SG199" s="38"/>
      <c r="SH199" s="38"/>
      <c r="SI199" s="38"/>
      <c r="SJ199" s="38"/>
      <c r="SK199" s="38"/>
      <c r="SL199" s="38"/>
      <c r="SM199" s="38"/>
      <c r="SN199" s="38"/>
      <c r="SO199" s="38"/>
      <c r="SP199" s="38"/>
      <c r="SQ199" s="38"/>
      <c r="SR199" s="38"/>
      <c r="SS199" s="38"/>
      <c r="ST199" s="38"/>
      <c r="SU199" s="38"/>
      <c r="SV199" s="38"/>
      <c r="SW199" s="38"/>
      <c r="SX199" s="38"/>
      <c r="SY199" s="38"/>
      <c r="SZ199" s="38"/>
      <c r="TA199" s="38"/>
      <c r="TB199" s="38"/>
      <c r="TC199" s="38"/>
      <c r="TD199" s="38"/>
      <c r="TE199" s="38"/>
      <c r="TF199" s="38"/>
      <c r="TG199" s="38"/>
      <c r="TH199" s="38"/>
      <c r="TI199" s="38"/>
    </row>
    <row r="200" spans="1:529" s="31" customFormat="1" ht="20.25" customHeight="1" x14ac:dyDescent="0.2">
      <c r="A200" s="90"/>
      <c r="B200" s="74"/>
      <c r="C200" s="79"/>
      <c r="D200" s="30" t="s">
        <v>308</v>
      </c>
      <c r="E200" s="66">
        <f>E51+E77+E132</f>
        <v>439414289</v>
      </c>
      <c r="F200" s="66">
        <f t="shared" ref="F200:P200" si="124">F51+F77+F132</f>
        <v>439414289</v>
      </c>
      <c r="G200" s="66">
        <f t="shared" si="124"/>
        <v>307191100</v>
      </c>
      <c r="H200" s="66">
        <f t="shared" si="124"/>
        <v>0</v>
      </c>
      <c r="I200" s="66">
        <f t="shared" si="124"/>
        <v>0</v>
      </c>
      <c r="J200" s="66">
        <f t="shared" si="124"/>
        <v>82674037.929999992</v>
      </c>
      <c r="K200" s="66">
        <f t="shared" si="124"/>
        <v>2674037.9300000002</v>
      </c>
      <c r="L200" s="66">
        <f t="shared" si="124"/>
        <v>80000000</v>
      </c>
      <c r="M200" s="66">
        <f t="shared" si="124"/>
        <v>0</v>
      </c>
      <c r="N200" s="66">
        <f t="shared" si="124"/>
        <v>0</v>
      </c>
      <c r="O200" s="66">
        <f t="shared" si="124"/>
        <v>2674037.9300000002</v>
      </c>
      <c r="P200" s="66">
        <f t="shared" si="124"/>
        <v>522088326.93000001</v>
      </c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ET200" s="38"/>
      <c r="EU200" s="38"/>
      <c r="EV200" s="38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8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  <c r="GB200" s="38"/>
      <c r="GC200" s="38"/>
      <c r="GD200" s="38"/>
      <c r="GE200" s="38"/>
      <c r="GF200" s="38"/>
      <c r="GG200" s="38"/>
      <c r="GH200" s="38"/>
      <c r="GI200" s="38"/>
      <c r="GJ200" s="38"/>
      <c r="GK200" s="38"/>
      <c r="GL200" s="38"/>
      <c r="GM200" s="38"/>
      <c r="GN200" s="38"/>
      <c r="GO200" s="38"/>
      <c r="GP200" s="38"/>
      <c r="GQ200" s="38"/>
      <c r="GR200" s="38"/>
      <c r="GS200" s="38"/>
      <c r="GT200" s="38"/>
      <c r="GU200" s="38"/>
      <c r="GV200" s="38"/>
      <c r="GW200" s="38"/>
      <c r="GX200" s="38"/>
      <c r="GY200" s="38"/>
      <c r="GZ200" s="38"/>
      <c r="HA200" s="38"/>
      <c r="HB200" s="38"/>
      <c r="HC200" s="38"/>
      <c r="HD200" s="38"/>
      <c r="HE200" s="38"/>
      <c r="HF200" s="38"/>
      <c r="HG200" s="38"/>
      <c r="HH200" s="38"/>
      <c r="HI200" s="38"/>
      <c r="HJ200" s="38"/>
      <c r="HK200" s="38"/>
      <c r="HL200" s="38"/>
      <c r="HM200" s="38"/>
      <c r="HN200" s="38"/>
      <c r="HO200" s="38"/>
      <c r="HP200" s="38"/>
      <c r="HQ200" s="38"/>
      <c r="HR200" s="38"/>
      <c r="HS200" s="38"/>
      <c r="HT200" s="38"/>
      <c r="HU200" s="38"/>
      <c r="HV200" s="38"/>
      <c r="HW200" s="38"/>
      <c r="HX200" s="38"/>
      <c r="HY200" s="38"/>
      <c r="HZ200" s="38"/>
      <c r="IA200" s="38"/>
      <c r="IB200" s="38"/>
      <c r="IC200" s="38"/>
      <c r="ID200" s="38"/>
      <c r="IE200" s="38"/>
      <c r="IF200" s="38"/>
      <c r="IG200" s="38"/>
      <c r="IH200" s="38"/>
      <c r="II200" s="38"/>
      <c r="IJ200" s="38"/>
      <c r="IK200" s="38"/>
      <c r="IL200" s="38"/>
      <c r="IM200" s="38"/>
      <c r="IN200" s="38"/>
      <c r="IO200" s="38"/>
      <c r="IP200" s="38"/>
      <c r="IQ200" s="38"/>
      <c r="IR200" s="38"/>
      <c r="IS200" s="38"/>
      <c r="IT200" s="38"/>
      <c r="IU200" s="38"/>
      <c r="IV200" s="38"/>
      <c r="IW200" s="38"/>
      <c r="IX200" s="38"/>
      <c r="IY200" s="38"/>
      <c r="IZ200" s="38"/>
      <c r="JA200" s="38"/>
      <c r="JB200" s="38"/>
      <c r="JC200" s="38"/>
      <c r="JD200" s="38"/>
      <c r="JE200" s="38"/>
      <c r="JF200" s="38"/>
      <c r="JG200" s="38"/>
      <c r="JH200" s="38"/>
      <c r="JI200" s="38"/>
      <c r="JJ200" s="38"/>
      <c r="JK200" s="38"/>
      <c r="JL200" s="38"/>
      <c r="JM200" s="38"/>
      <c r="JN200" s="38"/>
      <c r="JO200" s="38"/>
      <c r="JP200" s="38"/>
      <c r="JQ200" s="38"/>
      <c r="JR200" s="38"/>
      <c r="JS200" s="38"/>
      <c r="JT200" s="38"/>
      <c r="JU200" s="38"/>
      <c r="JV200" s="38"/>
      <c r="JW200" s="38"/>
      <c r="JX200" s="38"/>
      <c r="JY200" s="38"/>
      <c r="JZ200" s="38"/>
      <c r="KA200" s="38"/>
      <c r="KB200" s="38"/>
      <c r="KC200" s="38"/>
      <c r="KD200" s="38"/>
      <c r="KE200" s="38"/>
      <c r="KF200" s="38"/>
      <c r="KG200" s="38"/>
      <c r="KH200" s="38"/>
      <c r="KI200" s="38"/>
      <c r="KJ200" s="38"/>
      <c r="KK200" s="38"/>
      <c r="KL200" s="38"/>
      <c r="KM200" s="38"/>
      <c r="KN200" s="38"/>
      <c r="KO200" s="38"/>
      <c r="KP200" s="38"/>
      <c r="KQ200" s="38"/>
      <c r="KR200" s="38"/>
      <c r="KS200" s="38"/>
      <c r="KT200" s="38"/>
      <c r="KU200" s="38"/>
      <c r="KV200" s="38"/>
      <c r="KW200" s="38"/>
      <c r="KX200" s="38"/>
      <c r="KY200" s="38"/>
      <c r="KZ200" s="38"/>
      <c r="LA200" s="38"/>
      <c r="LB200" s="38"/>
      <c r="LC200" s="38"/>
      <c r="LD200" s="38"/>
      <c r="LE200" s="38"/>
      <c r="LF200" s="38"/>
      <c r="LG200" s="38"/>
      <c r="LH200" s="38"/>
      <c r="LI200" s="38"/>
      <c r="LJ200" s="38"/>
      <c r="LK200" s="38"/>
      <c r="LL200" s="38"/>
      <c r="LM200" s="38"/>
      <c r="LN200" s="38"/>
      <c r="LO200" s="38"/>
      <c r="LP200" s="38"/>
      <c r="LQ200" s="38"/>
      <c r="LR200" s="38"/>
      <c r="LS200" s="38"/>
      <c r="LT200" s="38"/>
      <c r="LU200" s="38"/>
      <c r="LV200" s="38"/>
      <c r="LW200" s="38"/>
      <c r="LX200" s="38"/>
      <c r="LY200" s="38"/>
      <c r="LZ200" s="38"/>
      <c r="MA200" s="38"/>
      <c r="MB200" s="38"/>
      <c r="MC200" s="38"/>
      <c r="MD200" s="38"/>
      <c r="ME200" s="38"/>
      <c r="MF200" s="38"/>
      <c r="MG200" s="38"/>
      <c r="MH200" s="38"/>
      <c r="MI200" s="38"/>
      <c r="MJ200" s="38"/>
      <c r="MK200" s="38"/>
      <c r="ML200" s="38"/>
      <c r="MM200" s="38"/>
      <c r="MN200" s="38"/>
      <c r="MO200" s="38"/>
      <c r="MP200" s="38"/>
      <c r="MQ200" s="38"/>
      <c r="MR200" s="38"/>
      <c r="MS200" s="38"/>
      <c r="MT200" s="38"/>
      <c r="MU200" s="38"/>
      <c r="MV200" s="38"/>
      <c r="MW200" s="38"/>
      <c r="MX200" s="38"/>
      <c r="MY200" s="38"/>
      <c r="MZ200" s="38"/>
      <c r="NA200" s="38"/>
      <c r="NB200" s="38"/>
      <c r="NC200" s="38"/>
      <c r="ND200" s="38"/>
      <c r="NE200" s="38"/>
      <c r="NF200" s="38"/>
      <c r="NG200" s="38"/>
      <c r="NH200" s="38"/>
      <c r="NI200" s="38"/>
      <c r="NJ200" s="38"/>
      <c r="NK200" s="38"/>
      <c r="NL200" s="38"/>
      <c r="NM200" s="38"/>
      <c r="NN200" s="38"/>
      <c r="NO200" s="38"/>
      <c r="NP200" s="38"/>
      <c r="NQ200" s="38"/>
      <c r="NR200" s="38"/>
      <c r="NS200" s="38"/>
      <c r="NT200" s="38"/>
      <c r="NU200" s="38"/>
      <c r="NV200" s="38"/>
      <c r="NW200" s="38"/>
      <c r="NX200" s="38"/>
      <c r="NY200" s="38"/>
      <c r="NZ200" s="38"/>
      <c r="OA200" s="38"/>
      <c r="OB200" s="38"/>
      <c r="OC200" s="38"/>
      <c r="OD200" s="38"/>
      <c r="OE200" s="38"/>
      <c r="OF200" s="38"/>
      <c r="OG200" s="38"/>
      <c r="OH200" s="38"/>
      <c r="OI200" s="38"/>
      <c r="OJ200" s="38"/>
      <c r="OK200" s="38"/>
      <c r="OL200" s="38"/>
      <c r="OM200" s="38"/>
      <c r="ON200" s="38"/>
      <c r="OO200" s="38"/>
      <c r="OP200" s="38"/>
      <c r="OQ200" s="38"/>
      <c r="OR200" s="38"/>
      <c r="OS200" s="38"/>
      <c r="OT200" s="38"/>
      <c r="OU200" s="38"/>
      <c r="OV200" s="38"/>
      <c r="OW200" s="38"/>
      <c r="OX200" s="38"/>
      <c r="OY200" s="38"/>
      <c r="OZ200" s="38"/>
      <c r="PA200" s="38"/>
      <c r="PB200" s="38"/>
      <c r="PC200" s="38"/>
      <c r="PD200" s="38"/>
      <c r="PE200" s="38"/>
      <c r="PF200" s="38"/>
      <c r="PG200" s="38"/>
      <c r="PH200" s="38"/>
      <c r="PI200" s="38"/>
      <c r="PJ200" s="38"/>
      <c r="PK200" s="38"/>
      <c r="PL200" s="38"/>
      <c r="PM200" s="38"/>
      <c r="PN200" s="38"/>
      <c r="PO200" s="38"/>
      <c r="PP200" s="38"/>
      <c r="PQ200" s="38"/>
      <c r="PR200" s="38"/>
      <c r="PS200" s="38"/>
      <c r="PT200" s="38"/>
      <c r="PU200" s="38"/>
      <c r="PV200" s="38"/>
      <c r="PW200" s="38"/>
      <c r="PX200" s="38"/>
      <c r="PY200" s="38"/>
      <c r="PZ200" s="38"/>
      <c r="QA200" s="38"/>
      <c r="QB200" s="38"/>
      <c r="QC200" s="38"/>
      <c r="QD200" s="38"/>
      <c r="QE200" s="38"/>
      <c r="QF200" s="38"/>
      <c r="QG200" s="38"/>
      <c r="QH200" s="38"/>
      <c r="QI200" s="38"/>
      <c r="QJ200" s="38"/>
      <c r="QK200" s="38"/>
      <c r="QL200" s="38"/>
      <c r="QM200" s="38"/>
      <c r="QN200" s="38"/>
      <c r="QO200" s="38"/>
      <c r="QP200" s="38"/>
      <c r="QQ200" s="38"/>
      <c r="QR200" s="38"/>
      <c r="QS200" s="38"/>
      <c r="QT200" s="38"/>
      <c r="QU200" s="38"/>
      <c r="QV200" s="38"/>
      <c r="QW200" s="38"/>
      <c r="QX200" s="38"/>
      <c r="QY200" s="38"/>
      <c r="QZ200" s="38"/>
      <c r="RA200" s="38"/>
      <c r="RB200" s="38"/>
      <c r="RC200" s="38"/>
      <c r="RD200" s="38"/>
      <c r="RE200" s="38"/>
      <c r="RF200" s="38"/>
      <c r="RG200" s="38"/>
      <c r="RH200" s="38"/>
      <c r="RI200" s="38"/>
      <c r="RJ200" s="38"/>
      <c r="RK200" s="38"/>
      <c r="RL200" s="38"/>
      <c r="RM200" s="38"/>
      <c r="RN200" s="38"/>
      <c r="RO200" s="38"/>
      <c r="RP200" s="38"/>
      <c r="RQ200" s="38"/>
      <c r="RR200" s="38"/>
      <c r="RS200" s="38"/>
      <c r="RT200" s="38"/>
      <c r="RU200" s="38"/>
      <c r="RV200" s="38"/>
      <c r="RW200" s="38"/>
      <c r="RX200" s="38"/>
      <c r="RY200" s="38"/>
      <c r="RZ200" s="38"/>
      <c r="SA200" s="38"/>
      <c r="SB200" s="38"/>
      <c r="SC200" s="38"/>
      <c r="SD200" s="38"/>
      <c r="SE200" s="38"/>
      <c r="SF200" s="38"/>
      <c r="SG200" s="38"/>
      <c r="SH200" s="38"/>
      <c r="SI200" s="38"/>
      <c r="SJ200" s="38"/>
      <c r="SK200" s="38"/>
      <c r="SL200" s="38"/>
      <c r="SM200" s="38"/>
      <c r="SN200" s="38"/>
      <c r="SO200" s="38"/>
      <c r="SP200" s="38"/>
      <c r="SQ200" s="38"/>
      <c r="SR200" s="38"/>
      <c r="SS200" s="38"/>
      <c r="ST200" s="38"/>
      <c r="SU200" s="38"/>
      <c r="SV200" s="38"/>
      <c r="SW200" s="38"/>
      <c r="SX200" s="38"/>
      <c r="SY200" s="38"/>
      <c r="SZ200" s="38"/>
      <c r="TA200" s="38"/>
      <c r="TB200" s="38"/>
      <c r="TC200" s="38"/>
      <c r="TD200" s="38"/>
      <c r="TE200" s="38"/>
      <c r="TF200" s="38"/>
      <c r="TG200" s="38"/>
      <c r="TH200" s="38"/>
      <c r="TI200" s="38"/>
    </row>
    <row r="201" spans="1:529" s="34" customFormat="1" x14ac:dyDescent="0.25">
      <c r="A201" s="91"/>
      <c r="B201" s="80"/>
      <c r="C201" s="80"/>
      <c r="D201" s="41"/>
      <c r="E201" s="59">
        <f>E199-'дод 4'!D149</f>
        <v>0</v>
      </c>
      <c r="F201" s="59">
        <f>F199-'дод 4'!E149</f>
        <v>0</v>
      </c>
      <c r="G201" s="59">
        <f>G199-'дод 4'!F149</f>
        <v>0</v>
      </c>
      <c r="H201" s="59">
        <f>H199-'дод 4'!G149</f>
        <v>0</v>
      </c>
      <c r="I201" s="59">
        <f>I199-'дод 4'!H149</f>
        <v>0</v>
      </c>
      <c r="J201" s="59">
        <f>J199-'дод 4'!I149</f>
        <v>0</v>
      </c>
      <c r="K201" s="59">
        <f>K199-'дод 4'!J149</f>
        <v>0</v>
      </c>
      <c r="L201" s="59">
        <f>L199-'дод 4'!K149</f>
        <v>0</v>
      </c>
      <c r="M201" s="59">
        <f>M199-'дод 4'!L149</f>
        <v>0</v>
      </c>
      <c r="N201" s="59">
        <f>N199-'дод 4'!M149</f>
        <v>0</v>
      </c>
      <c r="O201" s="59">
        <f>O199-'дод 4'!N149</f>
        <v>0</v>
      </c>
      <c r="P201" s="59">
        <f>P199-'дод 4'!O149</f>
        <v>0</v>
      </c>
    </row>
    <row r="202" spans="1:529" s="34" customFormat="1" x14ac:dyDescent="0.25">
      <c r="A202" s="91"/>
      <c r="B202" s="80"/>
      <c r="C202" s="80"/>
      <c r="D202" s="41"/>
      <c r="E202" s="59">
        <f>E200-'дод 4'!D150</f>
        <v>0</v>
      </c>
      <c r="F202" s="59">
        <f>F200-'дод 4'!E150</f>
        <v>0</v>
      </c>
      <c r="G202" s="59">
        <f>G200-'дод 4'!F150</f>
        <v>0</v>
      </c>
      <c r="H202" s="59">
        <f>H200-'дод 4'!G150</f>
        <v>0</v>
      </c>
      <c r="I202" s="59">
        <f>I200-'дод 4'!H150</f>
        <v>0</v>
      </c>
      <c r="J202" s="59">
        <f>J200-'дод 4'!I150</f>
        <v>0</v>
      </c>
      <c r="K202" s="59">
        <f>K200-'дод 4'!J150</f>
        <v>0</v>
      </c>
      <c r="L202" s="59">
        <f>L200-'дод 4'!K150</f>
        <v>0</v>
      </c>
      <c r="M202" s="59">
        <f>M200-'дод 4'!L150</f>
        <v>0</v>
      </c>
      <c r="N202" s="59">
        <f>N200-'дод 4'!M150</f>
        <v>0</v>
      </c>
      <c r="O202" s="59">
        <f>O200-'дод 4'!N150</f>
        <v>0</v>
      </c>
      <c r="P202" s="59">
        <f>P200-'дод 4'!O150</f>
        <v>0</v>
      </c>
    </row>
    <row r="203" spans="1:529" s="34" customFormat="1" x14ac:dyDescent="0.25">
      <c r="A203" s="91"/>
      <c r="B203" s="80"/>
      <c r="C203" s="80"/>
      <c r="D203" s="41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1:529" s="34" customFormat="1" x14ac:dyDescent="0.25">
      <c r="A204" s="91"/>
      <c r="B204" s="80"/>
      <c r="C204" s="80"/>
      <c r="D204" s="41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1:529" s="34" customFormat="1" ht="31.5" x14ac:dyDescent="0.45">
      <c r="A205" s="138" t="s">
        <v>461</v>
      </c>
      <c r="B205" s="138"/>
      <c r="C205" s="138"/>
      <c r="D205" s="138"/>
      <c r="E205" s="138"/>
      <c r="F205" s="138"/>
      <c r="G205" s="138"/>
      <c r="H205" s="138"/>
      <c r="I205" s="139"/>
      <c r="J205" s="139"/>
      <c r="K205" s="139"/>
      <c r="L205" s="140"/>
      <c r="M205" s="140"/>
      <c r="N205" s="153" t="s">
        <v>462</v>
      </c>
      <c r="O205" s="153"/>
      <c r="P205" s="153"/>
    </row>
    <row r="206" spans="1:529" s="34" customFormat="1" ht="35.25" customHeight="1" x14ac:dyDescent="0.5">
      <c r="A206" s="141"/>
      <c r="B206" s="141"/>
      <c r="C206" s="141"/>
      <c r="D206" s="142"/>
      <c r="E206" s="143"/>
      <c r="F206" s="143"/>
      <c r="G206" s="143"/>
      <c r="H206" s="143"/>
      <c r="I206" s="143"/>
      <c r="J206" s="143"/>
      <c r="K206" s="144"/>
      <c r="L206" s="143"/>
      <c r="M206" s="143"/>
      <c r="Q206" s="93"/>
      <c r="R206" s="93"/>
      <c r="S206" s="93"/>
      <c r="T206" s="93"/>
      <c r="U206" s="93"/>
    </row>
    <row r="207" spans="1:529" s="111" customFormat="1" ht="26.25" x14ac:dyDescent="0.4">
      <c r="A207" s="145" t="s">
        <v>463</v>
      </c>
      <c r="B207" s="112"/>
      <c r="C207" s="112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1:529" s="128" customFormat="1" ht="35.25" x14ac:dyDescent="0.5">
      <c r="A208" s="145" t="s">
        <v>464</v>
      </c>
      <c r="B208" s="112"/>
      <c r="C208" s="112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29"/>
      <c r="R208" s="129"/>
      <c r="S208" s="129"/>
      <c r="T208" s="129"/>
      <c r="U208" s="129"/>
      <c r="V208" s="129"/>
      <c r="W208" s="130"/>
      <c r="X208" s="131"/>
    </row>
    <row r="209" spans="1:16" s="104" customFormat="1" ht="14.25" x14ac:dyDescent="0.2">
      <c r="A209" s="100"/>
      <c r="B209" s="101"/>
      <c r="C209" s="101"/>
      <c r="D209" s="102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1:16" s="104" customFormat="1" ht="14.25" x14ac:dyDescent="0.2">
      <c r="A210" s="100"/>
      <c r="B210" s="101"/>
      <c r="C210" s="101"/>
      <c r="D210" s="102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1:16" s="34" customFormat="1" x14ac:dyDescent="0.25">
      <c r="A211" s="91"/>
      <c r="B211" s="108"/>
      <c r="C211" s="108"/>
      <c r="D211" s="41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60"/>
    </row>
    <row r="212" spans="1:16" s="34" customFormat="1" x14ac:dyDescent="0.25">
      <c r="A212" s="91"/>
      <c r="B212" s="108"/>
      <c r="C212" s="108"/>
      <c r="D212" s="41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60"/>
    </row>
    <row r="213" spans="1:16" s="34" customFormat="1" x14ac:dyDescent="0.25">
      <c r="A213" s="91"/>
      <c r="B213" s="108"/>
      <c r="C213" s="108"/>
      <c r="D213" s="41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60"/>
    </row>
    <row r="214" spans="1:16" s="34" customFormat="1" x14ac:dyDescent="0.25">
      <c r="A214" s="91"/>
      <c r="B214" s="108"/>
      <c r="C214" s="108"/>
      <c r="D214" s="41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60"/>
    </row>
    <row r="215" spans="1:16" s="34" customFormat="1" x14ac:dyDescent="0.25">
      <c r="A215" s="91"/>
      <c r="B215" s="108"/>
      <c r="C215" s="108"/>
      <c r="D215" s="41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60"/>
    </row>
    <row r="216" spans="1:16" s="34" customFormat="1" x14ac:dyDescent="0.25">
      <c r="A216" s="91"/>
      <c r="B216" s="80"/>
      <c r="C216" s="80"/>
      <c r="D216" s="4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60"/>
    </row>
    <row r="217" spans="1:16" s="34" customFormat="1" x14ac:dyDescent="0.25">
      <c r="A217" s="91"/>
      <c r="B217" s="80"/>
      <c r="C217" s="80"/>
      <c r="D217" s="41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60"/>
    </row>
    <row r="218" spans="1:16" s="34" customFormat="1" x14ac:dyDescent="0.25">
      <c r="A218" s="91"/>
      <c r="B218" s="80"/>
      <c r="C218" s="80"/>
      <c r="D218" s="4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</row>
    <row r="219" spans="1:16" s="34" customFormat="1" x14ac:dyDescent="0.25">
      <c r="A219" s="91"/>
      <c r="B219" s="80"/>
      <c r="C219" s="80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</row>
    <row r="220" spans="1:16" s="34" customFormat="1" x14ac:dyDescent="0.25">
      <c r="A220" s="91"/>
      <c r="B220" s="80"/>
      <c r="C220" s="80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</row>
    <row r="221" spans="1:16" s="34" customFormat="1" x14ac:dyDescent="0.25">
      <c r="A221" s="91"/>
      <c r="B221" s="80"/>
      <c r="C221" s="80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</row>
    <row r="222" spans="1:16" s="34" customFormat="1" x14ac:dyDescent="0.25">
      <c r="A222" s="91"/>
      <c r="B222" s="80"/>
      <c r="C222" s="80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</row>
    <row r="223" spans="1:16" s="34" customFormat="1" x14ac:dyDescent="0.25">
      <c r="A223" s="91"/>
      <c r="B223" s="80"/>
      <c r="C223" s="80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</row>
    <row r="224" spans="1:16" s="34" customFormat="1" x14ac:dyDescent="0.25">
      <c r="A224" s="91"/>
      <c r="B224" s="80"/>
      <c r="C224" s="80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</row>
    <row r="225" spans="1:16" s="34" customFormat="1" x14ac:dyDescent="0.25">
      <c r="A225" s="91"/>
      <c r="B225" s="80"/>
      <c r="C225" s="80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</row>
    <row r="226" spans="1:16" s="34" customFormat="1" x14ac:dyDescent="0.25">
      <c r="A226" s="91"/>
      <c r="B226" s="80"/>
      <c r="C226" s="80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</row>
    <row r="227" spans="1:16" s="34" customFormat="1" x14ac:dyDescent="0.25">
      <c r="A227" s="91"/>
      <c r="B227" s="80"/>
      <c r="C227" s="80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</row>
    <row r="228" spans="1:16" s="34" customFormat="1" x14ac:dyDescent="0.25">
      <c r="A228" s="91"/>
      <c r="B228" s="80"/>
      <c r="C228" s="80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</row>
    <row r="229" spans="1:16" s="34" customFormat="1" x14ac:dyDescent="0.25">
      <c r="A229" s="91"/>
      <c r="B229" s="80"/>
      <c r="C229" s="80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</row>
    <row r="230" spans="1:16" s="34" customFormat="1" x14ac:dyDescent="0.25">
      <c r="A230" s="91"/>
      <c r="B230" s="80"/>
      <c r="C230" s="80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</row>
    <row r="231" spans="1:16" s="34" customFormat="1" x14ac:dyDescent="0.25">
      <c r="A231" s="91"/>
      <c r="B231" s="80"/>
      <c r="C231" s="80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</row>
    <row r="232" spans="1:16" s="34" customFormat="1" x14ac:dyDescent="0.25">
      <c r="A232" s="91"/>
      <c r="B232" s="80"/>
      <c r="C232" s="80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</row>
    <row r="233" spans="1:16" s="34" customFormat="1" x14ac:dyDescent="0.25">
      <c r="A233" s="91"/>
      <c r="B233" s="80"/>
      <c r="C233" s="80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</row>
    <row r="234" spans="1:16" s="34" customFormat="1" x14ac:dyDescent="0.25">
      <c r="A234" s="91"/>
      <c r="B234" s="80"/>
      <c r="C234" s="80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</row>
    <row r="235" spans="1:16" s="34" customFormat="1" x14ac:dyDescent="0.25">
      <c r="A235" s="91"/>
      <c r="B235" s="80"/>
      <c r="C235" s="80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</row>
    <row r="236" spans="1:16" s="34" customFormat="1" x14ac:dyDescent="0.25">
      <c r="A236" s="91"/>
      <c r="B236" s="80"/>
      <c r="C236" s="80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</row>
    <row r="237" spans="1:16" s="34" customFormat="1" x14ac:dyDescent="0.25">
      <c r="A237" s="91"/>
      <c r="B237" s="80"/>
      <c r="C237" s="80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</row>
    <row r="238" spans="1:16" s="34" customFormat="1" x14ac:dyDescent="0.25">
      <c r="A238" s="91"/>
      <c r="B238" s="80"/>
      <c r="C238" s="80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</row>
    <row r="239" spans="1:16" s="34" customFormat="1" x14ac:dyDescent="0.25">
      <c r="A239" s="91"/>
      <c r="B239" s="80"/>
      <c r="C239" s="80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</row>
    <row r="240" spans="1:16" s="34" customFormat="1" x14ac:dyDescent="0.25">
      <c r="A240" s="91"/>
      <c r="B240" s="80"/>
      <c r="C240" s="80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</row>
    <row r="241" spans="1:16" s="34" customFormat="1" x14ac:dyDescent="0.25">
      <c r="A241" s="91"/>
      <c r="B241" s="80"/>
      <c r="C241" s="80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</row>
    <row r="242" spans="1:16" s="34" customFormat="1" x14ac:dyDescent="0.25">
      <c r="A242" s="91"/>
      <c r="B242" s="80"/>
      <c r="C242" s="80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</row>
    <row r="243" spans="1:16" s="34" customFormat="1" x14ac:dyDescent="0.25">
      <c r="A243" s="91"/>
      <c r="B243" s="80"/>
      <c r="C243" s="80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</row>
    <row r="244" spans="1:16" s="34" customFormat="1" x14ac:dyDescent="0.25">
      <c r="A244" s="91"/>
      <c r="B244" s="80"/>
      <c r="C244" s="80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</row>
    <row r="245" spans="1:16" s="34" customFormat="1" x14ac:dyDescent="0.25">
      <c r="A245" s="91"/>
      <c r="B245" s="80"/>
      <c r="C245" s="80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</row>
    <row r="246" spans="1:16" s="34" customFormat="1" x14ac:dyDescent="0.25">
      <c r="A246" s="91"/>
      <c r="B246" s="80"/>
      <c r="C246" s="80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</row>
    <row r="247" spans="1:16" s="34" customFormat="1" x14ac:dyDescent="0.25">
      <c r="A247" s="91"/>
      <c r="B247" s="80"/>
      <c r="C247" s="80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</row>
    <row r="248" spans="1:16" s="34" customFormat="1" x14ac:dyDescent="0.25">
      <c r="A248" s="91"/>
      <c r="B248" s="80"/>
      <c r="C248" s="80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</row>
    <row r="249" spans="1:16" s="34" customFormat="1" x14ac:dyDescent="0.25">
      <c r="A249" s="91"/>
      <c r="B249" s="80"/>
      <c r="C249" s="80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</row>
    <row r="250" spans="1:16" s="34" customFormat="1" x14ac:dyDescent="0.25">
      <c r="A250" s="91"/>
      <c r="B250" s="80"/>
      <c r="C250" s="80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</row>
    <row r="251" spans="1:16" s="34" customFormat="1" x14ac:dyDescent="0.25">
      <c r="A251" s="91"/>
      <c r="B251" s="80"/>
      <c r="C251" s="80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</row>
    <row r="252" spans="1:16" s="34" customFormat="1" x14ac:dyDescent="0.25">
      <c r="A252" s="91"/>
      <c r="B252" s="80"/>
      <c r="C252" s="80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</row>
    <row r="253" spans="1:16" s="34" customFormat="1" x14ac:dyDescent="0.25">
      <c r="A253" s="91"/>
      <c r="B253" s="80"/>
      <c r="C253" s="80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</row>
    <row r="254" spans="1:16" s="34" customFormat="1" x14ac:dyDescent="0.25">
      <c r="A254" s="91"/>
      <c r="B254" s="80"/>
      <c r="C254" s="80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</row>
    <row r="255" spans="1:16" s="34" customFormat="1" x14ac:dyDescent="0.25">
      <c r="A255" s="91"/>
      <c r="B255" s="80"/>
      <c r="C255" s="80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</row>
    <row r="256" spans="1:16" s="34" customFormat="1" x14ac:dyDescent="0.25">
      <c r="A256" s="91"/>
      <c r="B256" s="80"/>
      <c r="C256" s="80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</row>
    <row r="257" spans="1:16" s="34" customFormat="1" x14ac:dyDescent="0.25">
      <c r="A257" s="91"/>
      <c r="B257" s="80"/>
      <c r="C257" s="80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</row>
    <row r="258" spans="1:16" s="34" customFormat="1" x14ac:dyDescent="0.25">
      <c r="A258" s="91"/>
      <c r="B258" s="80"/>
      <c r="C258" s="80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</row>
    <row r="259" spans="1:16" s="34" customFormat="1" x14ac:dyDescent="0.25">
      <c r="A259" s="91"/>
      <c r="B259" s="80"/>
      <c r="C259" s="80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</row>
    <row r="260" spans="1:16" s="34" customFormat="1" x14ac:dyDescent="0.25">
      <c r="A260" s="91"/>
      <c r="B260" s="80"/>
      <c r="C260" s="80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</row>
    <row r="261" spans="1:16" s="34" customFormat="1" x14ac:dyDescent="0.25">
      <c r="A261" s="91"/>
      <c r="B261" s="80"/>
      <c r="C261" s="80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</row>
    <row r="262" spans="1:16" s="34" customFormat="1" x14ac:dyDescent="0.25">
      <c r="A262" s="91"/>
      <c r="B262" s="80"/>
      <c r="C262" s="80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</row>
    <row r="263" spans="1:16" s="34" customFormat="1" x14ac:dyDescent="0.25">
      <c r="A263" s="91"/>
      <c r="B263" s="80"/>
      <c r="C263" s="80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</row>
    <row r="264" spans="1:16" s="34" customFormat="1" x14ac:dyDescent="0.25">
      <c r="A264" s="91"/>
      <c r="B264" s="80"/>
      <c r="C264" s="80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</row>
    <row r="265" spans="1:16" s="34" customFormat="1" x14ac:dyDescent="0.25">
      <c r="A265" s="91"/>
      <c r="B265" s="80"/>
      <c r="C265" s="80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</row>
    <row r="266" spans="1:16" s="34" customFormat="1" x14ac:dyDescent="0.25">
      <c r="A266" s="91"/>
      <c r="B266" s="80"/>
      <c r="C266" s="80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</row>
    <row r="267" spans="1:16" s="34" customFormat="1" x14ac:dyDescent="0.25">
      <c r="A267" s="91"/>
      <c r="B267" s="80"/>
      <c r="C267" s="80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</row>
    <row r="268" spans="1:16" s="34" customFormat="1" x14ac:dyDescent="0.25">
      <c r="A268" s="91"/>
      <c r="B268" s="80"/>
      <c r="C268" s="80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</row>
    <row r="269" spans="1:16" s="34" customFormat="1" x14ac:dyDescent="0.25">
      <c r="A269" s="91"/>
      <c r="B269" s="80"/>
      <c r="C269" s="80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</row>
    <row r="270" spans="1:16" s="34" customFormat="1" x14ac:dyDescent="0.25">
      <c r="A270" s="91"/>
      <c r="B270" s="80"/>
      <c r="C270" s="80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</row>
    <row r="271" spans="1:16" s="34" customFormat="1" x14ac:dyDescent="0.25">
      <c r="A271" s="91"/>
      <c r="B271" s="80"/>
      <c r="C271" s="80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</row>
    <row r="272" spans="1:16" s="34" customFormat="1" x14ac:dyDescent="0.25">
      <c r="A272" s="91"/>
      <c r="B272" s="80"/>
      <c r="C272" s="80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</row>
    <row r="273" spans="1:16" s="34" customFormat="1" x14ac:dyDescent="0.25">
      <c r="A273" s="91"/>
      <c r="B273" s="80"/>
      <c r="C273" s="80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</row>
    <row r="274" spans="1:16" s="34" customFormat="1" x14ac:dyDescent="0.25">
      <c r="A274" s="91"/>
      <c r="B274" s="80"/>
      <c r="C274" s="80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</row>
    <row r="275" spans="1:16" s="34" customFormat="1" x14ac:dyDescent="0.25">
      <c r="A275" s="91"/>
      <c r="B275" s="80"/>
      <c r="C275" s="80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</row>
    <row r="276" spans="1:16" s="34" customFormat="1" x14ac:dyDescent="0.25">
      <c r="A276" s="91"/>
      <c r="B276" s="80"/>
      <c r="C276" s="80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</row>
    <row r="277" spans="1:16" s="34" customFormat="1" x14ac:dyDescent="0.25">
      <c r="A277" s="91"/>
      <c r="B277" s="80"/>
      <c r="C277" s="80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</row>
    <row r="278" spans="1:16" s="34" customFormat="1" x14ac:dyDescent="0.25">
      <c r="A278" s="91"/>
      <c r="B278" s="80"/>
      <c r="C278" s="80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</row>
    <row r="279" spans="1:16" s="34" customFormat="1" x14ac:dyDescent="0.25">
      <c r="A279" s="91"/>
      <c r="B279" s="80"/>
      <c r="C279" s="80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</row>
    <row r="280" spans="1:16" s="34" customFormat="1" x14ac:dyDescent="0.25">
      <c r="A280" s="91"/>
      <c r="B280" s="80"/>
      <c r="C280" s="80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</row>
    <row r="281" spans="1:16" s="34" customFormat="1" x14ac:dyDescent="0.25">
      <c r="A281" s="91"/>
      <c r="B281" s="80"/>
      <c r="C281" s="80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</row>
    <row r="282" spans="1:16" s="34" customFormat="1" x14ac:dyDescent="0.25">
      <c r="A282" s="91"/>
      <c r="B282" s="80"/>
      <c r="C282" s="80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</row>
    <row r="283" spans="1:16" s="34" customFormat="1" x14ac:dyDescent="0.25">
      <c r="A283" s="91"/>
      <c r="B283" s="80"/>
      <c r="C283" s="80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</row>
    <row r="284" spans="1:16" s="34" customFormat="1" x14ac:dyDescent="0.25">
      <c r="A284" s="91"/>
      <c r="B284" s="80"/>
      <c r="C284" s="80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</row>
    <row r="285" spans="1:16" s="34" customFormat="1" x14ac:dyDescent="0.25">
      <c r="A285" s="91"/>
      <c r="B285" s="80"/>
      <c r="C285" s="80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</row>
    <row r="286" spans="1:16" s="34" customFormat="1" x14ac:dyDescent="0.25">
      <c r="A286" s="91"/>
      <c r="B286" s="80"/>
      <c r="C286" s="80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</row>
    <row r="287" spans="1:16" s="34" customFormat="1" x14ac:dyDescent="0.25">
      <c r="A287" s="91"/>
      <c r="B287" s="80"/>
      <c r="C287" s="80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</row>
    <row r="288" spans="1:16" s="34" customFormat="1" x14ac:dyDescent="0.25">
      <c r="A288" s="91"/>
      <c r="B288" s="80"/>
      <c r="C288" s="80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</row>
    <row r="289" spans="1:16" s="34" customFormat="1" x14ac:dyDescent="0.25">
      <c r="A289" s="91"/>
      <c r="B289" s="80"/>
      <c r="C289" s="80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</row>
    <row r="290" spans="1:16" s="34" customFormat="1" x14ac:dyDescent="0.25">
      <c r="A290" s="91"/>
      <c r="B290" s="80"/>
      <c r="C290" s="80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</row>
    <row r="291" spans="1:16" s="34" customFormat="1" x14ac:dyDescent="0.25">
      <c r="A291" s="91"/>
      <c r="B291" s="80"/>
      <c r="C291" s="80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</row>
    <row r="292" spans="1:16" s="34" customFormat="1" x14ac:dyDescent="0.25">
      <c r="A292" s="91"/>
      <c r="B292" s="80"/>
      <c r="C292" s="80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</row>
    <row r="293" spans="1:16" s="34" customFormat="1" x14ac:dyDescent="0.25">
      <c r="A293" s="91"/>
      <c r="B293" s="80"/>
      <c r="C293" s="80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</row>
    <row r="294" spans="1:16" s="34" customFormat="1" x14ac:dyDescent="0.25">
      <c r="A294" s="91"/>
      <c r="B294" s="80"/>
      <c r="C294" s="80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</row>
    <row r="295" spans="1:16" s="34" customFormat="1" x14ac:dyDescent="0.25">
      <c r="A295" s="91"/>
      <c r="B295" s="80"/>
      <c r="C295" s="80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</row>
    <row r="296" spans="1:16" s="34" customFormat="1" x14ac:dyDescent="0.25">
      <c r="A296" s="91"/>
      <c r="B296" s="80"/>
      <c r="C296" s="80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</row>
    <row r="297" spans="1:16" s="34" customFormat="1" x14ac:dyDescent="0.25">
      <c r="A297" s="91"/>
      <c r="B297" s="80"/>
      <c r="C297" s="80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</row>
    <row r="298" spans="1:16" s="34" customFormat="1" x14ac:dyDescent="0.25">
      <c r="A298" s="91"/>
      <c r="B298" s="80"/>
      <c r="C298" s="80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</row>
    <row r="299" spans="1:16" s="34" customFormat="1" x14ac:dyDescent="0.25">
      <c r="A299" s="91"/>
      <c r="B299" s="80"/>
      <c r="C299" s="80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</row>
    <row r="300" spans="1:16" s="34" customFormat="1" x14ac:dyDescent="0.25">
      <c r="A300" s="91"/>
      <c r="B300" s="80"/>
      <c r="C300" s="80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</row>
    <row r="301" spans="1:16" s="34" customFormat="1" x14ac:dyDescent="0.25">
      <c r="A301" s="91"/>
      <c r="B301" s="80"/>
      <c r="C301" s="80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</row>
    <row r="302" spans="1:16" s="34" customFormat="1" x14ac:dyDescent="0.25">
      <c r="A302" s="91"/>
      <c r="B302" s="80"/>
      <c r="C302" s="80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</row>
    <row r="303" spans="1:16" s="34" customFormat="1" x14ac:dyDescent="0.25">
      <c r="A303" s="91"/>
      <c r="B303" s="80"/>
      <c r="C303" s="80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</row>
    <row r="304" spans="1:16" s="34" customFormat="1" x14ac:dyDescent="0.25">
      <c r="A304" s="91"/>
      <c r="B304" s="80"/>
      <c r="C304" s="80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</row>
    <row r="305" spans="1:16" s="34" customFormat="1" x14ac:dyDescent="0.25">
      <c r="A305" s="91"/>
      <c r="B305" s="80"/>
      <c r="C305" s="80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</row>
    <row r="306" spans="1:16" s="34" customFormat="1" x14ac:dyDescent="0.25">
      <c r="A306" s="91"/>
      <c r="B306" s="80"/>
      <c r="C306" s="80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</row>
    <row r="307" spans="1:16" s="34" customFormat="1" x14ac:dyDescent="0.25">
      <c r="A307" s="91"/>
      <c r="B307" s="80"/>
      <c r="C307" s="80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</row>
    <row r="308" spans="1:16" s="34" customFormat="1" x14ac:dyDescent="0.25">
      <c r="A308" s="91"/>
      <c r="B308" s="80"/>
      <c r="C308" s="80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</row>
    <row r="309" spans="1:16" s="34" customFormat="1" x14ac:dyDescent="0.25">
      <c r="A309" s="91"/>
      <c r="B309" s="80"/>
      <c r="C309" s="80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</row>
    <row r="310" spans="1:16" s="34" customFormat="1" x14ac:dyDescent="0.25">
      <c r="A310" s="91"/>
      <c r="B310" s="80"/>
      <c r="C310" s="80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</row>
    <row r="311" spans="1:16" s="34" customFormat="1" x14ac:dyDescent="0.25">
      <c r="A311" s="91"/>
      <c r="B311" s="80"/>
      <c r="C311" s="80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</row>
    <row r="312" spans="1:16" s="34" customFormat="1" x14ac:dyDescent="0.25">
      <c r="A312" s="91"/>
      <c r="B312" s="80"/>
      <c r="C312" s="80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</row>
    <row r="313" spans="1:16" s="34" customFormat="1" x14ac:dyDescent="0.25">
      <c r="A313" s="91"/>
      <c r="B313" s="80"/>
      <c r="C313" s="80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</row>
    <row r="314" spans="1:16" s="34" customFormat="1" x14ac:dyDescent="0.25">
      <c r="A314" s="91"/>
      <c r="B314" s="80"/>
      <c r="C314" s="80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</row>
    <row r="315" spans="1:16" s="34" customFormat="1" x14ac:dyDescent="0.25">
      <c r="A315" s="91"/>
      <c r="B315" s="80"/>
      <c r="C315" s="80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</row>
    <row r="316" spans="1:16" s="34" customFormat="1" x14ac:dyDescent="0.25">
      <c r="A316" s="91"/>
      <c r="B316" s="80"/>
      <c r="C316" s="80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</row>
    <row r="317" spans="1:16" s="34" customFormat="1" x14ac:dyDescent="0.25">
      <c r="A317" s="91"/>
      <c r="B317" s="80"/>
      <c r="C317" s="80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</row>
    <row r="318" spans="1:16" s="34" customFormat="1" x14ac:dyDescent="0.25">
      <c r="A318" s="91"/>
      <c r="B318" s="80"/>
      <c r="C318" s="80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</row>
    <row r="319" spans="1:16" s="34" customFormat="1" x14ac:dyDescent="0.25">
      <c r="A319" s="91"/>
      <c r="B319" s="80"/>
      <c r="C319" s="80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</row>
    <row r="320" spans="1:16" s="34" customFormat="1" x14ac:dyDescent="0.25">
      <c r="A320" s="91"/>
      <c r="B320" s="80"/>
      <c r="C320" s="80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</row>
    <row r="321" spans="1:16" s="34" customFormat="1" x14ac:dyDescent="0.25">
      <c r="A321" s="91"/>
      <c r="B321" s="80"/>
      <c r="C321" s="80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</row>
    <row r="322" spans="1:16" s="34" customFormat="1" x14ac:dyDescent="0.25">
      <c r="A322" s="91"/>
      <c r="B322" s="80"/>
      <c r="C322" s="80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</row>
    <row r="323" spans="1:16" s="34" customFormat="1" x14ac:dyDescent="0.25">
      <c r="A323" s="91"/>
      <c r="B323" s="80"/>
      <c r="C323" s="80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</row>
    <row r="324" spans="1:16" s="34" customFormat="1" x14ac:dyDescent="0.25">
      <c r="A324" s="91"/>
      <c r="B324" s="80"/>
      <c r="C324" s="80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</row>
    <row r="325" spans="1:16" s="34" customFormat="1" x14ac:dyDescent="0.25">
      <c r="A325" s="91"/>
      <c r="B325" s="80"/>
      <c r="C325" s="80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</row>
    <row r="326" spans="1:16" s="34" customFormat="1" x14ac:dyDescent="0.25">
      <c r="A326" s="91"/>
      <c r="B326" s="80"/>
      <c r="C326" s="80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</row>
    <row r="327" spans="1:16" s="34" customFormat="1" x14ac:dyDescent="0.25">
      <c r="A327" s="91"/>
      <c r="B327" s="80"/>
      <c r="C327" s="80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</row>
    <row r="328" spans="1:16" s="34" customFormat="1" x14ac:dyDescent="0.25">
      <c r="A328" s="91"/>
      <c r="B328" s="80"/>
      <c r="C328" s="80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</row>
    <row r="329" spans="1:16" s="34" customFormat="1" x14ac:dyDescent="0.25">
      <c r="A329" s="91"/>
      <c r="B329" s="80"/>
      <c r="C329" s="80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</row>
    <row r="330" spans="1:16" s="34" customFormat="1" x14ac:dyDescent="0.25">
      <c r="A330" s="91"/>
      <c r="B330" s="80"/>
      <c r="C330" s="80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</row>
    <row r="331" spans="1:16" s="34" customFormat="1" x14ac:dyDescent="0.25">
      <c r="A331" s="91"/>
      <c r="B331" s="80"/>
      <c r="C331" s="80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</row>
    <row r="332" spans="1:16" s="34" customFormat="1" x14ac:dyDescent="0.25">
      <c r="A332" s="91"/>
      <c r="B332" s="80"/>
      <c r="C332" s="80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</row>
    <row r="333" spans="1:16" s="34" customFormat="1" x14ac:dyDescent="0.25">
      <c r="A333" s="91"/>
      <c r="B333" s="80"/>
      <c r="C333" s="80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</row>
    <row r="334" spans="1:16" s="34" customFormat="1" x14ac:dyDescent="0.25">
      <c r="A334" s="91"/>
      <c r="B334" s="80"/>
      <c r="C334" s="80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</row>
    <row r="335" spans="1:16" s="34" customFormat="1" x14ac:dyDescent="0.25">
      <c r="A335" s="91"/>
      <c r="B335" s="80"/>
      <c r="C335" s="80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</row>
    <row r="336" spans="1:16" s="34" customFormat="1" x14ac:dyDescent="0.25">
      <c r="A336" s="91"/>
      <c r="B336" s="80"/>
      <c r="C336" s="80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</row>
    <row r="337" spans="1:16" s="34" customFormat="1" x14ac:dyDescent="0.25">
      <c r="A337" s="91"/>
      <c r="B337" s="80"/>
      <c r="C337" s="80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</row>
    <row r="338" spans="1:16" s="34" customFormat="1" x14ac:dyDescent="0.25">
      <c r="A338" s="91"/>
      <c r="B338" s="80"/>
      <c r="C338" s="80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</row>
    <row r="339" spans="1:16" s="34" customFormat="1" x14ac:dyDescent="0.25">
      <c r="A339" s="91"/>
      <c r="B339" s="80"/>
      <c r="C339" s="80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</row>
    <row r="340" spans="1:16" s="34" customFormat="1" x14ac:dyDescent="0.25">
      <c r="A340" s="91"/>
      <c r="B340" s="80"/>
      <c r="C340" s="80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</row>
    <row r="341" spans="1:16" s="34" customFormat="1" x14ac:dyDescent="0.25">
      <c r="A341" s="91"/>
      <c r="B341" s="80"/>
      <c r="C341" s="80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</row>
    <row r="342" spans="1:16" s="34" customFormat="1" x14ac:dyDescent="0.25">
      <c r="A342" s="91"/>
      <c r="B342" s="80"/>
      <c r="C342" s="80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</row>
    <row r="343" spans="1:16" s="34" customFormat="1" x14ac:dyDescent="0.25">
      <c r="A343" s="91"/>
      <c r="B343" s="80"/>
      <c r="C343" s="80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</row>
    <row r="344" spans="1:16" s="34" customFormat="1" x14ac:dyDescent="0.25">
      <c r="A344" s="91"/>
      <c r="B344" s="80"/>
      <c r="C344" s="80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</row>
    <row r="345" spans="1:16" s="34" customFormat="1" x14ac:dyDescent="0.25">
      <c r="A345" s="91"/>
      <c r="B345" s="80"/>
      <c r="C345" s="80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</row>
    <row r="346" spans="1:16" s="34" customFormat="1" x14ac:dyDescent="0.25">
      <c r="A346" s="91"/>
      <c r="B346" s="80"/>
      <c r="C346" s="80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</row>
    <row r="347" spans="1:16" s="34" customFormat="1" x14ac:dyDescent="0.25">
      <c r="A347" s="91"/>
      <c r="B347" s="80"/>
      <c r="C347" s="80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</row>
    <row r="348" spans="1:16" s="34" customFormat="1" x14ac:dyDescent="0.25">
      <c r="A348" s="91"/>
      <c r="B348" s="80"/>
      <c r="C348" s="80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</row>
    <row r="349" spans="1:16" s="34" customFormat="1" x14ac:dyDescent="0.25">
      <c r="A349" s="91"/>
      <c r="B349" s="80"/>
      <c r="C349" s="80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</row>
    <row r="350" spans="1:16" s="34" customFormat="1" x14ac:dyDescent="0.25">
      <c r="A350" s="91"/>
      <c r="B350" s="80"/>
      <c r="C350" s="80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</row>
    <row r="351" spans="1:16" s="34" customFormat="1" x14ac:dyDescent="0.25">
      <c r="A351" s="91"/>
      <c r="B351" s="80"/>
      <c r="C351" s="80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</row>
    <row r="352" spans="1:16" s="34" customFormat="1" x14ac:dyDescent="0.25">
      <c r="A352" s="91"/>
      <c r="B352" s="80"/>
      <c r="C352" s="80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</row>
    <row r="353" spans="1:16" s="34" customFormat="1" x14ac:dyDescent="0.25">
      <c r="A353" s="91"/>
      <c r="B353" s="80"/>
      <c r="C353" s="80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</row>
    <row r="354" spans="1:16" s="34" customFormat="1" x14ac:dyDescent="0.25">
      <c r="A354" s="91"/>
      <c r="B354" s="80"/>
      <c r="C354" s="80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</row>
    <row r="355" spans="1:16" s="34" customFormat="1" x14ac:dyDescent="0.25">
      <c r="A355" s="91"/>
      <c r="B355" s="80"/>
      <c r="C355" s="80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</row>
    <row r="356" spans="1:16" s="34" customFormat="1" x14ac:dyDescent="0.25">
      <c r="A356" s="91"/>
      <c r="B356" s="80"/>
      <c r="C356" s="80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</row>
    <row r="357" spans="1:16" s="34" customFormat="1" x14ac:dyDescent="0.25">
      <c r="A357" s="91"/>
      <c r="B357" s="80"/>
      <c r="C357" s="80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</row>
    <row r="358" spans="1:16" s="34" customFormat="1" x14ac:dyDescent="0.25">
      <c r="A358" s="91"/>
      <c r="B358" s="80"/>
      <c r="C358" s="80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</row>
    <row r="359" spans="1:16" s="34" customFormat="1" x14ac:dyDescent="0.25">
      <c r="A359" s="91"/>
      <c r="B359" s="80"/>
      <c r="C359" s="80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</row>
    <row r="360" spans="1:16" s="34" customFormat="1" x14ac:dyDescent="0.25">
      <c r="A360" s="91"/>
      <c r="B360" s="80"/>
      <c r="C360" s="80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</row>
    <row r="361" spans="1:16" s="34" customFormat="1" x14ac:dyDescent="0.25">
      <c r="A361" s="91"/>
      <c r="B361" s="80"/>
      <c r="C361" s="80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</row>
    <row r="362" spans="1:16" s="34" customFormat="1" x14ac:dyDescent="0.25">
      <c r="A362" s="91"/>
      <c r="B362" s="80"/>
      <c r="C362" s="80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</row>
    <row r="363" spans="1:16" s="34" customFormat="1" x14ac:dyDescent="0.25">
      <c r="A363" s="91"/>
      <c r="B363" s="80"/>
      <c r="C363" s="80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</row>
    <row r="364" spans="1:16" s="34" customFormat="1" x14ac:dyDescent="0.25">
      <c r="A364" s="91"/>
      <c r="B364" s="80"/>
      <c r="C364" s="80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</row>
    <row r="365" spans="1:16" s="34" customFormat="1" x14ac:dyDescent="0.25">
      <c r="A365" s="91"/>
      <c r="B365" s="80"/>
      <c r="C365" s="80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</row>
    <row r="366" spans="1:16" s="34" customFormat="1" x14ac:dyDescent="0.25">
      <c r="A366" s="91"/>
      <c r="B366" s="80"/>
      <c r="C366" s="80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</row>
    <row r="367" spans="1:16" s="34" customFormat="1" x14ac:dyDescent="0.25">
      <c r="A367" s="91"/>
      <c r="B367" s="80"/>
      <c r="C367" s="80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</row>
    <row r="368" spans="1:16" s="34" customFormat="1" x14ac:dyDescent="0.25">
      <c r="A368" s="91"/>
      <c r="B368" s="80"/>
      <c r="C368" s="80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</row>
    <row r="369" spans="1:16" s="34" customFormat="1" x14ac:dyDescent="0.25">
      <c r="A369" s="91"/>
      <c r="B369" s="80"/>
      <c r="C369" s="80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</row>
    <row r="370" spans="1:16" s="34" customFormat="1" x14ac:dyDescent="0.25">
      <c r="A370" s="91"/>
      <c r="B370" s="80"/>
      <c r="C370" s="80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</row>
    <row r="371" spans="1:16" s="34" customFormat="1" x14ac:dyDescent="0.25">
      <c r="A371" s="91"/>
      <c r="B371" s="80"/>
      <c r="C371" s="80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</row>
    <row r="372" spans="1:16" s="34" customFormat="1" x14ac:dyDescent="0.25">
      <c r="A372" s="91"/>
      <c r="B372" s="80"/>
      <c r="C372" s="80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</row>
    <row r="373" spans="1:16" s="34" customFormat="1" x14ac:dyDescent="0.25">
      <c r="A373" s="91"/>
      <c r="B373" s="80"/>
      <c r="C373" s="80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</row>
    <row r="374" spans="1:16" s="34" customFormat="1" x14ac:dyDescent="0.25">
      <c r="A374" s="91"/>
      <c r="B374" s="80"/>
      <c r="C374" s="80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</row>
    <row r="375" spans="1:16" s="34" customFormat="1" x14ac:dyDescent="0.25">
      <c r="A375" s="91"/>
      <c r="B375" s="80"/>
      <c r="C375" s="80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</row>
    <row r="376" spans="1:16" s="34" customFormat="1" x14ac:dyDescent="0.25">
      <c r="A376" s="91"/>
      <c r="B376" s="80"/>
      <c r="C376" s="80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</row>
    <row r="377" spans="1:16" s="34" customFormat="1" x14ac:dyDescent="0.25">
      <c r="A377" s="91"/>
      <c r="B377" s="80"/>
      <c r="C377" s="80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</row>
    <row r="378" spans="1:16" s="34" customFormat="1" x14ac:dyDescent="0.25">
      <c r="A378" s="91"/>
      <c r="B378" s="80"/>
      <c r="C378" s="80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</row>
    <row r="379" spans="1:16" s="34" customFormat="1" x14ac:dyDescent="0.25">
      <c r="A379" s="91"/>
      <c r="B379" s="80"/>
      <c r="C379" s="80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</row>
    <row r="380" spans="1:16" s="34" customFormat="1" x14ac:dyDescent="0.25">
      <c r="A380" s="91"/>
      <c r="B380" s="80"/>
      <c r="C380" s="80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</row>
    <row r="381" spans="1:16" s="34" customFormat="1" x14ac:dyDescent="0.25">
      <c r="A381" s="91"/>
      <c r="B381" s="80"/>
      <c r="C381" s="80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</row>
    <row r="382" spans="1:16" s="34" customFormat="1" x14ac:dyDescent="0.25">
      <c r="A382" s="91"/>
      <c r="B382" s="80"/>
      <c r="C382" s="80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</row>
    <row r="383" spans="1:16" s="34" customFormat="1" x14ac:dyDescent="0.25">
      <c r="A383" s="91"/>
      <c r="B383" s="80"/>
      <c r="C383" s="80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</row>
    <row r="384" spans="1:16" s="34" customFormat="1" x14ac:dyDescent="0.25">
      <c r="A384" s="91"/>
      <c r="B384" s="80"/>
      <c r="C384" s="80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</row>
    <row r="385" spans="1:16" s="34" customFormat="1" x14ac:dyDescent="0.25">
      <c r="A385" s="91"/>
      <c r="B385" s="80"/>
      <c r="C385" s="80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</row>
    <row r="386" spans="1:16" s="34" customFormat="1" x14ac:dyDescent="0.25">
      <c r="A386" s="91"/>
      <c r="B386" s="80"/>
      <c r="C386" s="80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</row>
    <row r="387" spans="1:16" s="34" customFormat="1" x14ac:dyDescent="0.25">
      <c r="A387" s="91"/>
      <c r="B387" s="80"/>
      <c r="C387" s="80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</row>
    <row r="388" spans="1:16" s="34" customFormat="1" x14ac:dyDescent="0.25">
      <c r="A388" s="91"/>
      <c r="B388" s="80"/>
      <c r="C388" s="80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</row>
    <row r="389" spans="1:16" s="34" customFormat="1" x14ac:dyDescent="0.25">
      <c r="A389" s="91"/>
      <c r="B389" s="80"/>
      <c r="C389" s="80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</row>
    <row r="390" spans="1:16" s="34" customFormat="1" x14ac:dyDescent="0.25">
      <c r="A390" s="91"/>
      <c r="B390" s="80"/>
      <c r="C390" s="80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</row>
    <row r="391" spans="1:16" s="34" customFormat="1" x14ac:dyDescent="0.25">
      <c r="A391" s="91"/>
      <c r="B391" s="80"/>
      <c r="C391" s="80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</row>
    <row r="392" spans="1:16" s="34" customFormat="1" x14ac:dyDescent="0.25">
      <c r="A392" s="91"/>
      <c r="B392" s="80"/>
      <c r="C392" s="80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</row>
    <row r="393" spans="1:16" s="34" customFormat="1" x14ac:dyDescent="0.25">
      <c r="A393" s="91"/>
      <c r="B393" s="80"/>
      <c r="C393" s="80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</row>
    <row r="394" spans="1:16" s="34" customFormat="1" x14ac:dyDescent="0.25">
      <c r="A394" s="91"/>
      <c r="B394" s="80"/>
      <c r="C394" s="80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</row>
    <row r="395" spans="1:16" s="34" customFormat="1" x14ac:dyDescent="0.25">
      <c r="A395" s="91"/>
      <c r="B395" s="80"/>
      <c r="C395" s="80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</row>
    <row r="396" spans="1:16" s="34" customFormat="1" x14ac:dyDescent="0.25">
      <c r="A396" s="91"/>
      <c r="B396" s="80"/>
      <c r="C396" s="80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</row>
    <row r="397" spans="1:16" s="34" customFormat="1" x14ac:dyDescent="0.25">
      <c r="A397" s="91"/>
      <c r="B397" s="80"/>
      <c r="C397" s="80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</row>
    <row r="398" spans="1:16" s="34" customFormat="1" x14ac:dyDescent="0.25">
      <c r="A398" s="91"/>
      <c r="B398" s="80"/>
      <c r="C398" s="80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</row>
    <row r="399" spans="1:16" s="34" customFormat="1" x14ac:dyDescent="0.25">
      <c r="A399" s="91"/>
      <c r="B399" s="80"/>
      <c r="C399" s="80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</row>
    <row r="400" spans="1:16" s="34" customFormat="1" x14ac:dyDescent="0.25">
      <c r="A400" s="91"/>
      <c r="B400" s="80"/>
      <c r="C400" s="80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</row>
    <row r="401" spans="1:16" s="34" customFormat="1" x14ac:dyDescent="0.25">
      <c r="A401" s="91"/>
      <c r="B401" s="80"/>
      <c r="C401" s="80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</row>
    <row r="402" spans="1:16" s="34" customFormat="1" x14ac:dyDescent="0.25">
      <c r="A402" s="91"/>
      <c r="B402" s="80"/>
      <c r="C402" s="80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</row>
    <row r="403" spans="1:16" s="34" customFormat="1" x14ac:dyDescent="0.25">
      <c r="A403" s="91"/>
      <c r="B403" s="80"/>
      <c r="C403" s="80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</row>
    <row r="404" spans="1:16" s="34" customFormat="1" x14ac:dyDescent="0.25">
      <c r="A404" s="91"/>
      <c r="B404" s="80"/>
      <c r="C404" s="80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</row>
    <row r="405" spans="1:16" s="34" customFormat="1" x14ac:dyDescent="0.25">
      <c r="A405" s="91"/>
      <c r="B405" s="80"/>
      <c r="C405" s="80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</row>
    <row r="406" spans="1:16" s="34" customFormat="1" x14ac:dyDescent="0.25">
      <c r="A406" s="91"/>
      <c r="B406" s="80"/>
      <c r="C406" s="80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</row>
    <row r="407" spans="1:16" s="34" customFormat="1" x14ac:dyDescent="0.25">
      <c r="A407" s="91"/>
      <c r="B407" s="80"/>
      <c r="C407" s="80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</row>
    <row r="408" spans="1:16" s="34" customFormat="1" x14ac:dyDescent="0.25">
      <c r="A408" s="91"/>
      <c r="B408" s="80"/>
      <c r="C408" s="80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</row>
    <row r="409" spans="1:16" s="34" customFormat="1" x14ac:dyDescent="0.25">
      <c r="A409" s="91"/>
      <c r="B409" s="80"/>
      <c r="C409" s="80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</row>
    <row r="410" spans="1:16" s="34" customFormat="1" x14ac:dyDescent="0.25">
      <c r="A410" s="91"/>
      <c r="B410" s="80"/>
      <c r="C410" s="80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</row>
    <row r="411" spans="1:16" s="34" customFormat="1" x14ac:dyDescent="0.25">
      <c r="A411" s="91"/>
      <c r="B411" s="80"/>
      <c r="C411" s="80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</row>
    <row r="412" spans="1:16" s="34" customFormat="1" x14ac:dyDescent="0.25">
      <c r="A412" s="91"/>
      <c r="B412" s="80"/>
      <c r="C412" s="80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</row>
    <row r="413" spans="1:16" s="34" customFormat="1" x14ac:dyDescent="0.25">
      <c r="A413" s="91"/>
      <c r="B413" s="80"/>
      <c r="C413" s="80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</row>
    <row r="414" spans="1:16" s="34" customFormat="1" x14ac:dyDescent="0.25">
      <c r="A414" s="91"/>
      <c r="B414" s="80"/>
      <c r="C414" s="80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</row>
    <row r="415" spans="1:16" s="34" customFormat="1" x14ac:dyDescent="0.25">
      <c r="A415" s="91"/>
      <c r="B415" s="80"/>
      <c r="C415" s="80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</row>
    <row r="416" spans="1:16" s="34" customFormat="1" x14ac:dyDescent="0.25">
      <c r="A416" s="91"/>
      <c r="B416" s="80"/>
      <c r="C416" s="80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</row>
    <row r="417" spans="1:16" s="34" customFormat="1" x14ac:dyDescent="0.25">
      <c r="A417" s="91"/>
      <c r="B417" s="80"/>
      <c r="C417" s="80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</row>
    <row r="418" spans="1:16" s="34" customFormat="1" x14ac:dyDescent="0.25">
      <c r="A418" s="91"/>
      <c r="B418" s="80"/>
      <c r="C418" s="80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</row>
    <row r="419" spans="1:16" s="34" customFormat="1" x14ac:dyDescent="0.25">
      <c r="A419" s="91"/>
      <c r="B419" s="80"/>
      <c r="C419" s="80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</row>
    <row r="420" spans="1:16" s="34" customFormat="1" x14ac:dyDescent="0.25">
      <c r="A420" s="91"/>
      <c r="B420" s="80"/>
      <c r="C420" s="80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</row>
    <row r="421" spans="1:16" s="34" customFormat="1" x14ac:dyDescent="0.25">
      <c r="A421" s="91"/>
      <c r="B421" s="80"/>
      <c r="C421" s="80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</row>
    <row r="422" spans="1:16" s="34" customFormat="1" x14ac:dyDescent="0.25">
      <c r="A422" s="91"/>
      <c r="B422" s="80"/>
      <c r="C422" s="80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</row>
    <row r="423" spans="1:16" s="34" customFormat="1" x14ac:dyDescent="0.25">
      <c r="A423" s="91"/>
      <c r="B423" s="80"/>
      <c r="C423" s="80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</row>
    <row r="424" spans="1:16" s="34" customFormat="1" x14ac:dyDescent="0.25">
      <c r="A424" s="91"/>
      <c r="B424" s="80"/>
      <c r="C424" s="80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</row>
    <row r="425" spans="1:16" s="34" customFormat="1" x14ac:dyDescent="0.25">
      <c r="A425" s="91"/>
      <c r="B425" s="80"/>
      <c r="C425" s="80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</row>
    <row r="426" spans="1:16" s="34" customFormat="1" x14ac:dyDescent="0.25">
      <c r="A426" s="91"/>
      <c r="B426" s="80"/>
      <c r="C426" s="80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</row>
    <row r="427" spans="1:16" s="34" customFormat="1" x14ac:dyDescent="0.25">
      <c r="A427" s="91"/>
      <c r="B427" s="80"/>
      <c r="C427" s="80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</row>
    <row r="428" spans="1:16" s="34" customFormat="1" x14ac:dyDescent="0.25">
      <c r="A428" s="91"/>
      <c r="B428" s="80"/>
      <c r="C428" s="80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</row>
    <row r="429" spans="1:16" s="34" customFormat="1" x14ac:dyDescent="0.25">
      <c r="A429" s="91"/>
      <c r="B429" s="80"/>
      <c r="C429" s="80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</row>
    <row r="430" spans="1:16" s="34" customFormat="1" x14ac:dyDescent="0.25">
      <c r="A430" s="91"/>
      <c r="B430" s="80"/>
      <c r="C430" s="80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</row>
    <row r="431" spans="1:16" s="34" customFormat="1" x14ac:dyDescent="0.25">
      <c r="A431" s="91"/>
      <c r="B431" s="80"/>
      <c r="C431" s="80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</row>
    <row r="432" spans="1:16" s="34" customFormat="1" x14ac:dyDescent="0.25">
      <c r="A432" s="91"/>
      <c r="B432" s="80"/>
      <c r="C432" s="80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</row>
    <row r="433" spans="1:16" s="34" customFormat="1" x14ac:dyDescent="0.25">
      <c r="A433" s="91"/>
      <c r="B433" s="80"/>
      <c r="C433" s="80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</row>
    <row r="434" spans="1:16" s="34" customFormat="1" x14ac:dyDescent="0.25">
      <c r="A434" s="91"/>
      <c r="B434" s="80"/>
      <c r="C434" s="80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</row>
    <row r="435" spans="1:16" s="34" customFormat="1" x14ac:dyDescent="0.25">
      <c r="A435" s="91"/>
      <c r="B435" s="80"/>
      <c r="C435" s="80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</row>
    <row r="436" spans="1:16" s="34" customFormat="1" x14ac:dyDescent="0.25">
      <c r="A436" s="91"/>
      <c r="B436" s="80"/>
      <c r="C436" s="80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</row>
    <row r="437" spans="1:16" s="34" customFormat="1" x14ac:dyDescent="0.25">
      <c r="A437" s="91"/>
      <c r="B437" s="80"/>
      <c r="C437" s="80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</row>
    <row r="438" spans="1:16" s="34" customFormat="1" x14ac:dyDescent="0.25">
      <c r="A438" s="91"/>
      <c r="B438" s="80"/>
      <c r="C438" s="80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</row>
    <row r="439" spans="1:16" s="34" customFormat="1" x14ac:dyDescent="0.25">
      <c r="A439" s="91"/>
      <c r="B439" s="80"/>
      <c r="C439" s="80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</row>
    <row r="440" spans="1:16" s="34" customFormat="1" x14ac:dyDescent="0.25">
      <c r="A440" s="91"/>
      <c r="B440" s="80"/>
      <c r="C440" s="80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</row>
    <row r="441" spans="1:16" s="34" customFormat="1" x14ac:dyDescent="0.25">
      <c r="A441" s="91"/>
      <c r="B441" s="80"/>
      <c r="C441" s="80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</row>
    <row r="442" spans="1:16" s="34" customFormat="1" x14ac:dyDescent="0.25">
      <c r="A442" s="91"/>
      <c r="B442" s="80"/>
      <c r="C442" s="80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</row>
    <row r="443" spans="1:16" s="34" customFormat="1" x14ac:dyDescent="0.25">
      <c r="A443" s="91"/>
      <c r="B443" s="80"/>
      <c r="C443" s="80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</row>
    <row r="444" spans="1:16" s="34" customFormat="1" x14ac:dyDescent="0.25">
      <c r="A444" s="91"/>
      <c r="B444" s="80"/>
      <c r="C444" s="80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</row>
    <row r="445" spans="1:16" s="34" customFormat="1" x14ac:dyDescent="0.25">
      <c r="A445" s="91"/>
      <c r="B445" s="80"/>
      <c r="C445" s="80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</row>
    <row r="446" spans="1:16" s="34" customFormat="1" x14ac:dyDescent="0.25">
      <c r="A446" s="91"/>
      <c r="B446" s="80"/>
      <c r="C446" s="80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</row>
    <row r="447" spans="1:16" s="34" customFormat="1" x14ac:dyDescent="0.25">
      <c r="A447" s="91"/>
      <c r="B447" s="80"/>
      <c r="C447" s="80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</row>
    <row r="448" spans="1:16" s="34" customFormat="1" x14ac:dyDescent="0.25">
      <c r="A448" s="91"/>
      <c r="B448" s="80"/>
      <c r="C448" s="80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</row>
    <row r="449" spans="1:16" s="34" customFormat="1" x14ac:dyDescent="0.25">
      <c r="A449" s="91"/>
      <c r="B449" s="80"/>
      <c r="C449" s="80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</row>
    <row r="450" spans="1:16" s="34" customFormat="1" x14ac:dyDescent="0.25">
      <c r="A450" s="91"/>
      <c r="B450" s="80"/>
      <c r="C450" s="80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</row>
    <row r="451" spans="1:16" s="34" customFormat="1" x14ac:dyDescent="0.25">
      <c r="A451" s="91"/>
      <c r="B451" s="80"/>
      <c r="C451" s="80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</row>
    <row r="452" spans="1:16" s="34" customFormat="1" x14ac:dyDescent="0.25">
      <c r="A452" s="91"/>
      <c r="B452" s="80"/>
      <c r="C452" s="80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</row>
    <row r="453" spans="1:16" s="34" customFormat="1" x14ac:dyDescent="0.25">
      <c r="A453" s="91"/>
      <c r="B453" s="80"/>
      <c r="C453" s="80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</row>
    <row r="454" spans="1:16" s="34" customFormat="1" x14ac:dyDescent="0.25">
      <c r="A454" s="91"/>
      <c r="B454" s="80"/>
      <c r="C454" s="80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</row>
    <row r="455" spans="1:16" s="34" customFormat="1" x14ac:dyDescent="0.25">
      <c r="A455" s="91"/>
      <c r="B455" s="80"/>
      <c r="C455" s="80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</row>
    <row r="456" spans="1:16" s="34" customFormat="1" x14ac:dyDescent="0.25">
      <c r="A456" s="91"/>
      <c r="B456" s="80"/>
      <c r="C456" s="80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</row>
    <row r="457" spans="1:16" s="34" customFormat="1" x14ac:dyDescent="0.25">
      <c r="A457" s="91"/>
      <c r="B457" s="80"/>
      <c r="C457" s="80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</row>
    <row r="458" spans="1:16" s="34" customFormat="1" x14ac:dyDescent="0.25">
      <c r="A458" s="91"/>
      <c r="B458" s="80"/>
      <c r="C458" s="80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</row>
    <row r="459" spans="1:16" s="34" customFormat="1" x14ac:dyDescent="0.25">
      <c r="A459" s="91"/>
      <c r="B459" s="80"/>
      <c r="C459" s="80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</row>
    <row r="460" spans="1:16" s="34" customFormat="1" x14ac:dyDescent="0.25">
      <c r="A460" s="91"/>
      <c r="B460" s="80"/>
      <c r="C460" s="80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</row>
    <row r="461" spans="1:16" s="34" customFormat="1" x14ac:dyDescent="0.25">
      <c r="A461" s="91"/>
      <c r="B461" s="80"/>
      <c r="C461" s="80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</row>
    <row r="462" spans="1:16" s="34" customFormat="1" x14ac:dyDescent="0.25">
      <c r="A462" s="91"/>
      <c r="B462" s="80"/>
      <c r="C462" s="80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</row>
    <row r="463" spans="1:16" s="34" customFormat="1" x14ac:dyDescent="0.25">
      <c r="A463" s="91"/>
      <c r="B463" s="80"/>
      <c r="C463" s="80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</row>
    <row r="464" spans="1:16" s="34" customFormat="1" x14ac:dyDescent="0.25">
      <c r="A464" s="91"/>
      <c r="B464" s="80"/>
      <c r="C464" s="80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</row>
    <row r="465" spans="1:16" s="34" customFormat="1" x14ac:dyDescent="0.25">
      <c r="A465" s="91"/>
      <c r="B465" s="80"/>
      <c r="C465" s="80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</row>
    <row r="466" spans="1:16" s="34" customFormat="1" x14ac:dyDescent="0.25">
      <c r="A466" s="91"/>
      <c r="B466" s="80"/>
      <c r="C466" s="80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</row>
    <row r="467" spans="1:16" s="34" customFormat="1" x14ac:dyDescent="0.25">
      <c r="A467" s="91"/>
      <c r="B467" s="80"/>
      <c r="C467" s="80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</row>
    <row r="468" spans="1:16" s="34" customFormat="1" x14ac:dyDescent="0.25">
      <c r="A468" s="91"/>
      <c r="B468" s="80"/>
      <c r="C468" s="80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</row>
    <row r="469" spans="1:16" s="34" customFormat="1" x14ac:dyDescent="0.25">
      <c r="A469" s="91"/>
      <c r="B469" s="80"/>
      <c r="C469" s="80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</row>
    <row r="470" spans="1:16" s="34" customFormat="1" x14ac:dyDescent="0.25">
      <c r="A470" s="91"/>
      <c r="B470" s="80"/>
      <c r="C470" s="80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</row>
    <row r="471" spans="1:16" s="34" customFormat="1" x14ac:dyDescent="0.25">
      <c r="A471" s="91"/>
      <c r="B471" s="80"/>
      <c r="C471" s="80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</row>
    <row r="472" spans="1:16" s="34" customFormat="1" x14ac:dyDescent="0.25">
      <c r="A472" s="91"/>
      <c r="B472" s="80"/>
      <c r="C472" s="80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</row>
    <row r="473" spans="1:16" s="34" customFormat="1" x14ac:dyDescent="0.25">
      <c r="A473" s="91"/>
      <c r="B473" s="80"/>
      <c r="C473" s="80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</row>
    <row r="474" spans="1:16" s="34" customFormat="1" x14ac:dyDescent="0.25">
      <c r="A474" s="91"/>
      <c r="B474" s="80"/>
      <c r="C474" s="80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</row>
    <row r="475" spans="1:16" s="34" customFormat="1" x14ac:dyDescent="0.25">
      <c r="A475" s="91"/>
      <c r="B475" s="80"/>
      <c r="C475" s="80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</row>
    <row r="476" spans="1:16" s="34" customFormat="1" x14ac:dyDescent="0.25">
      <c r="A476" s="91"/>
      <c r="B476" s="80"/>
      <c r="C476" s="80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</row>
    <row r="477" spans="1:16" s="34" customFormat="1" x14ac:dyDescent="0.25">
      <c r="A477" s="91"/>
      <c r="B477" s="80"/>
      <c r="C477" s="80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</row>
    <row r="478" spans="1:16" s="34" customFormat="1" x14ac:dyDescent="0.25">
      <c r="A478" s="91"/>
      <c r="B478" s="80"/>
      <c r="C478" s="80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</row>
    <row r="479" spans="1:16" s="34" customFormat="1" x14ac:dyDescent="0.25">
      <c r="A479" s="91"/>
      <c r="B479" s="80"/>
      <c r="C479" s="80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</row>
    <row r="480" spans="1:16" s="34" customFormat="1" x14ac:dyDescent="0.25">
      <c r="A480" s="91"/>
      <c r="B480" s="80"/>
      <c r="C480" s="80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</row>
    <row r="481" spans="1:16" s="34" customFormat="1" x14ac:dyDescent="0.25">
      <c r="A481" s="91"/>
      <c r="B481" s="80"/>
      <c r="C481" s="80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</row>
    <row r="482" spans="1:16" s="34" customFormat="1" x14ac:dyDescent="0.25">
      <c r="A482" s="91"/>
      <c r="B482" s="80"/>
      <c r="C482" s="80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</row>
    <row r="483" spans="1:16" s="34" customFormat="1" x14ac:dyDescent="0.25">
      <c r="A483" s="91"/>
      <c r="B483" s="80"/>
      <c r="C483" s="80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</row>
    <row r="484" spans="1:16" s="34" customFormat="1" x14ac:dyDescent="0.25">
      <c r="A484" s="91"/>
      <c r="B484" s="80"/>
      <c r="C484" s="80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</row>
    <row r="485" spans="1:16" s="34" customFormat="1" x14ac:dyDescent="0.25">
      <c r="A485" s="91"/>
      <c r="B485" s="80"/>
      <c r="C485" s="80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</row>
    <row r="486" spans="1:16" s="34" customFormat="1" x14ac:dyDescent="0.25">
      <c r="A486" s="91"/>
      <c r="B486" s="80"/>
      <c r="C486" s="80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</row>
    <row r="487" spans="1:16" s="34" customFormat="1" x14ac:dyDescent="0.25">
      <c r="A487" s="91"/>
      <c r="B487" s="80"/>
      <c r="C487" s="80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</row>
    <row r="488" spans="1:16" s="34" customFormat="1" x14ac:dyDescent="0.25">
      <c r="A488" s="91"/>
      <c r="B488" s="80"/>
      <c r="C488" s="80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</row>
    <row r="489" spans="1:16" s="34" customFormat="1" x14ac:dyDescent="0.25">
      <c r="A489" s="91"/>
      <c r="B489" s="80"/>
      <c r="C489" s="80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</row>
    <row r="490" spans="1:16" s="34" customFormat="1" x14ac:dyDescent="0.25">
      <c r="A490" s="91"/>
      <c r="B490" s="80"/>
      <c r="C490" s="80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</row>
    <row r="491" spans="1:16" s="34" customFormat="1" x14ac:dyDescent="0.25">
      <c r="A491" s="91"/>
      <c r="B491" s="80"/>
      <c r="C491" s="80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</row>
    <row r="492" spans="1:16" s="34" customFormat="1" x14ac:dyDescent="0.25">
      <c r="A492" s="91"/>
      <c r="B492" s="80"/>
      <c r="C492" s="80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</row>
    <row r="493" spans="1:16" s="34" customFormat="1" x14ac:dyDescent="0.25">
      <c r="A493" s="91"/>
      <c r="B493" s="80"/>
      <c r="C493" s="80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</row>
    <row r="494" spans="1:16" s="34" customFormat="1" x14ac:dyDescent="0.25">
      <c r="A494" s="91"/>
      <c r="B494" s="80"/>
      <c r="C494" s="80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</row>
    <row r="495" spans="1:16" s="34" customFormat="1" x14ac:dyDescent="0.25">
      <c r="A495" s="91"/>
      <c r="B495" s="80"/>
      <c r="C495" s="80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</row>
    <row r="496" spans="1:16" s="34" customFormat="1" x14ac:dyDescent="0.25">
      <c r="A496" s="91"/>
      <c r="B496" s="80"/>
      <c r="C496" s="80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</row>
    <row r="497" spans="1:16" s="34" customFormat="1" x14ac:dyDescent="0.25">
      <c r="A497" s="91"/>
      <c r="B497" s="80"/>
      <c r="C497" s="80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</row>
    <row r="498" spans="1:16" s="34" customFormat="1" x14ac:dyDescent="0.25">
      <c r="A498" s="91"/>
      <c r="B498" s="80"/>
      <c r="C498" s="80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</row>
    <row r="499" spans="1:16" s="34" customFormat="1" x14ac:dyDescent="0.25">
      <c r="A499" s="91"/>
      <c r="B499" s="80"/>
      <c r="C499" s="80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</row>
    <row r="500" spans="1:16" s="34" customFormat="1" x14ac:dyDescent="0.25">
      <c r="A500" s="91"/>
      <c r="B500" s="80"/>
      <c r="C500" s="80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</row>
    <row r="501" spans="1:16" s="34" customFormat="1" x14ac:dyDescent="0.25">
      <c r="A501" s="91"/>
      <c r="B501" s="80"/>
      <c r="C501" s="80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</row>
    <row r="502" spans="1:16" s="34" customFormat="1" x14ac:dyDescent="0.25">
      <c r="A502" s="91"/>
      <c r="B502" s="80"/>
      <c r="C502" s="80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</row>
    <row r="503" spans="1:16" s="34" customFormat="1" x14ac:dyDescent="0.25">
      <c r="A503" s="91"/>
      <c r="B503" s="80"/>
      <c r="C503" s="80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</row>
    <row r="504" spans="1:16" s="34" customFormat="1" x14ac:dyDescent="0.25">
      <c r="A504" s="91"/>
      <c r="B504" s="80"/>
      <c r="C504" s="80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</row>
    <row r="505" spans="1:16" s="34" customFormat="1" x14ac:dyDescent="0.25">
      <c r="A505" s="91"/>
      <c r="B505" s="80"/>
      <c r="C505" s="80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</row>
    <row r="506" spans="1:16" s="34" customFormat="1" x14ac:dyDescent="0.25">
      <c r="A506" s="91"/>
      <c r="B506" s="80"/>
      <c r="C506" s="80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</row>
    <row r="507" spans="1:16" s="34" customFormat="1" x14ac:dyDescent="0.25">
      <c r="A507" s="91"/>
      <c r="B507" s="80"/>
      <c r="C507" s="80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</row>
    <row r="508" spans="1:16" s="34" customFormat="1" x14ac:dyDescent="0.25">
      <c r="A508" s="91"/>
      <c r="B508" s="80"/>
      <c r="C508" s="80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</row>
    <row r="509" spans="1:16" s="34" customFormat="1" x14ac:dyDescent="0.25">
      <c r="A509" s="91"/>
      <c r="B509" s="80"/>
      <c r="C509" s="80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</row>
    <row r="510" spans="1:16" s="34" customFormat="1" x14ac:dyDescent="0.25">
      <c r="A510" s="91"/>
      <c r="B510" s="80"/>
      <c r="C510" s="80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</row>
    <row r="511" spans="1:16" s="34" customFormat="1" x14ac:dyDescent="0.25">
      <c r="A511" s="91"/>
      <c r="B511" s="80"/>
      <c r="C511" s="80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</row>
    <row r="512" spans="1:16" s="34" customFormat="1" x14ac:dyDescent="0.25">
      <c r="A512" s="91"/>
      <c r="B512" s="80"/>
      <c r="C512" s="80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</row>
    <row r="513" spans="1:16" s="34" customFormat="1" x14ac:dyDescent="0.25">
      <c r="A513" s="91"/>
      <c r="B513" s="80"/>
      <c r="C513" s="80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</row>
    <row r="514" spans="1:16" s="34" customFormat="1" x14ac:dyDescent="0.25">
      <c r="A514" s="91"/>
      <c r="B514" s="80"/>
      <c r="C514" s="80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</row>
    <row r="515" spans="1:16" s="34" customFormat="1" x14ac:dyDescent="0.25">
      <c r="A515" s="91"/>
      <c r="B515" s="80"/>
      <c r="C515" s="80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</row>
    <row r="516" spans="1:16" s="34" customFormat="1" x14ac:dyDescent="0.25">
      <c r="A516" s="91"/>
      <c r="B516" s="80"/>
      <c r="C516" s="80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</row>
    <row r="517" spans="1:16" s="34" customFormat="1" x14ac:dyDescent="0.25">
      <c r="A517" s="91"/>
      <c r="B517" s="80"/>
      <c r="C517" s="80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</row>
    <row r="518" spans="1:16" s="34" customFormat="1" x14ac:dyDescent="0.25">
      <c r="A518" s="91"/>
      <c r="B518" s="80"/>
      <c r="C518" s="80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</row>
    <row r="519" spans="1:16" s="34" customFormat="1" x14ac:dyDescent="0.25">
      <c r="A519" s="91"/>
      <c r="B519" s="80"/>
      <c r="C519" s="80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</row>
    <row r="520" spans="1:16" s="34" customFormat="1" x14ac:dyDescent="0.25">
      <c r="A520" s="91"/>
      <c r="B520" s="80"/>
      <c r="C520" s="80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</row>
    <row r="521" spans="1:16" s="34" customFormat="1" x14ac:dyDescent="0.25">
      <c r="A521" s="91"/>
      <c r="B521" s="80"/>
      <c r="C521" s="80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</row>
    <row r="522" spans="1:16" s="34" customFormat="1" x14ac:dyDescent="0.25">
      <c r="A522" s="91"/>
      <c r="B522" s="80"/>
      <c r="C522" s="80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</row>
    <row r="523" spans="1:16" s="34" customFormat="1" x14ac:dyDescent="0.25">
      <c r="A523" s="91"/>
      <c r="B523" s="80"/>
      <c r="C523" s="80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</row>
    <row r="524" spans="1:16" s="34" customFormat="1" x14ac:dyDescent="0.25">
      <c r="A524" s="91"/>
      <c r="B524" s="80"/>
      <c r="C524" s="80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</row>
    <row r="525" spans="1:16" s="34" customFormat="1" x14ac:dyDescent="0.25">
      <c r="A525" s="91"/>
      <c r="B525" s="80"/>
      <c r="C525" s="80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</row>
    <row r="526" spans="1:16" s="34" customFormat="1" x14ac:dyDescent="0.25">
      <c r="A526" s="91"/>
      <c r="B526" s="80"/>
      <c r="C526" s="80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</row>
    <row r="527" spans="1:16" s="34" customFormat="1" x14ac:dyDescent="0.25">
      <c r="A527" s="91"/>
      <c r="B527" s="80"/>
      <c r="C527" s="80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</row>
    <row r="528" spans="1:16" s="34" customFormat="1" x14ac:dyDescent="0.25">
      <c r="A528" s="91"/>
      <c r="B528" s="80"/>
      <c r="C528" s="80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</row>
    <row r="529" spans="1:16" s="34" customFormat="1" x14ac:dyDescent="0.25">
      <c r="A529" s="91"/>
      <c r="B529" s="80"/>
      <c r="C529" s="80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</row>
    <row r="530" spans="1:16" s="34" customFormat="1" x14ac:dyDescent="0.25">
      <c r="A530" s="91"/>
      <c r="B530" s="80"/>
      <c r="C530" s="80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</row>
    <row r="531" spans="1:16" s="34" customFormat="1" x14ac:dyDescent="0.25">
      <c r="A531" s="91"/>
      <c r="B531" s="80"/>
      <c r="C531" s="80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</row>
    <row r="532" spans="1:16" s="34" customFormat="1" x14ac:dyDescent="0.25">
      <c r="A532" s="91"/>
      <c r="B532" s="80"/>
      <c r="C532" s="80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</row>
    <row r="533" spans="1:16" s="34" customFormat="1" x14ac:dyDescent="0.25">
      <c r="A533" s="91"/>
      <c r="B533" s="80"/>
      <c r="C533" s="80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</row>
    <row r="534" spans="1:16" s="34" customFormat="1" x14ac:dyDescent="0.25">
      <c r="A534" s="91"/>
      <c r="B534" s="80"/>
      <c r="C534" s="80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</row>
    <row r="535" spans="1:16" s="34" customFormat="1" x14ac:dyDescent="0.25">
      <c r="A535" s="91"/>
      <c r="B535" s="80"/>
      <c r="C535" s="80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</row>
    <row r="536" spans="1:16" s="34" customFormat="1" x14ac:dyDescent="0.25">
      <c r="A536" s="91"/>
      <c r="B536" s="80"/>
      <c r="C536" s="80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</row>
    <row r="537" spans="1:16" s="34" customFormat="1" x14ac:dyDescent="0.25">
      <c r="A537" s="91"/>
      <c r="B537" s="80"/>
      <c r="C537" s="80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</row>
    <row r="538" spans="1:16" s="34" customFormat="1" x14ac:dyDescent="0.25">
      <c r="A538" s="91"/>
      <c r="B538" s="80"/>
      <c r="C538" s="80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</row>
    <row r="539" spans="1:16" s="34" customFormat="1" x14ac:dyDescent="0.25">
      <c r="A539" s="91"/>
      <c r="B539" s="80"/>
      <c r="C539" s="80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</row>
    <row r="540" spans="1:16" s="34" customFormat="1" x14ac:dyDescent="0.25">
      <c r="A540" s="91"/>
      <c r="B540" s="80"/>
      <c r="C540" s="80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</row>
    <row r="541" spans="1:16" s="34" customFormat="1" x14ac:dyDescent="0.25">
      <c r="A541" s="91"/>
      <c r="B541" s="80"/>
      <c r="C541" s="80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</row>
    <row r="542" spans="1:16" s="34" customFormat="1" x14ac:dyDescent="0.25">
      <c r="A542" s="91"/>
      <c r="B542" s="80"/>
      <c r="C542" s="80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</row>
    <row r="543" spans="1:16" s="34" customFormat="1" x14ac:dyDescent="0.25">
      <c r="A543" s="91"/>
      <c r="B543" s="80"/>
      <c r="C543" s="80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</row>
    <row r="544" spans="1:16" s="34" customFormat="1" x14ac:dyDescent="0.25">
      <c r="A544" s="91"/>
      <c r="B544" s="80"/>
      <c r="C544" s="80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</row>
    <row r="545" spans="1:16" s="34" customFormat="1" x14ac:dyDescent="0.25">
      <c r="A545" s="91"/>
      <c r="B545" s="80"/>
      <c r="C545" s="80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</row>
    <row r="546" spans="1:16" s="34" customFormat="1" x14ac:dyDescent="0.25">
      <c r="A546" s="91"/>
      <c r="B546" s="80"/>
      <c r="C546" s="80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</row>
    <row r="547" spans="1:16" s="34" customFormat="1" x14ac:dyDescent="0.25">
      <c r="A547" s="91"/>
      <c r="B547" s="80"/>
      <c r="C547" s="80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</row>
    <row r="548" spans="1:16" s="34" customFormat="1" x14ac:dyDescent="0.25">
      <c r="A548" s="91"/>
      <c r="B548" s="80"/>
      <c r="C548" s="80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</row>
    <row r="549" spans="1:16" s="34" customFormat="1" x14ac:dyDescent="0.25">
      <c r="A549" s="91"/>
      <c r="B549" s="80"/>
      <c r="C549" s="80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</row>
    <row r="550" spans="1:16" s="34" customFormat="1" x14ac:dyDescent="0.25">
      <c r="A550" s="91"/>
      <c r="B550" s="80"/>
      <c r="C550" s="80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</row>
    <row r="551" spans="1:16" s="34" customFormat="1" x14ac:dyDescent="0.25">
      <c r="A551" s="91"/>
      <c r="B551" s="80"/>
      <c r="C551" s="80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</row>
    <row r="552" spans="1:16" s="34" customFormat="1" x14ac:dyDescent="0.25">
      <c r="A552" s="91"/>
      <c r="B552" s="80"/>
      <c r="C552" s="80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</row>
    <row r="553" spans="1:16" s="34" customFormat="1" x14ac:dyDescent="0.25">
      <c r="A553" s="91"/>
      <c r="B553" s="80"/>
      <c r="C553" s="80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</row>
    <row r="554" spans="1:16" s="34" customFormat="1" x14ac:dyDescent="0.25">
      <c r="A554" s="91"/>
      <c r="B554" s="80"/>
      <c r="C554" s="80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</row>
    <row r="555" spans="1:16" s="34" customFormat="1" x14ac:dyDescent="0.25">
      <c r="A555" s="91"/>
      <c r="B555" s="80"/>
      <c r="C555" s="80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</row>
    <row r="556" spans="1:16" s="34" customFormat="1" x14ac:dyDescent="0.25">
      <c r="A556" s="91"/>
      <c r="B556" s="80"/>
      <c r="C556" s="80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</row>
    <row r="557" spans="1:16" s="34" customFormat="1" x14ac:dyDescent="0.25">
      <c r="A557" s="91"/>
      <c r="B557" s="80"/>
      <c r="C557" s="80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</row>
    <row r="558" spans="1:16" s="34" customFormat="1" x14ac:dyDescent="0.25">
      <c r="A558" s="91"/>
      <c r="B558" s="80"/>
      <c r="C558" s="80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</row>
    <row r="559" spans="1:16" s="34" customFormat="1" x14ac:dyDescent="0.25">
      <c r="A559" s="91"/>
      <c r="B559" s="80"/>
      <c r="C559" s="80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</row>
    <row r="560" spans="1:16" s="34" customFormat="1" x14ac:dyDescent="0.25">
      <c r="A560" s="91"/>
      <c r="B560" s="80"/>
      <c r="C560" s="80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</row>
    <row r="561" spans="1:16" s="34" customFormat="1" x14ac:dyDescent="0.25">
      <c r="A561" s="91"/>
      <c r="B561" s="80"/>
      <c r="C561" s="80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</row>
    <row r="562" spans="1:16" s="34" customFormat="1" x14ac:dyDescent="0.25">
      <c r="A562" s="91"/>
      <c r="B562" s="80"/>
      <c r="C562" s="80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</row>
    <row r="563" spans="1:16" s="34" customFormat="1" x14ac:dyDescent="0.25">
      <c r="A563" s="91"/>
      <c r="B563" s="80"/>
      <c r="C563" s="80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</row>
    <row r="564" spans="1:16" s="34" customFormat="1" x14ac:dyDescent="0.25">
      <c r="A564" s="91"/>
      <c r="B564" s="80"/>
      <c r="C564" s="80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</row>
    <row r="565" spans="1:16" s="34" customFormat="1" x14ac:dyDescent="0.25">
      <c r="A565" s="91"/>
      <c r="B565" s="80"/>
      <c r="C565" s="80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</row>
    <row r="566" spans="1:16" s="34" customFormat="1" x14ac:dyDescent="0.25">
      <c r="A566" s="91"/>
      <c r="B566" s="80"/>
      <c r="C566" s="80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</row>
    <row r="567" spans="1:16" s="34" customFormat="1" x14ac:dyDescent="0.25">
      <c r="A567" s="91"/>
      <c r="B567" s="80"/>
      <c r="C567" s="80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</row>
    <row r="568" spans="1:16" s="34" customFormat="1" x14ac:dyDescent="0.25">
      <c r="A568" s="91"/>
      <c r="B568" s="80"/>
      <c r="C568" s="80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</row>
    <row r="569" spans="1:16" s="34" customFormat="1" x14ac:dyDescent="0.25">
      <c r="A569" s="91"/>
      <c r="B569" s="80"/>
      <c r="C569" s="80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</row>
    <row r="570" spans="1:16" s="34" customFormat="1" x14ac:dyDescent="0.25">
      <c r="A570" s="91"/>
      <c r="B570" s="80"/>
      <c r="C570" s="80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</row>
    <row r="571" spans="1:16" s="34" customFormat="1" x14ac:dyDescent="0.25">
      <c r="A571" s="91"/>
      <c r="B571" s="80"/>
      <c r="C571" s="80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</row>
    <row r="572" spans="1:16" s="34" customFormat="1" x14ac:dyDescent="0.25">
      <c r="A572" s="91"/>
      <c r="B572" s="80"/>
      <c r="C572" s="80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</row>
    <row r="573" spans="1:16" s="34" customFormat="1" x14ac:dyDescent="0.25">
      <c r="A573" s="91"/>
      <c r="B573" s="80"/>
      <c r="C573" s="80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</row>
    <row r="574" spans="1:16" s="34" customFormat="1" x14ac:dyDescent="0.25">
      <c r="A574" s="91"/>
      <c r="B574" s="80"/>
      <c r="C574" s="80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</row>
    <row r="575" spans="1:16" s="34" customFormat="1" x14ac:dyDescent="0.25">
      <c r="A575" s="91"/>
      <c r="B575" s="80"/>
      <c r="C575" s="80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</row>
    <row r="576" spans="1:16" s="34" customFormat="1" x14ac:dyDescent="0.25">
      <c r="A576" s="91"/>
      <c r="B576" s="80"/>
      <c r="C576" s="80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</row>
    <row r="577" spans="1:16" s="34" customFormat="1" x14ac:dyDescent="0.25">
      <c r="A577" s="91"/>
      <c r="B577" s="80"/>
      <c r="C577" s="80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</row>
    <row r="578" spans="1:16" s="34" customFormat="1" x14ac:dyDescent="0.25">
      <c r="A578" s="91"/>
      <c r="B578" s="80"/>
      <c r="C578" s="80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</row>
    <row r="579" spans="1:16" s="34" customFormat="1" x14ac:dyDescent="0.25">
      <c r="A579" s="91"/>
      <c r="B579" s="80"/>
      <c r="C579" s="80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</row>
    <row r="580" spans="1:16" s="34" customFormat="1" x14ac:dyDescent="0.25">
      <c r="A580" s="91"/>
      <c r="B580" s="80"/>
      <c r="C580" s="80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</row>
    <row r="581" spans="1:16" s="34" customFormat="1" x14ac:dyDescent="0.25">
      <c r="A581" s="91"/>
      <c r="B581" s="80"/>
      <c r="C581" s="80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</row>
    <row r="582" spans="1:16" s="34" customFormat="1" x14ac:dyDescent="0.25">
      <c r="A582" s="91"/>
      <c r="B582" s="80"/>
      <c r="C582" s="80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</row>
    <row r="583" spans="1:16" s="34" customFormat="1" x14ac:dyDescent="0.25">
      <c r="A583" s="91"/>
      <c r="B583" s="80"/>
      <c r="C583" s="80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</row>
    <row r="584" spans="1:16" s="34" customFormat="1" x14ac:dyDescent="0.25">
      <c r="A584" s="91"/>
      <c r="B584" s="80"/>
      <c r="C584" s="80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</row>
    <row r="585" spans="1:16" s="34" customFormat="1" x14ac:dyDescent="0.25">
      <c r="A585" s="91"/>
      <c r="B585" s="80"/>
      <c r="C585" s="80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</row>
    <row r="586" spans="1:16" s="34" customFormat="1" x14ac:dyDescent="0.25">
      <c r="A586" s="91"/>
      <c r="B586" s="80"/>
      <c r="C586" s="80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</row>
    <row r="587" spans="1:16" s="34" customFormat="1" x14ac:dyDescent="0.25">
      <c r="A587" s="91"/>
      <c r="B587" s="80"/>
      <c r="C587" s="80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</row>
    <row r="588" spans="1:16" s="34" customFormat="1" x14ac:dyDescent="0.25">
      <c r="A588" s="91"/>
      <c r="B588" s="80"/>
      <c r="C588" s="80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</row>
    <row r="589" spans="1:16" s="34" customFormat="1" x14ac:dyDescent="0.25">
      <c r="A589" s="91"/>
      <c r="B589" s="80"/>
      <c r="C589" s="80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</row>
    <row r="590" spans="1:16" s="34" customFormat="1" x14ac:dyDescent="0.25">
      <c r="A590" s="91"/>
      <c r="B590" s="80"/>
      <c r="C590" s="80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</row>
    <row r="591" spans="1:16" s="34" customFormat="1" x14ac:dyDescent="0.25">
      <c r="A591" s="91"/>
      <c r="B591" s="80"/>
      <c r="C591" s="80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</row>
    <row r="592" spans="1:16" s="34" customFormat="1" x14ac:dyDescent="0.25">
      <c r="A592" s="91"/>
      <c r="B592" s="80"/>
      <c r="C592" s="80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</row>
    <row r="593" spans="1:16" s="34" customFormat="1" x14ac:dyDescent="0.25">
      <c r="A593" s="91"/>
      <c r="B593" s="80"/>
      <c r="C593" s="80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</row>
    <row r="594" spans="1:16" s="34" customFormat="1" x14ac:dyDescent="0.25">
      <c r="A594" s="91"/>
      <c r="B594" s="80"/>
      <c r="C594" s="80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</row>
    <row r="595" spans="1:16" s="34" customFormat="1" x14ac:dyDescent="0.25">
      <c r="A595" s="91"/>
      <c r="B595" s="80"/>
      <c r="C595" s="80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</row>
    <row r="596" spans="1:16" s="34" customFormat="1" x14ac:dyDescent="0.25">
      <c r="A596" s="91"/>
      <c r="B596" s="80"/>
      <c r="C596" s="80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</row>
    <row r="597" spans="1:16" s="34" customFormat="1" x14ac:dyDescent="0.25">
      <c r="A597" s="91"/>
      <c r="B597" s="80"/>
      <c r="C597" s="80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</row>
    <row r="598" spans="1:16" s="34" customFormat="1" x14ac:dyDescent="0.25">
      <c r="A598" s="91"/>
      <c r="B598" s="80"/>
      <c r="C598" s="80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</row>
    <row r="599" spans="1:16" s="34" customFormat="1" x14ac:dyDescent="0.25">
      <c r="A599" s="91"/>
      <c r="B599" s="80"/>
      <c r="C599" s="80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</row>
    <row r="600" spans="1:16" s="34" customFormat="1" x14ac:dyDescent="0.25">
      <c r="A600" s="91"/>
      <c r="B600" s="80"/>
      <c r="C600" s="80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</row>
    <row r="601" spans="1:16" s="34" customFormat="1" x14ac:dyDescent="0.25">
      <c r="A601" s="91"/>
      <c r="B601" s="80"/>
      <c r="C601" s="80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</row>
    <row r="602" spans="1:16" s="34" customFormat="1" x14ac:dyDescent="0.25">
      <c r="A602" s="91"/>
      <c r="B602" s="80"/>
      <c r="C602" s="80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</row>
    <row r="603" spans="1:16" s="34" customFormat="1" x14ac:dyDescent="0.25">
      <c r="A603" s="91"/>
      <c r="B603" s="80"/>
      <c r="C603" s="80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</row>
    <row r="604" spans="1:16" s="34" customFormat="1" x14ac:dyDescent="0.25">
      <c r="A604" s="91"/>
      <c r="B604" s="80"/>
      <c r="C604" s="80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</row>
    <row r="605" spans="1:16" s="34" customFormat="1" x14ac:dyDescent="0.25">
      <c r="A605" s="91"/>
      <c r="B605" s="80"/>
      <c r="C605" s="80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</row>
    <row r="606" spans="1:16" s="34" customFormat="1" x14ac:dyDescent="0.25">
      <c r="A606" s="91"/>
      <c r="B606" s="80"/>
      <c r="C606" s="80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</row>
    <row r="607" spans="1:16" s="34" customFormat="1" x14ac:dyDescent="0.25">
      <c r="A607" s="91"/>
      <c r="B607" s="80"/>
      <c r="C607" s="80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</row>
    <row r="608" spans="1:16" s="34" customFormat="1" x14ac:dyDescent="0.25">
      <c r="A608" s="91"/>
      <c r="B608" s="80"/>
      <c r="C608" s="80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</row>
    <row r="609" spans="1:16" s="34" customFormat="1" x14ac:dyDescent="0.25">
      <c r="A609" s="91"/>
      <c r="B609" s="80"/>
      <c r="C609" s="80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</row>
    <row r="610" spans="1:16" s="34" customFormat="1" x14ac:dyDescent="0.25">
      <c r="A610" s="91"/>
      <c r="B610" s="80"/>
      <c r="C610" s="80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</row>
    <row r="611" spans="1:16" s="34" customFormat="1" x14ac:dyDescent="0.25">
      <c r="A611" s="91"/>
      <c r="B611" s="80"/>
      <c r="C611" s="80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</row>
    <row r="612" spans="1:16" s="34" customFormat="1" x14ac:dyDescent="0.25">
      <c r="A612" s="91"/>
      <c r="B612" s="80"/>
      <c r="C612" s="80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</row>
    <row r="613" spans="1:16" s="34" customFormat="1" x14ac:dyDescent="0.25">
      <c r="A613" s="91"/>
      <c r="B613" s="80"/>
      <c r="C613" s="80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</row>
    <row r="614" spans="1:16" s="34" customFormat="1" x14ac:dyDescent="0.25">
      <c r="A614" s="91"/>
      <c r="B614" s="80"/>
      <c r="C614" s="80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</row>
    <row r="615" spans="1:16" s="34" customFormat="1" x14ac:dyDescent="0.25">
      <c r="A615" s="91"/>
      <c r="B615" s="80"/>
      <c r="C615" s="80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</row>
    <row r="616" spans="1:16" s="34" customFormat="1" x14ac:dyDescent="0.25">
      <c r="A616" s="91"/>
      <c r="B616" s="80"/>
      <c r="C616" s="80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</row>
    <row r="617" spans="1:16" s="34" customFormat="1" x14ac:dyDescent="0.25">
      <c r="A617" s="91"/>
      <c r="B617" s="80"/>
      <c r="C617" s="80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</row>
    <row r="618" spans="1:16" s="34" customFormat="1" x14ac:dyDescent="0.25">
      <c r="A618" s="91"/>
      <c r="B618" s="80"/>
      <c r="C618" s="80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</row>
    <row r="619" spans="1:16" s="34" customFormat="1" x14ac:dyDescent="0.25">
      <c r="A619" s="91"/>
      <c r="B619" s="80"/>
      <c r="C619" s="80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</row>
    <row r="620" spans="1:16" s="34" customFormat="1" x14ac:dyDescent="0.25">
      <c r="A620" s="91"/>
      <c r="B620" s="80"/>
      <c r="C620" s="80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</row>
    <row r="621" spans="1:16" s="34" customFormat="1" x14ac:dyDescent="0.25">
      <c r="A621" s="91"/>
      <c r="B621" s="80"/>
      <c r="C621" s="80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</row>
    <row r="622" spans="1:16" s="34" customFormat="1" x14ac:dyDescent="0.25">
      <c r="A622" s="91"/>
      <c r="B622" s="80"/>
      <c r="C622" s="80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</row>
    <row r="623" spans="1:16" s="34" customFormat="1" x14ac:dyDescent="0.25">
      <c r="A623" s="91"/>
      <c r="B623" s="80"/>
      <c r="C623" s="80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</row>
    <row r="624" spans="1:16" s="34" customFormat="1" x14ac:dyDescent="0.25">
      <c r="A624" s="91"/>
      <c r="B624" s="80"/>
      <c r="C624" s="80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</row>
    <row r="625" spans="1:16" s="34" customFormat="1" x14ac:dyDescent="0.25">
      <c r="A625" s="91"/>
      <c r="B625" s="80"/>
      <c r="C625" s="80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</row>
    <row r="626" spans="1:16" s="34" customFormat="1" x14ac:dyDescent="0.25">
      <c r="A626" s="91"/>
      <c r="B626" s="80"/>
      <c r="C626" s="80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</row>
    <row r="627" spans="1:16" s="34" customFormat="1" x14ac:dyDescent="0.25">
      <c r="A627" s="91"/>
      <c r="B627" s="80"/>
      <c r="C627" s="80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</row>
    <row r="628" spans="1:16" s="34" customFormat="1" x14ac:dyDescent="0.25">
      <c r="A628" s="91"/>
      <c r="B628" s="80"/>
      <c r="C628" s="80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</row>
    <row r="629" spans="1:16" s="34" customFormat="1" x14ac:dyDescent="0.25">
      <c r="A629" s="91"/>
      <c r="B629" s="80"/>
      <c r="C629" s="80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</row>
    <row r="630" spans="1:16" s="34" customFormat="1" x14ac:dyDescent="0.25">
      <c r="A630" s="91"/>
      <c r="B630" s="80"/>
      <c r="C630" s="80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</row>
    <row r="631" spans="1:16" s="34" customFormat="1" x14ac:dyDescent="0.25">
      <c r="A631" s="91"/>
      <c r="B631" s="80"/>
      <c r="C631" s="80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</row>
    <row r="632" spans="1:16" s="34" customFormat="1" x14ac:dyDescent="0.25">
      <c r="A632" s="91"/>
      <c r="B632" s="80"/>
      <c r="C632" s="80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</row>
    <row r="633" spans="1:16" s="34" customFormat="1" x14ac:dyDescent="0.25">
      <c r="A633" s="91"/>
      <c r="B633" s="80"/>
      <c r="C633" s="80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</row>
    <row r="634" spans="1:16" s="34" customFormat="1" x14ac:dyDescent="0.25">
      <c r="A634" s="91"/>
      <c r="B634" s="80"/>
      <c r="C634" s="80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</row>
    <row r="635" spans="1:16" s="34" customFormat="1" x14ac:dyDescent="0.25">
      <c r="A635" s="91"/>
      <c r="B635" s="80"/>
      <c r="C635" s="80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</row>
    <row r="636" spans="1:16" s="34" customFormat="1" x14ac:dyDescent="0.25">
      <c r="A636" s="91"/>
      <c r="B636" s="80"/>
      <c r="C636" s="80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</row>
    <row r="637" spans="1:16" s="34" customFormat="1" x14ac:dyDescent="0.25">
      <c r="A637" s="91"/>
      <c r="B637" s="80"/>
      <c r="C637" s="80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</row>
    <row r="638" spans="1:16" s="34" customFormat="1" x14ac:dyDescent="0.25">
      <c r="A638" s="91"/>
      <c r="B638" s="80"/>
      <c r="C638" s="80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</row>
    <row r="639" spans="1:16" s="34" customFormat="1" x14ac:dyDescent="0.25">
      <c r="A639" s="91"/>
      <c r="B639" s="80"/>
      <c r="C639" s="80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</row>
    <row r="640" spans="1:16" s="34" customFormat="1" x14ac:dyDescent="0.25">
      <c r="A640" s="91"/>
      <c r="B640" s="80"/>
      <c r="C640" s="80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</row>
    <row r="641" spans="1:16" s="34" customFormat="1" x14ac:dyDescent="0.25">
      <c r="A641" s="91"/>
      <c r="B641" s="80"/>
      <c r="C641" s="80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</row>
    <row r="642" spans="1:16" s="34" customFormat="1" x14ac:dyDescent="0.25">
      <c r="A642" s="91"/>
      <c r="B642" s="80"/>
      <c r="C642" s="80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</row>
    <row r="643" spans="1:16" s="34" customFormat="1" x14ac:dyDescent="0.25">
      <c r="A643" s="91"/>
      <c r="B643" s="80"/>
      <c r="C643" s="80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</row>
    <row r="644" spans="1:16" s="34" customFormat="1" x14ac:dyDescent="0.25">
      <c r="A644" s="91"/>
      <c r="B644" s="80"/>
      <c r="C644" s="80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</row>
    <row r="645" spans="1:16" s="34" customFormat="1" x14ac:dyDescent="0.25">
      <c r="A645" s="91"/>
      <c r="B645" s="80"/>
      <c r="C645" s="80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</row>
    <row r="646" spans="1:16" s="34" customFormat="1" x14ac:dyDescent="0.25">
      <c r="A646" s="91"/>
      <c r="B646" s="80"/>
      <c r="C646" s="80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</row>
    <row r="647" spans="1:16" s="34" customFormat="1" x14ac:dyDescent="0.25">
      <c r="A647" s="91"/>
      <c r="B647" s="80"/>
      <c r="C647" s="80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</row>
    <row r="648" spans="1:16" s="34" customFormat="1" x14ac:dyDescent="0.25">
      <c r="A648" s="91"/>
      <c r="B648" s="80"/>
      <c r="C648" s="80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</row>
    <row r="649" spans="1:16" s="34" customFormat="1" x14ac:dyDescent="0.25">
      <c r="A649" s="91"/>
      <c r="B649" s="80"/>
      <c r="C649" s="80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</row>
    <row r="650" spans="1:16" s="34" customFormat="1" x14ac:dyDescent="0.25">
      <c r="A650" s="91"/>
      <c r="B650" s="80"/>
      <c r="C650" s="80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</row>
    <row r="651" spans="1:16" s="34" customFormat="1" x14ac:dyDescent="0.25">
      <c r="A651" s="91"/>
      <c r="B651" s="80"/>
      <c r="C651" s="80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</row>
    <row r="652" spans="1:16" s="34" customFormat="1" x14ac:dyDescent="0.25">
      <c r="A652" s="91"/>
      <c r="B652" s="80"/>
      <c r="C652" s="80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</row>
    <row r="653" spans="1:16" s="34" customFormat="1" x14ac:dyDescent="0.25">
      <c r="A653" s="91"/>
      <c r="B653" s="80"/>
      <c r="C653" s="80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</row>
    <row r="654" spans="1:16" s="34" customFormat="1" x14ac:dyDescent="0.25">
      <c r="A654" s="91"/>
      <c r="B654" s="80"/>
      <c r="C654" s="80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</row>
    <row r="655" spans="1:16" s="34" customFormat="1" x14ac:dyDescent="0.25">
      <c r="A655" s="91"/>
      <c r="B655" s="80"/>
      <c r="C655" s="80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</row>
    <row r="656" spans="1:16" s="34" customFormat="1" x14ac:dyDescent="0.25">
      <c r="A656" s="91"/>
      <c r="B656" s="80"/>
      <c r="C656" s="80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</row>
    <row r="657" spans="1:16" s="34" customFormat="1" x14ac:dyDescent="0.25">
      <c r="A657" s="91"/>
      <c r="B657" s="80"/>
      <c r="C657" s="80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</row>
    <row r="658" spans="1:16" s="34" customFormat="1" x14ac:dyDescent="0.25">
      <c r="A658" s="91"/>
      <c r="B658" s="80"/>
      <c r="C658" s="80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</row>
    <row r="659" spans="1:16" s="34" customFormat="1" x14ac:dyDescent="0.25">
      <c r="A659" s="91"/>
      <c r="B659" s="80"/>
      <c r="C659" s="80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</row>
    <row r="660" spans="1:16" s="34" customFormat="1" x14ac:dyDescent="0.25">
      <c r="A660" s="91"/>
      <c r="B660" s="80"/>
      <c r="C660" s="80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</row>
    <row r="661" spans="1:16" s="34" customFormat="1" x14ac:dyDescent="0.25">
      <c r="A661" s="91"/>
      <c r="B661" s="80"/>
      <c r="C661" s="80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</row>
    <row r="662" spans="1:16" s="34" customFormat="1" x14ac:dyDescent="0.25">
      <c r="A662" s="91"/>
      <c r="B662" s="80"/>
      <c r="C662" s="80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</row>
    <row r="663" spans="1:16" s="34" customFormat="1" x14ac:dyDescent="0.25">
      <c r="A663" s="91"/>
      <c r="B663" s="80"/>
      <c r="C663" s="80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</row>
    <row r="664" spans="1:16" s="34" customFormat="1" x14ac:dyDescent="0.25">
      <c r="A664" s="91"/>
      <c r="B664" s="80"/>
      <c r="C664" s="80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</row>
    <row r="665" spans="1:16" s="34" customFormat="1" x14ac:dyDescent="0.25">
      <c r="A665" s="91"/>
      <c r="B665" s="80"/>
      <c r="C665" s="80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</row>
    <row r="666" spans="1:16" s="34" customFormat="1" x14ac:dyDescent="0.25">
      <c r="A666" s="91"/>
      <c r="B666" s="80"/>
      <c r="C666" s="80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</row>
    <row r="667" spans="1:16" s="34" customFormat="1" x14ac:dyDescent="0.25">
      <c r="A667" s="91"/>
      <c r="B667" s="80"/>
      <c r="C667" s="80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</row>
    <row r="668" spans="1:16" s="34" customFormat="1" x14ac:dyDescent="0.25">
      <c r="A668" s="91"/>
      <c r="B668" s="80"/>
      <c r="C668" s="80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</row>
    <row r="669" spans="1:16" s="34" customFormat="1" x14ac:dyDescent="0.25">
      <c r="A669" s="91"/>
      <c r="B669" s="80"/>
      <c r="C669" s="80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</row>
    <row r="670" spans="1:16" s="34" customFormat="1" x14ac:dyDescent="0.25">
      <c r="A670" s="91"/>
      <c r="B670" s="80"/>
      <c r="C670" s="80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</row>
    <row r="671" spans="1:16" s="34" customFormat="1" x14ac:dyDescent="0.25">
      <c r="A671" s="91"/>
      <c r="B671" s="80"/>
      <c r="C671" s="80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</row>
    <row r="672" spans="1:16" s="34" customFormat="1" x14ac:dyDescent="0.25">
      <c r="A672" s="91"/>
      <c r="B672" s="80"/>
      <c r="C672" s="80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</row>
    <row r="673" spans="1:16" s="34" customFormat="1" x14ac:dyDescent="0.25">
      <c r="A673" s="91"/>
      <c r="B673" s="80"/>
      <c r="C673" s="80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</row>
    <row r="674" spans="1:16" s="34" customFormat="1" x14ac:dyDescent="0.25">
      <c r="A674" s="91"/>
      <c r="B674" s="80"/>
      <c r="C674" s="80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</row>
    <row r="675" spans="1:16" s="34" customFormat="1" x14ac:dyDescent="0.25">
      <c r="A675" s="91"/>
      <c r="B675" s="80"/>
      <c r="C675" s="80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</row>
    <row r="676" spans="1:16" s="34" customFormat="1" x14ac:dyDescent="0.25">
      <c r="A676" s="91"/>
      <c r="B676" s="80"/>
      <c r="C676" s="80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</row>
    <row r="677" spans="1:16" s="34" customFormat="1" x14ac:dyDescent="0.25">
      <c r="A677" s="91"/>
      <c r="B677" s="80"/>
      <c r="C677" s="80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</row>
    <row r="678" spans="1:16" s="34" customFormat="1" x14ac:dyDescent="0.25">
      <c r="A678" s="91"/>
      <c r="B678" s="80"/>
      <c r="C678" s="80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</row>
    <row r="679" spans="1:16" s="34" customFormat="1" x14ac:dyDescent="0.25">
      <c r="A679" s="91"/>
      <c r="B679" s="80"/>
      <c r="C679" s="80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</row>
    <row r="680" spans="1:16" s="34" customFormat="1" x14ac:dyDescent="0.25">
      <c r="A680" s="91"/>
      <c r="B680" s="80"/>
      <c r="C680" s="80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</row>
    <row r="681" spans="1:16" s="34" customFormat="1" x14ac:dyDescent="0.25">
      <c r="A681" s="91"/>
      <c r="B681" s="80"/>
      <c r="C681" s="80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</row>
    <row r="682" spans="1:16" s="34" customFormat="1" x14ac:dyDescent="0.25">
      <c r="A682" s="91"/>
      <c r="B682" s="80"/>
      <c r="C682" s="80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</row>
    <row r="683" spans="1:16" s="34" customFormat="1" x14ac:dyDescent="0.25">
      <c r="A683" s="91"/>
      <c r="B683" s="80"/>
      <c r="C683" s="80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</row>
    <row r="684" spans="1:16" s="34" customFormat="1" x14ac:dyDescent="0.25">
      <c r="A684" s="91"/>
      <c r="B684" s="80"/>
      <c r="C684" s="80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</row>
    <row r="685" spans="1:16" s="34" customFormat="1" x14ac:dyDescent="0.25">
      <c r="A685" s="91"/>
      <c r="B685" s="80"/>
      <c r="C685" s="80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</row>
    <row r="686" spans="1:16" s="34" customFormat="1" x14ac:dyDescent="0.25">
      <c r="A686" s="91"/>
      <c r="B686" s="80"/>
      <c r="C686" s="80"/>
      <c r="D686" s="4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60"/>
    </row>
    <row r="687" spans="1:16" s="34" customFormat="1" x14ac:dyDescent="0.25">
      <c r="A687" s="91"/>
      <c r="B687" s="80"/>
      <c r="C687" s="80"/>
      <c r="D687" s="4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60"/>
    </row>
    <row r="688" spans="1:16" s="34" customFormat="1" x14ac:dyDescent="0.25">
      <c r="A688" s="91"/>
      <c r="B688" s="80"/>
      <c r="C688" s="80"/>
      <c r="D688" s="4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60"/>
    </row>
    <row r="689" spans="1:16" s="34" customFormat="1" x14ac:dyDescent="0.25">
      <c r="A689" s="91"/>
      <c r="B689" s="80"/>
      <c r="C689" s="80"/>
      <c r="D689" s="4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60"/>
    </row>
    <row r="690" spans="1:16" s="34" customFormat="1" x14ac:dyDescent="0.25">
      <c r="A690" s="91"/>
      <c r="B690" s="80"/>
      <c r="C690" s="80"/>
      <c r="D690" s="4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60"/>
    </row>
    <row r="691" spans="1:16" s="34" customFormat="1" x14ac:dyDescent="0.25">
      <c r="A691" s="91"/>
      <c r="B691" s="80"/>
      <c r="C691" s="80"/>
      <c r="D691" s="41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60"/>
    </row>
    <row r="692" spans="1:16" s="34" customFormat="1" x14ac:dyDescent="0.25">
      <c r="A692" s="91"/>
      <c r="B692" s="80"/>
      <c r="C692" s="80"/>
      <c r="D692" s="41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60"/>
    </row>
    <row r="693" spans="1:16" s="34" customFormat="1" x14ac:dyDescent="0.25">
      <c r="A693" s="91"/>
      <c r="B693" s="80"/>
      <c r="C693" s="80"/>
      <c r="D693" s="41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60"/>
    </row>
    <row r="694" spans="1:16" s="34" customFormat="1" x14ac:dyDescent="0.25">
      <c r="A694" s="91"/>
      <c r="B694" s="80"/>
      <c r="C694" s="80"/>
      <c r="D694" s="41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60"/>
    </row>
    <row r="695" spans="1:16" s="34" customFormat="1" x14ac:dyDescent="0.25">
      <c r="A695" s="91"/>
      <c r="B695" s="80"/>
      <c r="C695" s="80"/>
      <c r="D695" s="41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60"/>
    </row>
    <row r="696" spans="1:16" s="34" customFormat="1" x14ac:dyDescent="0.25">
      <c r="A696" s="91"/>
      <c r="B696" s="80"/>
      <c r="C696" s="80"/>
      <c r="D696" s="41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60"/>
    </row>
    <row r="697" spans="1:16" s="34" customFormat="1" x14ac:dyDescent="0.25">
      <c r="A697" s="91"/>
      <c r="B697" s="80"/>
      <c r="C697" s="80"/>
      <c r="D697" s="41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60"/>
    </row>
    <row r="698" spans="1:16" s="34" customFormat="1" x14ac:dyDescent="0.25">
      <c r="A698" s="91"/>
      <c r="B698" s="80"/>
      <c r="C698" s="80"/>
      <c r="D698" s="41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60"/>
    </row>
    <row r="699" spans="1:16" s="34" customFormat="1" x14ac:dyDescent="0.25">
      <c r="A699" s="91"/>
      <c r="B699" s="80"/>
      <c r="C699" s="80"/>
      <c r="D699" s="41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60"/>
    </row>
  </sheetData>
  <mergeCells count="21">
    <mergeCell ref="L1:O1"/>
    <mergeCell ref="L4:P4"/>
    <mergeCell ref="L3:P3"/>
    <mergeCell ref="N205:P205"/>
    <mergeCell ref="L15:L16"/>
    <mergeCell ref="M15:N15"/>
    <mergeCell ref="O15:O16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</mergeCells>
  <phoneticPr fontId="3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45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showGridLines="0" showZeros="0" tabSelected="1" view="pageBreakPreview" topLeftCell="A34" zoomScale="55" zoomScaleNormal="65" zoomScaleSheetLayoutView="55" workbookViewId="0">
      <selection activeCell="C51" sqref="C51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2.5" style="4" customWidth="1"/>
    <col min="15" max="15" width="22" style="4" customWidth="1"/>
    <col min="16" max="16384" width="9.1640625" style="4"/>
  </cols>
  <sheetData>
    <row r="1" spans="1:16" ht="31.5" x14ac:dyDescent="0.25">
      <c r="J1" s="132"/>
      <c r="K1" s="150" t="s">
        <v>466</v>
      </c>
      <c r="L1" s="150"/>
      <c r="M1" s="150"/>
      <c r="N1" s="150"/>
      <c r="O1" s="123"/>
    </row>
    <row r="2" spans="1:16" ht="31.5" x14ac:dyDescent="0.25">
      <c r="J2" s="132"/>
      <c r="K2" s="123" t="s">
        <v>455</v>
      </c>
      <c r="L2" s="123"/>
      <c r="M2" s="123"/>
      <c r="N2" s="123"/>
      <c r="O2" s="94"/>
      <c r="P2" s="34"/>
    </row>
    <row r="3" spans="1:16" ht="31.5" x14ac:dyDescent="0.25">
      <c r="J3" s="132"/>
      <c r="K3" s="152" t="s">
        <v>456</v>
      </c>
      <c r="L3" s="152"/>
      <c r="M3" s="152"/>
      <c r="N3" s="152"/>
      <c r="O3" s="152"/>
      <c r="P3" s="34"/>
    </row>
    <row r="4" spans="1:16" ht="31.5" x14ac:dyDescent="0.25">
      <c r="J4" s="132"/>
      <c r="K4" s="151" t="s">
        <v>457</v>
      </c>
      <c r="L4" s="151"/>
      <c r="M4" s="151"/>
      <c r="N4" s="151"/>
      <c r="O4" s="151"/>
      <c r="P4" s="34"/>
    </row>
    <row r="5" spans="1:16" ht="31.5" x14ac:dyDescent="0.25">
      <c r="J5" s="132"/>
      <c r="K5" s="123" t="s">
        <v>458</v>
      </c>
      <c r="L5" s="123"/>
      <c r="M5" s="123"/>
      <c r="N5" s="123"/>
      <c r="O5" s="123"/>
      <c r="P5" s="34"/>
    </row>
    <row r="6" spans="1:16" ht="31.5" x14ac:dyDescent="0.25">
      <c r="J6" s="132"/>
      <c r="K6" s="123" t="s">
        <v>459</v>
      </c>
      <c r="L6" s="123"/>
      <c r="M6" s="123"/>
      <c r="N6" s="123"/>
      <c r="O6" s="123"/>
      <c r="P6" s="34"/>
    </row>
    <row r="7" spans="1:16" ht="31.5" x14ac:dyDescent="0.25">
      <c r="J7" s="132"/>
      <c r="K7" s="123" t="s">
        <v>460</v>
      </c>
      <c r="L7" s="123"/>
      <c r="M7" s="123"/>
      <c r="N7" s="123"/>
      <c r="O7" s="123"/>
      <c r="P7" s="34"/>
    </row>
    <row r="8" spans="1:16" ht="26.25" customHeight="1" x14ac:dyDescent="0.4">
      <c r="J8" s="135"/>
      <c r="K8" s="113" t="s">
        <v>465</v>
      </c>
      <c r="L8" s="113"/>
      <c r="M8" s="113"/>
      <c r="N8" s="113"/>
      <c r="O8" s="113"/>
      <c r="P8" s="116"/>
    </row>
    <row r="9" spans="1:16" ht="26.25" customHeight="1" x14ac:dyDescent="0.25">
      <c r="J9" s="124"/>
      <c r="K9" s="124"/>
      <c r="L9" s="124"/>
      <c r="M9" s="124"/>
      <c r="N9" s="124"/>
      <c r="O9" s="124"/>
      <c r="P9" s="124"/>
    </row>
    <row r="10" spans="1:16" ht="29.25" customHeight="1" x14ac:dyDescent="0.4">
      <c r="J10" s="123"/>
      <c r="K10" s="113"/>
      <c r="L10" s="113"/>
      <c r="M10" s="113"/>
      <c r="N10" s="113"/>
      <c r="O10" s="114"/>
      <c r="P10" s="34"/>
    </row>
    <row r="11" spans="1:16" ht="65.25" customHeight="1" x14ac:dyDescent="0.25">
      <c r="A11" s="157" t="s">
        <v>436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</row>
    <row r="12" spans="1:16" ht="31.5" customHeight="1" x14ac:dyDescent="0.25">
      <c r="A12" s="159" t="s">
        <v>424</v>
      </c>
      <c r="B12" s="159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6" ht="21" customHeight="1" x14ac:dyDescent="0.25">
      <c r="A13" s="160" t="s">
        <v>445</v>
      </c>
      <c r="B13" s="160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6" s="17" customFormat="1" ht="24" customHeight="1" x14ac:dyDescent="0.3">
      <c r="A14" s="14"/>
      <c r="B14" s="15"/>
      <c r="C14" s="16"/>
      <c r="O14" s="122" t="s">
        <v>420</v>
      </c>
    </row>
    <row r="15" spans="1:16" s="82" customFormat="1" ht="21.75" customHeight="1" x14ac:dyDescent="0.25">
      <c r="A15" s="158" t="s">
        <v>398</v>
      </c>
      <c r="B15" s="158" t="s">
        <v>384</v>
      </c>
      <c r="C15" s="158" t="s">
        <v>400</v>
      </c>
      <c r="D15" s="149" t="s">
        <v>265</v>
      </c>
      <c r="E15" s="149"/>
      <c r="F15" s="149"/>
      <c r="G15" s="149"/>
      <c r="H15" s="149"/>
      <c r="I15" s="149" t="s">
        <v>266</v>
      </c>
      <c r="J15" s="149"/>
      <c r="K15" s="149"/>
      <c r="L15" s="149"/>
      <c r="M15" s="149"/>
      <c r="N15" s="149"/>
      <c r="O15" s="149" t="s">
        <v>267</v>
      </c>
    </row>
    <row r="16" spans="1:16" s="82" customFormat="1" ht="29.25" customHeight="1" x14ac:dyDescent="0.25">
      <c r="A16" s="158"/>
      <c r="B16" s="158"/>
      <c r="C16" s="158"/>
      <c r="D16" s="149" t="s">
        <v>385</v>
      </c>
      <c r="E16" s="149" t="s">
        <v>268</v>
      </c>
      <c r="F16" s="149"/>
      <c r="G16" s="149"/>
      <c r="H16" s="149" t="s">
        <v>270</v>
      </c>
      <c r="I16" s="149" t="s">
        <v>385</v>
      </c>
      <c r="J16" s="149" t="s">
        <v>386</v>
      </c>
      <c r="K16" s="149" t="s">
        <v>268</v>
      </c>
      <c r="L16" s="149" t="s">
        <v>269</v>
      </c>
      <c r="M16" s="149"/>
      <c r="N16" s="149" t="s">
        <v>270</v>
      </c>
      <c r="O16" s="149"/>
    </row>
    <row r="17" spans="1:15" s="82" customFormat="1" ht="75.75" customHeight="1" x14ac:dyDescent="0.25">
      <c r="A17" s="158"/>
      <c r="B17" s="158"/>
      <c r="C17" s="158"/>
      <c r="D17" s="149"/>
      <c r="E17" s="149"/>
      <c r="F17" s="79" t="s">
        <v>271</v>
      </c>
      <c r="G17" s="79" t="s">
        <v>272</v>
      </c>
      <c r="H17" s="149"/>
      <c r="I17" s="149"/>
      <c r="J17" s="149"/>
      <c r="K17" s="149"/>
      <c r="L17" s="79" t="s">
        <v>271</v>
      </c>
      <c r="M17" s="79" t="s">
        <v>272</v>
      </c>
      <c r="N17" s="149"/>
      <c r="O17" s="149"/>
    </row>
    <row r="18" spans="1:15" s="82" customFormat="1" ht="27.75" customHeight="1" x14ac:dyDescent="0.25">
      <c r="A18" s="7" t="s">
        <v>57</v>
      </c>
      <c r="B18" s="8"/>
      <c r="C18" s="9" t="s">
        <v>58</v>
      </c>
      <c r="D18" s="61">
        <f t="shared" ref="D18:O18" si="0">D19+D20</f>
        <v>237679000</v>
      </c>
      <c r="E18" s="61">
        <f t="shared" si="0"/>
        <v>237679000</v>
      </c>
      <c r="F18" s="61">
        <f t="shared" si="0"/>
        <v>179821400</v>
      </c>
      <c r="G18" s="61">
        <f t="shared" si="0"/>
        <v>4717900</v>
      </c>
      <c r="H18" s="61">
        <f t="shared" si="0"/>
        <v>0</v>
      </c>
      <c r="I18" s="61">
        <f t="shared" si="0"/>
        <v>4615200</v>
      </c>
      <c r="J18" s="61">
        <f t="shared" si="0"/>
        <v>1415200</v>
      </c>
      <c r="K18" s="61">
        <f t="shared" si="0"/>
        <v>3200000</v>
      </c>
      <c r="L18" s="61">
        <f t="shared" si="0"/>
        <v>2348000</v>
      </c>
      <c r="M18" s="61">
        <f t="shared" si="0"/>
        <v>90600</v>
      </c>
      <c r="N18" s="61">
        <f t="shared" si="0"/>
        <v>1415200</v>
      </c>
      <c r="O18" s="61">
        <f t="shared" si="0"/>
        <v>242294200</v>
      </c>
    </row>
    <row r="19" spans="1:15" ht="57.75" customHeight="1" x14ac:dyDescent="0.25">
      <c r="A19" s="46" t="s">
        <v>140</v>
      </c>
      <c r="B19" s="46" t="s">
        <v>60</v>
      </c>
      <c r="C19" s="6" t="s">
        <v>141</v>
      </c>
      <c r="D19" s="62">
        <f>'дод 3 '!E19+'дод 3 '!E52+'дод 3 '!E78+'дод 3 '!E95+'дод 3 '!E117+'дод 3 '!E122+'дод 3 '!E133+'дод 3 '!E158+'дод 3 '!E161+'дод 3 '!E175+'дод 3 '!E180+'дод 3 '!E183+'дод 3 '!E191</f>
        <v>237369000</v>
      </c>
      <c r="E19" s="62">
        <f>'дод 3 '!F19+'дод 3 '!F52+'дод 3 '!F78+'дод 3 '!F95+'дод 3 '!F117+'дод 3 '!F122+'дод 3 '!F133+'дод 3 '!F158+'дод 3 '!F161+'дод 3 '!F175+'дод 3 '!F180+'дод 3 '!F183+'дод 3 '!F191</f>
        <v>237369000</v>
      </c>
      <c r="F19" s="62">
        <f>'дод 3 '!G19+'дод 3 '!G52+'дод 3 '!G78+'дод 3 '!G95+'дод 3 '!G117+'дод 3 '!G122+'дод 3 '!G133+'дод 3 '!G158+'дод 3 '!G161+'дод 3 '!G175+'дод 3 '!G180+'дод 3 '!G183+'дод 3 '!G191</f>
        <v>179821400</v>
      </c>
      <c r="G19" s="62">
        <f>'дод 3 '!H19+'дод 3 '!H52+'дод 3 '!H78+'дод 3 '!H95+'дод 3 '!H117+'дод 3 '!H122+'дод 3 '!H133+'дод 3 '!H158+'дод 3 '!H161+'дод 3 '!H175+'дод 3 '!H180+'дод 3 '!H183+'дод 3 '!H191</f>
        <v>4717900</v>
      </c>
      <c r="H19" s="62">
        <f>'дод 3 '!I19+'дод 3 '!I52+'дод 3 '!I78+'дод 3 '!I95+'дод 3 '!I117+'дод 3 '!I122+'дод 3 '!I133+'дод 3 '!I158+'дод 3 '!I161+'дод 3 '!I175+'дод 3 '!I180+'дод 3 '!I183+'дод 3 '!I191</f>
        <v>0</v>
      </c>
      <c r="I19" s="62">
        <f>'дод 3 '!J19+'дод 3 '!J52+'дод 3 '!J78+'дод 3 '!J95+'дод 3 '!J117+'дод 3 '!J122+'дод 3 '!J133+'дод 3 '!J158+'дод 3 '!J161+'дод 3 '!J175+'дод 3 '!J180+'дод 3 '!J183+'дод 3 '!J191</f>
        <v>4615200</v>
      </c>
      <c r="J19" s="62">
        <f>'дод 3 '!K19+'дод 3 '!K52+'дод 3 '!K78+'дод 3 '!K95+'дод 3 '!K117+'дод 3 '!K122+'дод 3 '!K133+'дод 3 '!K158+'дод 3 '!K161+'дод 3 '!K175+'дод 3 '!K180+'дод 3 '!K183+'дод 3 '!K191</f>
        <v>1415200</v>
      </c>
      <c r="K19" s="62">
        <f>'дод 3 '!L19+'дод 3 '!L52+'дод 3 '!L78+'дод 3 '!L95+'дод 3 '!L117+'дод 3 '!L122+'дод 3 '!L133+'дод 3 '!L158+'дод 3 '!L161+'дод 3 '!L175+'дод 3 '!L180+'дод 3 '!L183+'дод 3 '!L191</f>
        <v>3200000</v>
      </c>
      <c r="L19" s="62">
        <f>'дод 3 '!M19+'дод 3 '!M52+'дод 3 '!M78+'дод 3 '!M95+'дод 3 '!M117+'дод 3 '!M122+'дод 3 '!M133+'дод 3 '!M158+'дод 3 '!M161+'дод 3 '!M175+'дод 3 '!M180+'дод 3 '!M183+'дод 3 '!M191</f>
        <v>2348000</v>
      </c>
      <c r="M19" s="62">
        <f>'дод 3 '!N19+'дод 3 '!N52+'дод 3 '!N78+'дод 3 '!N95+'дод 3 '!N117+'дод 3 '!N122+'дод 3 '!N133+'дод 3 '!N158+'дод 3 '!N161+'дод 3 '!N175+'дод 3 '!N180+'дод 3 '!N183+'дод 3 '!N191</f>
        <v>90600</v>
      </c>
      <c r="N19" s="62">
        <f>'дод 3 '!O19+'дод 3 '!O52+'дод 3 '!O78+'дод 3 '!O95+'дод 3 '!O117+'дод 3 '!O122+'дод 3 '!O133+'дод 3 '!O158+'дод 3 '!O161+'дод 3 '!O175+'дод 3 '!O180+'дод 3 '!O183+'дод 3 '!O191</f>
        <v>1415200</v>
      </c>
      <c r="O19" s="62">
        <f>'дод 3 '!P19+'дод 3 '!P52+'дод 3 '!P78+'дод 3 '!P95+'дод 3 '!P117+'дод 3 '!P122+'дод 3 '!P133+'дод 3 '!P158+'дод 3 '!P161+'дод 3 '!P175+'дод 3 '!P180+'дод 3 '!P183+'дод 3 '!P191</f>
        <v>241984200</v>
      </c>
    </row>
    <row r="20" spans="1:15" ht="27" customHeight="1" x14ac:dyDescent="0.25">
      <c r="A20" s="46" t="s">
        <v>59</v>
      </c>
      <c r="B20" s="46" t="s">
        <v>113</v>
      </c>
      <c r="C20" s="6" t="s">
        <v>284</v>
      </c>
      <c r="D20" s="62">
        <f>'дод 3 '!E20</f>
        <v>310000</v>
      </c>
      <c r="E20" s="62">
        <f>'дод 3 '!F20</f>
        <v>310000</v>
      </c>
      <c r="F20" s="62">
        <f>'дод 3 '!G20</f>
        <v>0</v>
      </c>
      <c r="G20" s="62">
        <f>'дод 3 '!H20</f>
        <v>0</v>
      </c>
      <c r="H20" s="62">
        <f>'дод 3 '!I20</f>
        <v>0</v>
      </c>
      <c r="I20" s="62">
        <f>'дод 3 '!J20</f>
        <v>0</v>
      </c>
      <c r="J20" s="62">
        <f>'дод 3 '!K20</f>
        <v>0</v>
      </c>
      <c r="K20" s="62">
        <f>'дод 3 '!L20</f>
        <v>0</v>
      </c>
      <c r="L20" s="62">
        <f>'дод 3 '!M20</f>
        <v>0</v>
      </c>
      <c r="M20" s="62">
        <f>'дод 3 '!N20</f>
        <v>0</v>
      </c>
      <c r="N20" s="62">
        <f>'дод 3 '!O20</f>
        <v>0</v>
      </c>
      <c r="O20" s="62">
        <f>'дод 3 '!P20</f>
        <v>310000</v>
      </c>
    </row>
    <row r="21" spans="1:15" s="82" customFormat="1" ht="24" customHeight="1" x14ac:dyDescent="0.25">
      <c r="A21" s="47" t="s">
        <v>61</v>
      </c>
      <c r="B21" s="48"/>
      <c r="C21" s="9" t="s">
        <v>62</v>
      </c>
      <c r="D21" s="61">
        <f>D23+D25+D27+D29+D30+D31+D33+D34+D35+D36</f>
        <v>992232889</v>
      </c>
      <c r="E21" s="61">
        <f t="shared" ref="E21:O21" si="1">E23+E25+E27+E29+E30+E31+E33+E34+E35+E36</f>
        <v>992232889</v>
      </c>
      <c r="F21" s="61">
        <f t="shared" si="1"/>
        <v>674606927</v>
      </c>
      <c r="G21" s="61">
        <f t="shared" si="1"/>
        <v>84066007</v>
      </c>
      <c r="H21" s="61">
        <f t="shared" si="1"/>
        <v>0</v>
      </c>
      <c r="I21" s="61">
        <f t="shared" si="1"/>
        <v>86094152.640000001</v>
      </c>
      <c r="J21" s="61">
        <f t="shared" si="1"/>
        <v>29998004.640000001</v>
      </c>
      <c r="K21" s="61">
        <f t="shared" si="1"/>
        <v>55986428</v>
      </c>
      <c r="L21" s="61">
        <f t="shared" si="1"/>
        <v>6476192</v>
      </c>
      <c r="M21" s="61">
        <f t="shared" si="1"/>
        <v>3124191</v>
      </c>
      <c r="N21" s="61">
        <f t="shared" si="1"/>
        <v>30107724.640000001</v>
      </c>
      <c r="O21" s="61">
        <f t="shared" si="1"/>
        <v>1078327041.6399999</v>
      </c>
    </row>
    <row r="22" spans="1:15" s="83" customFormat="1" ht="24" customHeight="1" x14ac:dyDescent="0.25">
      <c r="A22" s="47"/>
      <c r="B22" s="48"/>
      <c r="C22" s="2" t="s">
        <v>308</v>
      </c>
      <c r="D22" s="61">
        <f>+D26+D28+D32+D24+D37</f>
        <v>382256478</v>
      </c>
      <c r="E22" s="61">
        <f t="shared" ref="E22:O22" si="2">+E26+E28+E32+E24+E37</f>
        <v>382256478</v>
      </c>
      <c r="F22" s="61">
        <f t="shared" si="2"/>
        <v>307191100</v>
      </c>
      <c r="G22" s="61">
        <f t="shared" si="2"/>
        <v>0</v>
      </c>
      <c r="H22" s="61">
        <f t="shared" si="2"/>
        <v>0</v>
      </c>
      <c r="I22" s="61">
        <f t="shared" si="2"/>
        <v>1486539</v>
      </c>
      <c r="J22" s="61">
        <f t="shared" si="2"/>
        <v>1486539</v>
      </c>
      <c r="K22" s="61">
        <f t="shared" si="2"/>
        <v>0</v>
      </c>
      <c r="L22" s="61">
        <f t="shared" si="2"/>
        <v>0</v>
      </c>
      <c r="M22" s="61">
        <f t="shared" si="2"/>
        <v>0</v>
      </c>
      <c r="N22" s="61">
        <f t="shared" si="2"/>
        <v>1486539</v>
      </c>
      <c r="O22" s="61">
        <f t="shared" si="2"/>
        <v>383743017</v>
      </c>
    </row>
    <row r="23" spans="1:15" ht="27" customHeight="1" x14ac:dyDescent="0.25">
      <c r="A23" s="46" t="s">
        <v>63</v>
      </c>
      <c r="B23" s="46" t="s">
        <v>64</v>
      </c>
      <c r="C23" s="6" t="s">
        <v>171</v>
      </c>
      <c r="D23" s="62">
        <f>'дод 3 '!E53</f>
        <v>242937226</v>
      </c>
      <c r="E23" s="62">
        <f>'дод 3 '!F53</f>
        <v>242937226</v>
      </c>
      <c r="F23" s="62">
        <f>'дод 3 '!G53</f>
        <v>159483510</v>
      </c>
      <c r="G23" s="62">
        <f>'дод 3 '!H53</f>
        <v>26923940</v>
      </c>
      <c r="H23" s="62">
        <f>'дод 3 '!I53</f>
        <v>0</v>
      </c>
      <c r="I23" s="62">
        <f>'дод 3 '!J53</f>
        <v>22916603</v>
      </c>
      <c r="J23" s="62">
        <f>'дод 3 '!K53</f>
        <v>6590947</v>
      </c>
      <c r="K23" s="62">
        <f>'дод 3 '!L53</f>
        <v>16325656</v>
      </c>
      <c r="L23" s="62">
        <f>'дод 3 '!M53</f>
        <v>0</v>
      </c>
      <c r="M23" s="62">
        <f>'дод 3 '!N53</f>
        <v>0</v>
      </c>
      <c r="N23" s="62">
        <f>'дод 3 '!O53</f>
        <v>6590947</v>
      </c>
      <c r="O23" s="62">
        <f>'дод 3 '!P53</f>
        <v>265853829</v>
      </c>
    </row>
    <row r="24" spans="1:15" ht="27" customHeight="1" x14ac:dyDescent="0.25">
      <c r="A24" s="46"/>
      <c r="B24" s="46"/>
      <c r="C24" s="3" t="s">
        <v>308</v>
      </c>
      <c r="D24" s="62">
        <f>'дод 3 '!E54</f>
        <v>162879</v>
      </c>
      <c r="E24" s="62">
        <f>'дод 3 '!F54</f>
        <v>162879</v>
      </c>
      <c r="F24" s="62">
        <f>'дод 3 '!G54</f>
        <v>133510</v>
      </c>
      <c r="G24" s="62">
        <f>'дод 3 '!H54</f>
        <v>0</v>
      </c>
      <c r="H24" s="62">
        <f>'дод 3 '!I54</f>
        <v>0</v>
      </c>
      <c r="I24" s="62">
        <f>'дод 3 '!J54</f>
        <v>80600</v>
      </c>
      <c r="J24" s="62">
        <f>'дод 3 '!K54</f>
        <v>80600</v>
      </c>
      <c r="K24" s="62">
        <f>'дод 3 '!L54</f>
        <v>0</v>
      </c>
      <c r="L24" s="62">
        <f>'дод 3 '!M54</f>
        <v>0</v>
      </c>
      <c r="M24" s="62">
        <f>'дод 3 '!N54</f>
        <v>0</v>
      </c>
      <c r="N24" s="62">
        <f>'дод 3 '!O54</f>
        <v>80600</v>
      </c>
      <c r="O24" s="62">
        <f>'дод 3 '!P54</f>
        <v>243479</v>
      </c>
    </row>
    <row r="25" spans="1:15" ht="55.5" customHeight="1" x14ac:dyDescent="0.25">
      <c r="A25" s="46" t="s">
        <v>65</v>
      </c>
      <c r="B25" s="46" t="s">
        <v>66</v>
      </c>
      <c r="C25" s="6" t="s">
        <v>429</v>
      </c>
      <c r="D25" s="62">
        <f>'дод 3 '!E55</f>
        <v>541969603</v>
      </c>
      <c r="E25" s="62">
        <f>'дод 3 '!F55</f>
        <v>541969603</v>
      </c>
      <c r="F25" s="62">
        <f>'дод 3 '!G55</f>
        <v>378056547</v>
      </c>
      <c r="G25" s="62">
        <f>'дод 3 '!H55</f>
        <v>40458440</v>
      </c>
      <c r="H25" s="62">
        <f>'дод 3 '!I55</f>
        <v>0</v>
      </c>
      <c r="I25" s="62">
        <f>'дод 3 '!J55</f>
        <v>50872804.640000001</v>
      </c>
      <c r="J25" s="62">
        <f>'дод 3 '!K55</f>
        <v>21961057.640000001</v>
      </c>
      <c r="K25" s="62">
        <f>'дод 3 '!L55</f>
        <v>28911747</v>
      </c>
      <c r="L25" s="62">
        <f>'дод 3 '!M55</f>
        <v>1713303</v>
      </c>
      <c r="M25" s="62">
        <f>'дод 3 '!N55</f>
        <v>147329</v>
      </c>
      <c r="N25" s="62">
        <f>'дод 3 '!O55</f>
        <v>21961057.640000001</v>
      </c>
      <c r="O25" s="62">
        <f>'дод 3 '!P55</f>
        <v>592842407.63999999</v>
      </c>
    </row>
    <row r="26" spans="1:15" ht="28.5" customHeight="1" x14ac:dyDescent="0.25">
      <c r="A26" s="46"/>
      <c r="B26" s="46"/>
      <c r="C26" s="3" t="s">
        <v>308</v>
      </c>
      <c r="D26" s="62">
        <f>'дод 3 '!E56</f>
        <v>356817929</v>
      </c>
      <c r="E26" s="62">
        <f>'дод 3 '!F56</f>
        <v>356817929</v>
      </c>
      <c r="F26" s="62">
        <f>'дод 3 '!G56</f>
        <v>286331520</v>
      </c>
      <c r="G26" s="62">
        <f>'дод 3 '!H56</f>
        <v>0</v>
      </c>
      <c r="H26" s="62">
        <f>'дод 3 '!I56</f>
        <v>0</v>
      </c>
      <c r="I26" s="62">
        <f>'дод 3 '!J56</f>
        <v>1405939</v>
      </c>
      <c r="J26" s="62">
        <f>'дод 3 '!K56</f>
        <v>1405939</v>
      </c>
      <c r="K26" s="62">
        <f>'дод 3 '!L56</f>
        <v>0</v>
      </c>
      <c r="L26" s="62">
        <f>'дод 3 '!M56</f>
        <v>0</v>
      </c>
      <c r="M26" s="62">
        <f>'дод 3 '!N56</f>
        <v>0</v>
      </c>
      <c r="N26" s="62">
        <f>'дод 3 '!O56</f>
        <v>1405939</v>
      </c>
      <c r="O26" s="62">
        <f>'дод 3 '!P56</f>
        <v>358223868</v>
      </c>
    </row>
    <row r="27" spans="1:15" ht="75" customHeight="1" x14ac:dyDescent="0.25">
      <c r="A27" s="46">
        <v>1030</v>
      </c>
      <c r="B27" s="46" t="s">
        <v>70</v>
      </c>
      <c r="C27" s="6" t="s">
        <v>430</v>
      </c>
      <c r="D27" s="62">
        <f>'дод 3 '!E57</f>
        <v>9418880</v>
      </c>
      <c r="E27" s="62">
        <f>'дод 3 '!F57</f>
        <v>9418880</v>
      </c>
      <c r="F27" s="62">
        <f>'дод 3 '!G57</f>
        <v>6532300</v>
      </c>
      <c r="G27" s="62">
        <f>'дод 3 '!H57</f>
        <v>709270</v>
      </c>
      <c r="H27" s="62">
        <f>'дод 3 '!I57</f>
        <v>0</v>
      </c>
      <c r="I27" s="62">
        <f>'дод 3 '!J57</f>
        <v>172000</v>
      </c>
      <c r="J27" s="62">
        <f>'дод 3 '!K57</f>
        <v>172000</v>
      </c>
      <c r="K27" s="62">
        <f>'дод 3 '!L57</f>
        <v>0</v>
      </c>
      <c r="L27" s="62">
        <f>'дод 3 '!M57</f>
        <v>0</v>
      </c>
      <c r="M27" s="62">
        <f>'дод 3 '!N57</f>
        <v>0</v>
      </c>
      <c r="N27" s="62">
        <f>'дод 3 '!O57</f>
        <v>172000</v>
      </c>
      <c r="O27" s="62">
        <f>'дод 3 '!P57</f>
        <v>9590880</v>
      </c>
    </row>
    <row r="28" spans="1:15" ht="21.75" customHeight="1" x14ac:dyDescent="0.25">
      <c r="A28" s="46"/>
      <c r="B28" s="46"/>
      <c r="C28" s="3" t="s">
        <v>308</v>
      </c>
      <c r="D28" s="62">
        <f>'дод 3 '!E58</f>
        <v>6214300</v>
      </c>
      <c r="E28" s="62">
        <f>'дод 3 '!F58</f>
        <v>6214300</v>
      </c>
      <c r="F28" s="62">
        <f>'дод 3 '!G58</f>
        <v>5102000</v>
      </c>
      <c r="G28" s="62">
        <f>'дод 3 '!H58</f>
        <v>0</v>
      </c>
      <c r="H28" s="62">
        <f>'дод 3 '!I58</f>
        <v>0</v>
      </c>
      <c r="I28" s="62">
        <f>'дод 3 '!J58</f>
        <v>0</v>
      </c>
      <c r="J28" s="62">
        <f>'дод 3 '!K58</f>
        <v>0</v>
      </c>
      <c r="K28" s="62">
        <f>'дод 3 '!L58</f>
        <v>0</v>
      </c>
      <c r="L28" s="62">
        <f>'дод 3 '!M58</f>
        <v>0</v>
      </c>
      <c r="M28" s="62">
        <f>'дод 3 '!N58</f>
        <v>0</v>
      </c>
      <c r="N28" s="62">
        <f>'дод 3 '!O58</f>
        <v>0</v>
      </c>
      <c r="O28" s="62">
        <f>'дод 3 '!P58</f>
        <v>6214300</v>
      </c>
    </row>
    <row r="29" spans="1:15" ht="40.5" customHeight="1" x14ac:dyDescent="0.25">
      <c r="A29" s="46" t="s">
        <v>71</v>
      </c>
      <c r="B29" s="46" t="s">
        <v>72</v>
      </c>
      <c r="C29" s="6" t="s">
        <v>432</v>
      </c>
      <c r="D29" s="62">
        <f>'дод 3 '!E59</f>
        <v>28023440</v>
      </c>
      <c r="E29" s="62">
        <f>'дод 3 '!F59</f>
        <v>28023440</v>
      </c>
      <c r="F29" s="62">
        <f>'дод 3 '!G59</f>
        <v>19715700</v>
      </c>
      <c r="G29" s="62">
        <f>'дод 3 '!H59</f>
        <v>3358190</v>
      </c>
      <c r="H29" s="62">
        <f>'дод 3 '!I59</f>
        <v>0</v>
      </c>
      <c r="I29" s="62">
        <f>'дод 3 '!J59</f>
        <v>300000</v>
      </c>
      <c r="J29" s="62">
        <f>'дод 3 '!K59</f>
        <v>300000</v>
      </c>
      <c r="K29" s="62">
        <f>'дод 3 '!L59</f>
        <v>0</v>
      </c>
      <c r="L29" s="62">
        <f>'дод 3 '!M59</f>
        <v>0</v>
      </c>
      <c r="M29" s="62">
        <f>'дод 3 '!N59</f>
        <v>0</v>
      </c>
      <c r="N29" s="62">
        <f>'дод 3 '!O59</f>
        <v>300000</v>
      </c>
      <c r="O29" s="62">
        <f>'дод 3 '!P59</f>
        <v>28323440</v>
      </c>
    </row>
    <row r="30" spans="1:15" ht="30.75" customHeight="1" x14ac:dyDescent="0.25">
      <c r="A30" s="46" t="s">
        <v>73</v>
      </c>
      <c r="B30" s="46" t="s">
        <v>72</v>
      </c>
      <c r="C30" s="6" t="s">
        <v>433</v>
      </c>
      <c r="D30" s="62">
        <f>'дод 3 '!E123</f>
        <v>39101600</v>
      </c>
      <c r="E30" s="62">
        <f>'дод 3 '!F123</f>
        <v>39101600</v>
      </c>
      <c r="F30" s="62">
        <f>'дод 3 '!G123</f>
        <v>30830000</v>
      </c>
      <c r="G30" s="62">
        <f>'дод 3 '!H123</f>
        <v>793600</v>
      </c>
      <c r="H30" s="62">
        <f>'дод 3 '!I123</f>
        <v>0</v>
      </c>
      <c r="I30" s="62">
        <f>'дод 3 '!J123</f>
        <v>3321640</v>
      </c>
      <c r="J30" s="62">
        <f>'дод 3 '!K123</f>
        <v>542000</v>
      </c>
      <c r="K30" s="62">
        <f>'дод 3 '!L123</f>
        <v>2774920</v>
      </c>
      <c r="L30" s="62">
        <f>'дод 3 '!M123</f>
        <v>2267316</v>
      </c>
      <c r="M30" s="62">
        <f>'дод 3 '!N123</f>
        <v>0</v>
      </c>
      <c r="N30" s="62">
        <f>'дод 3 '!O123</f>
        <v>546720</v>
      </c>
      <c r="O30" s="62">
        <f>'дод 3 '!P123</f>
        <v>42423240</v>
      </c>
    </row>
    <row r="31" spans="1:15" ht="39.75" customHeight="1" x14ac:dyDescent="0.25">
      <c r="A31" s="46" t="s">
        <v>261</v>
      </c>
      <c r="B31" s="46" t="s">
        <v>74</v>
      </c>
      <c r="C31" s="6" t="s">
        <v>434</v>
      </c>
      <c r="D31" s="62">
        <f>'дод 3 '!E60</f>
        <v>116807900</v>
      </c>
      <c r="E31" s="62">
        <f>'дод 3 '!F60</f>
        <v>116807900</v>
      </c>
      <c r="F31" s="62">
        <f>'дод 3 '!G60</f>
        <v>69744500</v>
      </c>
      <c r="G31" s="62">
        <f>'дод 3 '!H60</f>
        <v>11007217</v>
      </c>
      <c r="H31" s="62">
        <f>'дод 3 '!I60</f>
        <v>0</v>
      </c>
      <c r="I31" s="62">
        <f>'дод 3 '!J60</f>
        <v>8079105</v>
      </c>
      <c r="J31" s="62">
        <f>'дод 3 '!K60</f>
        <v>0</v>
      </c>
      <c r="K31" s="62">
        <f>'дод 3 '!L60</f>
        <v>7974105</v>
      </c>
      <c r="L31" s="62">
        <f>'дод 3 '!M60</f>
        <v>2495573</v>
      </c>
      <c r="M31" s="62">
        <f>'дод 3 '!N60</f>
        <v>2976862</v>
      </c>
      <c r="N31" s="62">
        <f>'дод 3 '!O60</f>
        <v>105000</v>
      </c>
      <c r="O31" s="62">
        <f>'дод 3 '!P60</f>
        <v>124887005</v>
      </c>
    </row>
    <row r="32" spans="1:15" ht="21" customHeight="1" x14ac:dyDescent="0.25">
      <c r="A32" s="46"/>
      <c r="B32" s="46"/>
      <c r="C32" s="3" t="s">
        <v>308</v>
      </c>
      <c r="D32" s="62">
        <f>'дод 3 '!E61</f>
        <v>17825000</v>
      </c>
      <c r="E32" s="62">
        <f>'дод 3 '!F61</f>
        <v>17825000</v>
      </c>
      <c r="F32" s="62">
        <f>'дод 3 '!G61</f>
        <v>14610650</v>
      </c>
      <c r="G32" s="62">
        <f>'дод 3 '!H61</f>
        <v>0</v>
      </c>
      <c r="H32" s="62">
        <f>'дод 3 '!I61</f>
        <v>0</v>
      </c>
      <c r="I32" s="62">
        <f>'дод 3 '!J61</f>
        <v>0</v>
      </c>
      <c r="J32" s="62">
        <f>'дод 3 '!K61</f>
        <v>0</v>
      </c>
      <c r="K32" s="62">
        <f>'дод 3 '!L61</f>
        <v>0</v>
      </c>
      <c r="L32" s="62">
        <f>'дод 3 '!M61</f>
        <v>0</v>
      </c>
      <c r="M32" s="62">
        <f>'дод 3 '!N61</f>
        <v>0</v>
      </c>
      <c r="N32" s="62">
        <f>'дод 3 '!O61</f>
        <v>0</v>
      </c>
      <c r="O32" s="62">
        <f>'дод 3 '!P61</f>
        <v>17825000</v>
      </c>
    </row>
    <row r="33" spans="1:15" ht="33" customHeight="1" x14ac:dyDescent="0.25">
      <c r="A33" s="46" t="s">
        <v>142</v>
      </c>
      <c r="B33" s="46" t="s">
        <v>75</v>
      </c>
      <c r="C33" s="6" t="s">
        <v>435</v>
      </c>
      <c r="D33" s="62">
        <f>'дод 3 '!E62</f>
        <v>2893730</v>
      </c>
      <c r="E33" s="62">
        <f>'дод 3 '!F62</f>
        <v>2893730</v>
      </c>
      <c r="F33" s="62">
        <f>'дод 3 '!G62</f>
        <v>2237500</v>
      </c>
      <c r="G33" s="62">
        <f>'дод 3 '!H62</f>
        <v>120380</v>
      </c>
      <c r="H33" s="62">
        <f>'дод 3 '!I62</f>
        <v>0</v>
      </c>
      <c r="I33" s="62">
        <f>'дод 3 '!J62</f>
        <v>0</v>
      </c>
      <c r="J33" s="62">
        <f>'дод 3 '!K62</f>
        <v>0</v>
      </c>
      <c r="K33" s="62">
        <f>'дод 3 '!L62</f>
        <v>0</v>
      </c>
      <c r="L33" s="62">
        <f>'дод 3 '!M62</f>
        <v>0</v>
      </c>
      <c r="M33" s="62">
        <f>'дод 3 '!N62</f>
        <v>0</v>
      </c>
      <c r="N33" s="62">
        <f>'дод 3 '!O62</f>
        <v>0</v>
      </c>
      <c r="O33" s="62">
        <f>'дод 3 '!P62</f>
        <v>2893730</v>
      </c>
    </row>
    <row r="34" spans="1:15" ht="36" customHeight="1" x14ac:dyDescent="0.25">
      <c r="A34" s="46" t="s">
        <v>327</v>
      </c>
      <c r="B34" s="46" t="s">
        <v>75</v>
      </c>
      <c r="C34" s="6" t="s">
        <v>329</v>
      </c>
      <c r="D34" s="62">
        <f>'дод 3 '!E63</f>
        <v>9345170</v>
      </c>
      <c r="E34" s="62">
        <f>'дод 3 '!F63</f>
        <v>9345170</v>
      </c>
      <c r="F34" s="62">
        <f>'дод 3 '!G63</f>
        <v>6782550</v>
      </c>
      <c r="G34" s="62">
        <f>'дод 3 '!H63</f>
        <v>613500</v>
      </c>
      <c r="H34" s="62">
        <f>'дод 3 '!I63</f>
        <v>0</v>
      </c>
      <c r="I34" s="62">
        <f>'дод 3 '!J63</f>
        <v>432000</v>
      </c>
      <c r="J34" s="62">
        <f>'дод 3 '!K63</f>
        <v>432000</v>
      </c>
      <c r="K34" s="62">
        <f>'дод 3 '!L63</f>
        <v>0</v>
      </c>
      <c r="L34" s="62">
        <f>'дод 3 '!M63</f>
        <v>0</v>
      </c>
      <c r="M34" s="62">
        <f>'дод 3 '!N63</f>
        <v>0</v>
      </c>
      <c r="N34" s="62">
        <f>'дод 3 '!O63</f>
        <v>432000</v>
      </c>
      <c r="O34" s="62">
        <f>'дод 3 '!P63</f>
        <v>9777170</v>
      </c>
    </row>
    <row r="35" spans="1:15" ht="25.5" customHeight="1" x14ac:dyDescent="0.25">
      <c r="A35" s="46" t="s">
        <v>328</v>
      </c>
      <c r="B35" s="46" t="s">
        <v>75</v>
      </c>
      <c r="C35" s="6" t="s">
        <v>330</v>
      </c>
      <c r="D35" s="62">
        <f>'дод 3 '!E64</f>
        <v>107400</v>
      </c>
      <c r="E35" s="62">
        <f>'дод 3 '!F64</f>
        <v>107400</v>
      </c>
      <c r="F35" s="62">
        <f>'дод 3 '!G64</f>
        <v>0</v>
      </c>
      <c r="G35" s="62">
        <f>'дод 3 '!H64</f>
        <v>0</v>
      </c>
      <c r="H35" s="62">
        <f>'дод 3 '!I64</f>
        <v>0</v>
      </c>
      <c r="I35" s="62">
        <f>'дод 3 '!J64</f>
        <v>0</v>
      </c>
      <c r="J35" s="62">
        <f>'дод 3 '!K64</f>
        <v>0</v>
      </c>
      <c r="K35" s="62">
        <f>'дод 3 '!L64</f>
        <v>0</v>
      </c>
      <c r="L35" s="62">
        <f>'дод 3 '!M64</f>
        <v>0</v>
      </c>
      <c r="M35" s="62">
        <f>'дод 3 '!N64</f>
        <v>0</v>
      </c>
      <c r="N35" s="62">
        <f>'дод 3 '!O64</f>
        <v>0</v>
      </c>
      <c r="O35" s="62">
        <f>'дод 3 '!P64</f>
        <v>107400</v>
      </c>
    </row>
    <row r="36" spans="1:15" ht="25.5" customHeight="1" x14ac:dyDescent="0.25">
      <c r="A36" s="46" t="s">
        <v>391</v>
      </c>
      <c r="B36" s="46" t="s">
        <v>75</v>
      </c>
      <c r="C36" s="42" t="s">
        <v>390</v>
      </c>
      <c r="D36" s="62">
        <f>SUM('дод 3 '!E65)</f>
        <v>1627940</v>
      </c>
      <c r="E36" s="62">
        <f>SUM('дод 3 '!F65)</f>
        <v>1627940</v>
      </c>
      <c r="F36" s="62">
        <f>SUM('дод 3 '!G65)</f>
        <v>1224320</v>
      </c>
      <c r="G36" s="62">
        <f>SUM('дод 3 '!H65)</f>
        <v>81470</v>
      </c>
      <c r="H36" s="62">
        <f>SUM('дод 3 '!I65)</f>
        <v>0</v>
      </c>
      <c r="I36" s="62">
        <f>SUM('дод 3 '!J65)</f>
        <v>0</v>
      </c>
      <c r="J36" s="62">
        <f>SUM('дод 3 '!K65)</f>
        <v>0</v>
      </c>
      <c r="K36" s="62">
        <f>SUM('дод 3 '!L65)</f>
        <v>0</v>
      </c>
      <c r="L36" s="62">
        <f>SUM('дод 3 '!M65)</f>
        <v>0</v>
      </c>
      <c r="M36" s="62">
        <f>SUM('дод 3 '!N65)</f>
        <v>0</v>
      </c>
      <c r="N36" s="62">
        <f>SUM('дод 3 '!O65)</f>
        <v>0</v>
      </c>
      <c r="O36" s="62">
        <f>SUM('дод 3 '!P65)</f>
        <v>1627940</v>
      </c>
    </row>
    <row r="37" spans="1:15" ht="15.75" customHeight="1" x14ac:dyDescent="0.25">
      <c r="A37" s="46"/>
      <c r="B37" s="46"/>
      <c r="C37" s="3" t="s">
        <v>308</v>
      </c>
      <c r="D37" s="62">
        <f>'дод 3 '!E66</f>
        <v>1236370</v>
      </c>
      <c r="E37" s="62">
        <f>'дод 3 '!F66</f>
        <v>1236370</v>
      </c>
      <c r="F37" s="62">
        <f>'дод 3 '!G66</f>
        <v>1013420</v>
      </c>
      <c r="G37" s="62">
        <f>'дод 3 '!H66</f>
        <v>0</v>
      </c>
      <c r="H37" s="62">
        <f>'дод 3 '!I66</f>
        <v>0</v>
      </c>
      <c r="I37" s="62">
        <f>'дод 3 '!J66</f>
        <v>0</v>
      </c>
      <c r="J37" s="62">
        <f>'дод 3 '!K66</f>
        <v>0</v>
      </c>
      <c r="K37" s="62">
        <f>'дод 3 '!L66</f>
        <v>0</v>
      </c>
      <c r="L37" s="62">
        <f>'дод 3 '!M66</f>
        <v>0</v>
      </c>
      <c r="M37" s="62">
        <f>'дод 3 '!N66</f>
        <v>0</v>
      </c>
      <c r="N37" s="62">
        <f>'дод 3 '!O66</f>
        <v>0</v>
      </c>
      <c r="O37" s="62">
        <f>'дод 3 '!P66</f>
        <v>1236370</v>
      </c>
    </row>
    <row r="38" spans="1:15" s="82" customFormat="1" ht="19.5" customHeight="1" x14ac:dyDescent="0.25">
      <c r="A38" s="47" t="s">
        <v>76</v>
      </c>
      <c r="B38" s="48"/>
      <c r="C38" s="9" t="s">
        <v>77</v>
      </c>
      <c r="D38" s="61">
        <f>D40+D42+D44+D46+D47+D49+D50</f>
        <v>242860211</v>
      </c>
      <c r="E38" s="61">
        <f t="shared" ref="E38:O38" si="3">E40+E42+E44+E46+E47+E49+E50</f>
        <v>242860211</v>
      </c>
      <c r="F38" s="61">
        <f t="shared" si="3"/>
        <v>0</v>
      </c>
      <c r="G38" s="61">
        <f t="shared" si="3"/>
        <v>0</v>
      </c>
      <c r="H38" s="61">
        <f t="shared" si="3"/>
        <v>0</v>
      </c>
      <c r="I38" s="61">
        <f t="shared" si="3"/>
        <v>71436100</v>
      </c>
      <c r="J38" s="61">
        <f t="shared" si="3"/>
        <v>71436100</v>
      </c>
      <c r="K38" s="61">
        <f t="shared" si="3"/>
        <v>0</v>
      </c>
      <c r="L38" s="61">
        <f t="shared" si="3"/>
        <v>0</v>
      </c>
      <c r="M38" s="61">
        <f t="shared" si="3"/>
        <v>0</v>
      </c>
      <c r="N38" s="61">
        <f t="shared" si="3"/>
        <v>71436100</v>
      </c>
      <c r="O38" s="61">
        <f t="shared" si="3"/>
        <v>314296311</v>
      </c>
    </row>
    <row r="39" spans="1:15" s="82" customFormat="1" ht="23.25" customHeight="1" x14ac:dyDescent="0.25">
      <c r="A39" s="47"/>
      <c r="B39" s="48"/>
      <c r="C39" s="2" t="s">
        <v>308</v>
      </c>
      <c r="D39" s="61">
        <f>D41+D43+D45+D48</f>
        <v>57157811</v>
      </c>
      <c r="E39" s="61">
        <f t="shared" ref="E39:O39" si="4">E41+E43+E45+E48</f>
        <v>57157811</v>
      </c>
      <c r="F39" s="61">
        <f t="shared" si="4"/>
        <v>0</v>
      </c>
      <c r="G39" s="61">
        <f t="shared" si="4"/>
        <v>0</v>
      </c>
      <c r="H39" s="61">
        <f t="shared" si="4"/>
        <v>0</v>
      </c>
      <c r="I39" s="61">
        <f t="shared" si="4"/>
        <v>0</v>
      </c>
      <c r="J39" s="61">
        <f t="shared" si="4"/>
        <v>0</v>
      </c>
      <c r="K39" s="61">
        <f t="shared" si="4"/>
        <v>0</v>
      </c>
      <c r="L39" s="61">
        <f t="shared" si="4"/>
        <v>0</v>
      </c>
      <c r="M39" s="61">
        <f t="shared" si="4"/>
        <v>0</v>
      </c>
      <c r="N39" s="61">
        <f t="shared" si="4"/>
        <v>0</v>
      </c>
      <c r="O39" s="61">
        <f t="shared" si="4"/>
        <v>57157811</v>
      </c>
    </row>
    <row r="40" spans="1:15" ht="31.5" x14ac:dyDescent="0.25">
      <c r="A40" s="46" t="s">
        <v>78</v>
      </c>
      <c r="B40" s="46" t="s">
        <v>79</v>
      </c>
      <c r="C40" s="6" t="s">
        <v>38</v>
      </c>
      <c r="D40" s="62">
        <f>'дод 3 '!E79</f>
        <v>119979491</v>
      </c>
      <c r="E40" s="62">
        <f>'дод 3 '!F79</f>
        <v>119979491</v>
      </c>
      <c r="F40" s="62">
        <f>'дод 3 '!G79</f>
        <v>0</v>
      </c>
      <c r="G40" s="62">
        <f>'дод 3 '!H79</f>
        <v>0</v>
      </c>
      <c r="H40" s="62">
        <f>'дод 3 '!I79</f>
        <v>0</v>
      </c>
      <c r="I40" s="62">
        <f>'дод 3 '!J79</f>
        <v>55265500</v>
      </c>
      <c r="J40" s="62">
        <f>'дод 3 '!K79</f>
        <v>55265500</v>
      </c>
      <c r="K40" s="62">
        <f>'дод 3 '!L79</f>
        <v>0</v>
      </c>
      <c r="L40" s="62">
        <f>'дод 3 '!M79</f>
        <v>0</v>
      </c>
      <c r="M40" s="62">
        <f>'дод 3 '!N79</f>
        <v>0</v>
      </c>
      <c r="N40" s="62">
        <f>'дод 3 '!O79</f>
        <v>55265500</v>
      </c>
      <c r="O40" s="62">
        <f>'дод 3 '!P79</f>
        <v>175244991</v>
      </c>
    </row>
    <row r="41" spans="1:15" ht="15.75" customHeight="1" x14ac:dyDescent="0.25">
      <c r="A41" s="46"/>
      <c r="B41" s="46"/>
      <c r="C41" s="3" t="s">
        <v>308</v>
      </c>
      <c r="D41" s="62">
        <f>'дод 3 '!E80</f>
        <v>48187871</v>
      </c>
      <c r="E41" s="62">
        <f>'дод 3 '!F80</f>
        <v>48187871</v>
      </c>
      <c r="F41" s="62">
        <f>'дод 3 '!G80</f>
        <v>0</v>
      </c>
      <c r="G41" s="62">
        <f>'дод 3 '!H80</f>
        <v>0</v>
      </c>
      <c r="H41" s="62">
        <f>'дод 3 '!I80</f>
        <v>0</v>
      </c>
      <c r="I41" s="62">
        <f>'дод 3 '!J80</f>
        <v>0</v>
      </c>
      <c r="J41" s="62">
        <f>'дод 3 '!K80</f>
        <v>0</v>
      </c>
      <c r="K41" s="62">
        <f>'дод 3 '!L80</f>
        <v>0</v>
      </c>
      <c r="L41" s="62">
        <f>'дод 3 '!M80</f>
        <v>0</v>
      </c>
      <c r="M41" s="62">
        <f>'дод 3 '!N80</f>
        <v>0</v>
      </c>
      <c r="N41" s="62">
        <f>'дод 3 '!O80</f>
        <v>0</v>
      </c>
      <c r="O41" s="62">
        <f>'дод 3 '!P80</f>
        <v>48187871</v>
      </c>
    </row>
    <row r="42" spans="1:15" ht="42.75" customHeight="1" x14ac:dyDescent="0.25">
      <c r="A42" s="46" t="s">
        <v>143</v>
      </c>
      <c r="B42" s="46" t="s">
        <v>80</v>
      </c>
      <c r="C42" s="6" t="s">
        <v>144</v>
      </c>
      <c r="D42" s="62">
        <f>'дод 3 '!E81</f>
        <v>15420473</v>
      </c>
      <c r="E42" s="62">
        <f>'дод 3 '!F81</f>
        <v>15420473</v>
      </c>
      <c r="F42" s="62">
        <f>'дод 3 '!G81</f>
        <v>0</v>
      </c>
      <c r="G42" s="62">
        <f>'дод 3 '!H81</f>
        <v>0</v>
      </c>
      <c r="H42" s="62">
        <f>'дод 3 '!I81</f>
        <v>0</v>
      </c>
      <c r="I42" s="62">
        <f>'дод 3 '!J81</f>
        <v>15040600</v>
      </c>
      <c r="J42" s="62">
        <f>'дод 3 '!K81</f>
        <v>15040600</v>
      </c>
      <c r="K42" s="62">
        <f>'дод 3 '!L81</f>
        <v>0</v>
      </c>
      <c r="L42" s="62">
        <f>'дод 3 '!M81</f>
        <v>0</v>
      </c>
      <c r="M42" s="62">
        <f>'дод 3 '!N81</f>
        <v>0</v>
      </c>
      <c r="N42" s="62">
        <f>'дод 3 '!O81</f>
        <v>15040600</v>
      </c>
      <c r="O42" s="62">
        <f>'дод 3 '!P81</f>
        <v>30461073</v>
      </c>
    </row>
    <row r="43" spans="1:15" ht="24" customHeight="1" x14ac:dyDescent="0.25">
      <c r="A43" s="46"/>
      <c r="B43" s="46"/>
      <c r="C43" s="3" t="s">
        <v>308</v>
      </c>
      <c r="D43" s="62">
        <f>'дод 3 '!E82</f>
        <v>6347600</v>
      </c>
      <c r="E43" s="62">
        <f>'дод 3 '!F82</f>
        <v>6347600</v>
      </c>
      <c r="F43" s="62">
        <f>'дод 3 '!G82</f>
        <v>0</v>
      </c>
      <c r="G43" s="62">
        <f>'дод 3 '!H82</f>
        <v>0</v>
      </c>
      <c r="H43" s="62">
        <f>'дод 3 '!I82</f>
        <v>0</v>
      </c>
      <c r="I43" s="62">
        <f>'дод 3 '!J82</f>
        <v>0</v>
      </c>
      <c r="J43" s="62">
        <f>'дод 3 '!K82</f>
        <v>0</v>
      </c>
      <c r="K43" s="62">
        <f>'дод 3 '!L82</f>
        <v>0</v>
      </c>
      <c r="L43" s="62">
        <f>'дод 3 '!M82</f>
        <v>0</v>
      </c>
      <c r="M43" s="62">
        <f>'дод 3 '!N82</f>
        <v>0</v>
      </c>
      <c r="N43" s="62">
        <f>'дод 3 '!O82</f>
        <v>0</v>
      </c>
      <c r="O43" s="62">
        <f>'дод 3 '!P82</f>
        <v>6347600</v>
      </c>
    </row>
    <row r="44" spans="1:15" ht="25.5" customHeight="1" x14ac:dyDescent="0.25">
      <c r="A44" s="46" t="s">
        <v>145</v>
      </c>
      <c r="B44" s="46" t="s">
        <v>81</v>
      </c>
      <c r="C44" s="6" t="s">
        <v>146</v>
      </c>
      <c r="D44" s="62">
        <f>'дод 3 '!E83</f>
        <v>6663426</v>
      </c>
      <c r="E44" s="62">
        <f>'дод 3 '!F83</f>
        <v>6663426</v>
      </c>
      <c r="F44" s="62">
        <f>'дод 3 '!G83</f>
        <v>0</v>
      </c>
      <c r="G44" s="62">
        <f>'дод 3 '!H83</f>
        <v>0</v>
      </c>
      <c r="H44" s="62">
        <f>'дод 3 '!I83</f>
        <v>0</v>
      </c>
      <c r="I44" s="62">
        <f>'дод 3 '!J83</f>
        <v>1130000</v>
      </c>
      <c r="J44" s="62">
        <f>'дод 3 '!K83</f>
        <v>1130000</v>
      </c>
      <c r="K44" s="62">
        <f>'дод 3 '!L83</f>
        <v>0</v>
      </c>
      <c r="L44" s="62">
        <f>'дод 3 '!M83</f>
        <v>0</v>
      </c>
      <c r="M44" s="62">
        <f>'дод 3 '!N83</f>
        <v>0</v>
      </c>
      <c r="N44" s="62">
        <f>'дод 3 '!O83</f>
        <v>1130000</v>
      </c>
      <c r="O44" s="62">
        <f>'дод 3 '!P83</f>
        <v>7793426</v>
      </c>
    </row>
    <row r="45" spans="1:15" ht="25.5" customHeight="1" x14ac:dyDescent="0.25">
      <c r="A45" s="46"/>
      <c r="B45" s="46"/>
      <c r="C45" s="3" t="s">
        <v>308</v>
      </c>
      <c r="D45" s="62">
        <f>'дод 3 '!E84</f>
        <v>1132200</v>
      </c>
      <c r="E45" s="62">
        <f>'дод 3 '!F84</f>
        <v>1132200</v>
      </c>
      <c r="F45" s="62">
        <f>'дод 3 '!G84</f>
        <v>0</v>
      </c>
      <c r="G45" s="62">
        <f>'дод 3 '!H84</f>
        <v>0</v>
      </c>
      <c r="H45" s="62">
        <f>'дод 3 '!I84</f>
        <v>0</v>
      </c>
      <c r="I45" s="62">
        <f>'дод 3 '!J84</f>
        <v>0</v>
      </c>
      <c r="J45" s="62">
        <f>'дод 3 '!K84</f>
        <v>0</v>
      </c>
      <c r="K45" s="62">
        <f>'дод 3 '!L84</f>
        <v>0</v>
      </c>
      <c r="L45" s="62">
        <f>'дод 3 '!M84</f>
        <v>0</v>
      </c>
      <c r="M45" s="62">
        <f>'дод 3 '!N84</f>
        <v>0</v>
      </c>
      <c r="N45" s="62">
        <f>'дод 3 '!O84</f>
        <v>0</v>
      </c>
      <c r="O45" s="62">
        <f>'дод 3 '!P84</f>
        <v>1132200</v>
      </c>
    </row>
    <row r="46" spans="1:15" ht="54" customHeight="1" x14ac:dyDescent="0.25">
      <c r="A46" s="46" t="s">
        <v>147</v>
      </c>
      <c r="B46" s="46" t="s">
        <v>365</v>
      </c>
      <c r="C46" s="6" t="s">
        <v>148</v>
      </c>
      <c r="D46" s="62">
        <f>'дод 3 '!E85</f>
        <v>1882468</v>
      </c>
      <c r="E46" s="62">
        <f>'дод 3 '!F85</f>
        <v>1882468</v>
      </c>
      <c r="F46" s="62">
        <f>'дод 3 '!G85</f>
        <v>0</v>
      </c>
      <c r="G46" s="62">
        <f>'дод 3 '!H85</f>
        <v>0</v>
      </c>
      <c r="H46" s="62">
        <f>'дод 3 '!I85</f>
        <v>0</v>
      </c>
      <c r="I46" s="62">
        <f>'дод 3 '!J85</f>
        <v>0</v>
      </c>
      <c r="J46" s="62">
        <f>'дод 3 '!K85</f>
        <v>0</v>
      </c>
      <c r="K46" s="62">
        <f>'дод 3 '!L85</f>
        <v>0</v>
      </c>
      <c r="L46" s="62">
        <f>'дод 3 '!M85</f>
        <v>0</v>
      </c>
      <c r="M46" s="62">
        <f>'дод 3 '!N85</f>
        <v>0</v>
      </c>
      <c r="N46" s="62">
        <f>'дод 3 '!O85</f>
        <v>0</v>
      </c>
      <c r="O46" s="62">
        <f>'дод 3 '!P85</f>
        <v>1882468</v>
      </c>
    </row>
    <row r="47" spans="1:15" ht="36.75" customHeight="1" x14ac:dyDescent="0.25">
      <c r="A47" s="49">
        <v>2144</v>
      </c>
      <c r="B47" s="46" t="s">
        <v>82</v>
      </c>
      <c r="C47" s="6" t="s">
        <v>149</v>
      </c>
      <c r="D47" s="62">
        <f>'дод 3 '!E86</f>
        <v>3090140</v>
      </c>
      <c r="E47" s="62">
        <f>'дод 3 '!F86</f>
        <v>3090140</v>
      </c>
      <c r="F47" s="62">
        <f>'дод 3 '!G86</f>
        <v>0</v>
      </c>
      <c r="G47" s="62">
        <f>'дод 3 '!H86</f>
        <v>0</v>
      </c>
      <c r="H47" s="62">
        <f>'дод 3 '!I86</f>
        <v>0</v>
      </c>
      <c r="I47" s="62">
        <f>'дод 3 '!J86</f>
        <v>0</v>
      </c>
      <c r="J47" s="62">
        <f>'дод 3 '!K86</f>
        <v>0</v>
      </c>
      <c r="K47" s="62">
        <f>'дод 3 '!L86</f>
        <v>0</v>
      </c>
      <c r="L47" s="62">
        <f>'дод 3 '!M86</f>
        <v>0</v>
      </c>
      <c r="M47" s="62">
        <f>'дод 3 '!N86</f>
        <v>0</v>
      </c>
      <c r="N47" s="62">
        <f>'дод 3 '!O86</f>
        <v>0</v>
      </c>
      <c r="O47" s="62">
        <f>'дод 3 '!P86</f>
        <v>3090140</v>
      </c>
    </row>
    <row r="48" spans="1:15" ht="24.75" customHeight="1" x14ac:dyDescent="0.25">
      <c r="A48" s="49"/>
      <c r="B48" s="46"/>
      <c r="C48" s="3" t="s">
        <v>308</v>
      </c>
      <c r="D48" s="62">
        <f>'дод 3 '!E87</f>
        <v>1490140</v>
      </c>
      <c r="E48" s="62">
        <f>'дод 3 '!F87</f>
        <v>1490140</v>
      </c>
      <c r="F48" s="62">
        <f>'дод 3 '!G87</f>
        <v>0</v>
      </c>
      <c r="G48" s="62">
        <f>'дод 3 '!H87</f>
        <v>0</v>
      </c>
      <c r="H48" s="62">
        <f>'дод 3 '!I87</f>
        <v>0</v>
      </c>
      <c r="I48" s="62">
        <f>'дод 3 '!J87</f>
        <v>0</v>
      </c>
      <c r="J48" s="62">
        <f>'дод 3 '!K87</f>
        <v>0</v>
      </c>
      <c r="K48" s="62">
        <f>'дод 3 '!L87</f>
        <v>0</v>
      </c>
      <c r="L48" s="62">
        <f>'дод 3 '!M87</f>
        <v>0</v>
      </c>
      <c r="M48" s="62">
        <f>'дод 3 '!N87</f>
        <v>0</v>
      </c>
      <c r="N48" s="62">
        <f>'дод 3 '!O87</f>
        <v>0</v>
      </c>
      <c r="O48" s="62">
        <f>'дод 3 '!P87</f>
        <v>1490140</v>
      </c>
    </row>
    <row r="49" spans="1:15" ht="37.5" customHeight="1" x14ac:dyDescent="0.25">
      <c r="A49" s="46" t="s">
        <v>331</v>
      </c>
      <c r="B49" s="46" t="s">
        <v>82</v>
      </c>
      <c r="C49" s="3" t="s">
        <v>333</v>
      </c>
      <c r="D49" s="62">
        <f>'дод 3 '!E88</f>
        <v>2894213</v>
      </c>
      <c r="E49" s="62">
        <f>'дод 3 '!F88</f>
        <v>2894213</v>
      </c>
      <c r="F49" s="62">
        <f>'дод 3 '!G88</f>
        <v>0</v>
      </c>
      <c r="G49" s="62">
        <f>'дод 3 '!H88</f>
        <v>0</v>
      </c>
      <c r="H49" s="62">
        <f>'дод 3 '!I88</f>
        <v>0</v>
      </c>
      <c r="I49" s="62">
        <f>'дод 3 '!J88</f>
        <v>0</v>
      </c>
      <c r="J49" s="62">
        <f>'дод 3 '!K88</f>
        <v>0</v>
      </c>
      <c r="K49" s="62">
        <f>'дод 3 '!L88</f>
        <v>0</v>
      </c>
      <c r="L49" s="62">
        <f>'дод 3 '!M88</f>
        <v>0</v>
      </c>
      <c r="M49" s="62">
        <f>'дод 3 '!N88</f>
        <v>0</v>
      </c>
      <c r="N49" s="62">
        <f>'дод 3 '!O88</f>
        <v>0</v>
      </c>
      <c r="O49" s="62">
        <f>'дод 3 '!P88</f>
        <v>2894213</v>
      </c>
    </row>
    <row r="50" spans="1:15" ht="21.75" customHeight="1" x14ac:dyDescent="0.25">
      <c r="A50" s="46" t="s">
        <v>332</v>
      </c>
      <c r="B50" s="46" t="s">
        <v>82</v>
      </c>
      <c r="C50" s="3" t="s">
        <v>334</v>
      </c>
      <c r="D50" s="62">
        <f>'дод 3 '!E89</f>
        <v>92930000</v>
      </c>
      <c r="E50" s="62">
        <f>'дод 3 '!F89</f>
        <v>92930000</v>
      </c>
      <c r="F50" s="62">
        <f>'дод 3 '!G89</f>
        <v>0</v>
      </c>
      <c r="G50" s="62">
        <f>'дод 3 '!H89</f>
        <v>0</v>
      </c>
      <c r="H50" s="62">
        <f>'дод 3 '!I89</f>
        <v>0</v>
      </c>
      <c r="I50" s="62">
        <f>'дод 3 '!J89</f>
        <v>0</v>
      </c>
      <c r="J50" s="62">
        <f>'дод 3 '!K89</f>
        <v>0</v>
      </c>
      <c r="K50" s="62">
        <f>'дод 3 '!L89</f>
        <v>0</v>
      </c>
      <c r="L50" s="62">
        <f>'дод 3 '!M89</f>
        <v>0</v>
      </c>
      <c r="M50" s="62">
        <f>'дод 3 '!N89</f>
        <v>0</v>
      </c>
      <c r="N50" s="62">
        <f>'дод 3 '!O89</f>
        <v>0</v>
      </c>
      <c r="O50" s="62">
        <f>'дод 3 '!P89</f>
        <v>92930000</v>
      </c>
    </row>
    <row r="51" spans="1:15" s="82" customFormat="1" ht="34.5" customHeight="1" x14ac:dyDescent="0.25">
      <c r="A51" s="47" t="s">
        <v>83</v>
      </c>
      <c r="B51" s="50"/>
      <c r="C51" s="2" t="s">
        <v>84</v>
      </c>
      <c r="D51" s="61">
        <f>SUM(D52+D53+D54+D55+D56+D57+D58+D59+D60+D61+D62+D63+D64+D65+D66+D67+D68+D69+D70+D71+D72+D73+D74)</f>
        <v>146708581.63</v>
      </c>
      <c r="E51" s="61">
        <f t="shared" ref="E51:O51" si="5">SUM(E52+E53+E54+E55+E56+E57+E58+E59+E60+E61+E62+E63+E64+E65+E66+E67+E68+E69+E70+E71+E72+E73+E74)</f>
        <v>146708581.63</v>
      </c>
      <c r="F51" s="61">
        <f t="shared" si="5"/>
        <v>16632985</v>
      </c>
      <c r="G51" s="61">
        <f t="shared" si="5"/>
        <v>938160</v>
      </c>
      <c r="H51" s="61">
        <f t="shared" si="5"/>
        <v>0</v>
      </c>
      <c r="I51" s="61">
        <f t="shared" si="5"/>
        <v>1287640</v>
      </c>
      <c r="J51" s="61">
        <f t="shared" si="5"/>
        <v>1179540</v>
      </c>
      <c r="K51" s="61">
        <f t="shared" si="5"/>
        <v>108100</v>
      </c>
      <c r="L51" s="61">
        <f t="shared" si="5"/>
        <v>85100</v>
      </c>
      <c r="M51" s="61">
        <f t="shared" si="5"/>
        <v>0</v>
      </c>
      <c r="N51" s="61">
        <f t="shared" si="5"/>
        <v>1179540</v>
      </c>
      <c r="O51" s="61">
        <f t="shared" si="5"/>
        <v>147996221.63</v>
      </c>
    </row>
    <row r="52" spans="1:15" ht="45" customHeight="1" x14ac:dyDescent="0.25">
      <c r="A52" s="46" t="s">
        <v>118</v>
      </c>
      <c r="B52" s="46" t="s">
        <v>67</v>
      </c>
      <c r="C52" s="3" t="s">
        <v>150</v>
      </c>
      <c r="D52" s="62">
        <f>'дод 3 '!E96</f>
        <v>582400</v>
      </c>
      <c r="E52" s="62">
        <f>'дод 3 '!F96</f>
        <v>582400</v>
      </c>
      <c r="F52" s="62">
        <f>'дод 3 '!G96</f>
        <v>0</v>
      </c>
      <c r="G52" s="62">
        <f>'дод 3 '!H96</f>
        <v>0</v>
      </c>
      <c r="H52" s="62">
        <f>'дод 3 '!I96</f>
        <v>0</v>
      </c>
      <c r="I52" s="62">
        <f>'дод 3 '!J96</f>
        <v>0</v>
      </c>
      <c r="J52" s="62">
        <f>'дод 3 '!K96</f>
        <v>0</v>
      </c>
      <c r="K52" s="62">
        <f>'дод 3 '!L96</f>
        <v>0</v>
      </c>
      <c r="L52" s="62">
        <f>'дод 3 '!M96</f>
        <v>0</v>
      </c>
      <c r="M52" s="62">
        <f>'дод 3 '!N96</f>
        <v>0</v>
      </c>
      <c r="N52" s="62">
        <f>'дод 3 '!O96</f>
        <v>0</v>
      </c>
      <c r="O52" s="62">
        <f>'дод 3 '!P96</f>
        <v>582400</v>
      </c>
    </row>
    <row r="53" spans="1:15" ht="41.25" customHeight="1" x14ac:dyDescent="0.25">
      <c r="A53" s="46" t="s">
        <v>151</v>
      </c>
      <c r="B53" s="46" t="s">
        <v>69</v>
      </c>
      <c r="C53" s="3" t="s">
        <v>423</v>
      </c>
      <c r="D53" s="62">
        <f>'дод 3 '!E97</f>
        <v>1300000</v>
      </c>
      <c r="E53" s="62">
        <f>'дод 3 '!F97</f>
        <v>1300000</v>
      </c>
      <c r="F53" s="62">
        <f>'дод 3 '!G97</f>
        <v>0</v>
      </c>
      <c r="G53" s="62">
        <f>'дод 3 '!H97</f>
        <v>0</v>
      </c>
      <c r="H53" s="62">
        <f>'дод 3 '!I97</f>
        <v>0</v>
      </c>
      <c r="I53" s="62">
        <f>'дод 3 '!J97</f>
        <v>0</v>
      </c>
      <c r="J53" s="62">
        <f>'дод 3 '!K97</f>
        <v>0</v>
      </c>
      <c r="K53" s="62">
        <f>'дод 3 '!L97</f>
        <v>0</v>
      </c>
      <c r="L53" s="62">
        <f>'дод 3 '!M97</f>
        <v>0</v>
      </c>
      <c r="M53" s="62">
        <f>'дод 3 '!N97</f>
        <v>0</v>
      </c>
      <c r="N53" s="62">
        <f>'дод 3 '!O97</f>
        <v>0</v>
      </c>
      <c r="O53" s="62">
        <f>'дод 3 '!P97</f>
        <v>1300000</v>
      </c>
    </row>
    <row r="54" spans="1:15" ht="54.75" customHeight="1" x14ac:dyDescent="0.25">
      <c r="A54" s="46" t="s">
        <v>119</v>
      </c>
      <c r="B54" s="46" t="s">
        <v>69</v>
      </c>
      <c r="C54" s="3" t="s">
        <v>55</v>
      </c>
      <c r="D54" s="62">
        <f>'дод 3 '!E98+'дод 3 '!E21</f>
        <v>26945963.129999999</v>
      </c>
      <c r="E54" s="62">
        <f>'дод 3 '!F98+'дод 3 '!F21</f>
        <v>26945963.129999999</v>
      </c>
      <c r="F54" s="62">
        <f>'дод 3 '!G98+'дод 3 '!G21</f>
        <v>0</v>
      </c>
      <c r="G54" s="62">
        <f>'дод 3 '!H98+'дод 3 '!H21</f>
        <v>0</v>
      </c>
      <c r="H54" s="62">
        <f>'дод 3 '!I98+'дод 3 '!I21</f>
        <v>0</v>
      </c>
      <c r="I54" s="62">
        <f>'дод 3 '!J98+'дод 3 '!J21</f>
        <v>0</v>
      </c>
      <c r="J54" s="62">
        <f>'дод 3 '!K98+'дод 3 '!K21</f>
        <v>0</v>
      </c>
      <c r="K54" s="62">
        <f>'дод 3 '!L98+'дод 3 '!L21</f>
        <v>0</v>
      </c>
      <c r="L54" s="62">
        <f>'дод 3 '!M98+'дод 3 '!M21</f>
        <v>0</v>
      </c>
      <c r="M54" s="62">
        <f>'дод 3 '!N98+'дод 3 '!N21</f>
        <v>0</v>
      </c>
      <c r="N54" s="62">
        <f>'дод 3 '!O98+'дод 3 '!O21</f>
        <v>0</v>
      </c>
      <c r="O54" s="62">
        <f>'дод 3 '!P98+'дод 3 '!P21</f>
        <v>26945963.129999999</v>
      </c>
    </row>
    <row r="55" spans="1:15" ht="46.5" customHeight="1" x14ac:dyDescent="0.25">
      <c r="A55" s="46" t="s">
        <v>380</v>
      </c>
      <c r="B55" s="46" t="s">
        <v>69</v>
      </c>
      <c r="C55" s="3" t="s">
        <v>379</v>
      </c>
      <c r="D55" s="62">
        <f>'дод 3 '!E99</f>
        <v>1000000</v>
      </c>
      <c r="E55" s="62">
        <f>'дод 3 '!F99</f>
        <v>1000000</v>
      </c>
      <c r="F55" s="62">
        <f>'дод 3 '!G99</f>
        <v>0</v>
      </c>
      <c r="G55" s="62">
        <f>'дод 3 '!H99</f>
        <v>0</v>
      </c>
      <c r="H55" s="62">
        <f>'дод 3 '!I99</f>
        <v>0</v>
      </c>
      <c r="I55" s="62">
        <f>'дод 3 '!J99</f>
        <v>0</v>
      </c>
      <c r="J55" s="62">
        <f>'дод 3 '!K99</f>
        <v>0</v>
      </c>
      <c r="K55" s="62">
        <f>'дод 3 '!L99</f>
        <v>0</v>
      </c>
      <c r="L55" s="62">
        <f>'дод 3 '!M99</f>
        <v>0</v>
      </c>
      <c r="M55" s="62">
        <f>'дод 3 '!N99</f>
        <v>0</v>
      </c>
      <c r="N55" s="62">
        <f>'дод 3 '!O99</f>
        <v>0</v>
      </c>
      <c r="O55" s="62">
        <f>'дод 3 '!P99</f>
        <v>1000000</v>
      </c>
    </row>
    <row r="56" spans="1:15" ht="45" customHeight="1" x14ac:dyDescent="0.25">
      <c r="A56" s="46" t="s">
        <v>152</v>
      </c>
      <c r="B56" s="46" t="s">
        <v>69</v>
      </c>
      <c r="C56" s="3" t="s">
        <v>25</v>
      </c>
      <c r="D56" s="62">
        <f>'дод 3 '!E100+'дод 3 '!E22</f>
        <v>41548280.5</v>
      </c>
      <c r="E56" s="62">
        <f>'дод 3 '!F100+'дод 3 '!F22</f>
        <v>41548280.5</v>
      </c>
      <c r="F56" s="62">
        <f>'дод 3 '!G100+'дод 3 '!G22</f>
        <v>0</v>
      </c>
      <c r="G56" s="62">
        <f>'дод 3 '!H100+'дод 3 '!H22</f>
        <v>0</v>
      </c>
      <c r="H56" s="62">
        <f>'дод 3 '!I100+'дод 3 '!I22</f>
        <v>0</v>
      </c>
      <c r="I56" s="62">
        <f>'дод 3 '!J100+'дод 3 '!J22</f>
        <v>0</v>
      </c>
      <c r="J56" s="62">
        <f>'дод 3 '!K100+'дод 3 '!K22</f>
        <v>0</v>
      </c>
      <c r="K56" s="62">
        <f>'дод 3 '!L100+'дод 3 '!L22</f>
        <v>0</v>
      </c>
      <c r="L56" s="62">
        <f>'дод 3 '!M100+'дод 3 '!M22</f>
        <v>0</v>
      </c>
      <c r="M56" s="62">
        <f>'дод 3 '!N100+'дод 3 '!N22</f>
        <v>0</v>
      </c>
      <c r="N56" s="62">
        <f>'дод 3 '!O100+'дод 3 '!O22</f>
        <v>0</v>
      </c>
      <c r="O56" s="62">
        <f>'дод 3 '!P100+'дод 3 '!P22</f>
        <v>41548280.5</v>
      </c>
    </row>
    <row r="57" spans="1:15" ht="40.5" customHeight="1" x14ac:dyDescent="0.25">
      <c r="A57" s="46" t="s">
        <v>121</v>
      </c>
      <c r="B57" s="46" t="s">
        <v>69</v>
      </c>
      <c r="C57" s="3" t="s">
        <v>41</v>
      </c>
      <c r="D57" s="62">
        <f>'дод 3 '!E101</f>
        <v>853000</v>
      </c>
      <c r="E57" s="62">
        <f>'дод 3 '!F101</f>
        <v>853000</v>
      </c>
      <c r="F57" s="62">
        <f>'дод 3 '!G101</f>
        <v>0</v>
      </c>
      <c r="G57" s="62">
        <f>'дод 3 '!H101</f>
        <v>0</v>
      </c>
      <c r="H57" s="62">
        <f>'дод 3 '!I101</f>
        <v>0</v>
      </c>
      <c r="I57" s="62">
        <f>'дод 3 '!J101</f>
        <v>0</v>
      </c>
      <c r="J57" s="62">
        <f>'дод 3 '!K101</f>
        <v>0</v>
      </c>
      <c r="K57" s="62">
        <f>'дод 3 '!L101</f>
        <v>0</v>
      </c>
      <c r="L57" s="62">
        <f>'дод 3 '!M101</f>
        <v>0</v>
      </c>
      <c r="M57" s="62">
        <f>'дод 3 '!N101</f>
        <v>0</v>
      </c>
      <c r="N57" s="62">
        <f>'дод 3 '!O101</f>
        <v>0</v>
      </c>
      <c r="O57" s="62">
        <f>'дод 3 '!P101</f>
        <v>853000</v>
      </c>
    </row>
    <row r="58" spans="1:15" ht="40.5" customHeight="1" x14ac:dyDescent="0.25">
      <c r="A58" s="46" t="s">
        <v>368</v>
      </c>
      <c r="B58" s="46" t="s">
        <v>67</v>
      </c>
      <c r="C58" s="3" t="s">
        <v>369</v>
      </c>
      <c r="D58" s="62">
        <f>'дод 3 '!E102</f>
        <v>228400</v>
      </c>
      <c r="E58" s="62">
        <f>'дод 3 '!F102</f>
        <v>228400</v>
      </c>
      <c r="F58" s="62">
        <f>'дод 3 '!G102</f>
        <v>0</v>
      </c>
      <c r="G58" s="62">
        <f>'дод 3 '!H102</f>
        <v>0</v>
      </c>
      <c r="H58" s="62">
        <f>'дод 3 '!I102</f>
        <v>0</v>
      </c>
      <c r="I58" s="62">
        <f>'дод 3 '!J102</f>
        <v>0</v>
      </c>
      <c r="J58" s="62">
        <f>'дод 3 '!K102</f>
        <v>0</v>
      </c>
      <c r="K58" s="62">
        <f>'дод 3 '!L102</f>
        <v>0</v>
      </c>
      <c r="L58" s="62">
        <f>'дод 3 '!M102</f>
        <v>0</v>
      </c>
      <c r="M58" s="62">
        <f>'дод 3 '!N102</f>
        <v>0</v>
      </c>
      <c r="N58" s="62">
        <f>'дод 3 '!O102</f>
        <v>0</v>
      </c>
      <c r="O58" s="62">
        <f>'дод 3 '!P102</f>
        <v>228400</v>
      </c>
    </row>
    <row r="59" spans="1:15" ht="74.25" customHeight="1" x14ac:dyDescent="0.25">
      <c r="A59" s="46" t="s">
        <v>122</v>
      </c>
      <c r="B59" s="46" t="s">
        <v>65</v>
      </c>
      <c r="C59" s="3" t="s">
        <v>42</v>
      </c>
      <c r="D59" s="62">
        <f>'дод 3 '!E103</f>
        <v>13559330</v>
      </c>
      <c r="E59" s="62">
        <f>'дод 3 '!F103</f>
        <v>13559330</v>
      </c>
      <c r="F59" s="62">
        <f>'дод 3 '!G103</f>
        <v>10389550</v>
      </c>
      <c r="G59" s="62">
        <f>'дод 3 '!H103</f>
        <v>230060</v>
      </c>
      <c r="H59" s="62">
        <f>'дод 3 '!I103</f>
        <v>0</v>
      </c>
      <c r="I59" s="62">
        <f>'дод 3 '!J103</f>
        <v>471000</v>
      </c>
      <c r="J59" s="62">
        <f>'дод 3 '!K103</f>
        <v>362900</v>
      </c>
      <c r="K59" s="62">
        <f>'дод 3 '!L103</f>
        <v>108100</v>
      </c>
      <c r="L59" s="62">
        <f>'дод 3 '!M103</f>
        <v>85100</v>
      </c>
      <c r="M59" s="62">
        <f>'дод 3 '!N103</f>
        <v>0</v>
      </c>
      <c r="N59" s="62">
        <f>'дод 3 '!O103</f>
        <v>362900</v>
      </c>
      <c r="O59" s="62">
        <f>'дод 3 '!P103</f>
        <v>14030330</v>
      </c>
    </row>
    <row r="60" spans="1:15" ht="69.75" customHeight="1" x14ac:dyDescent="0.25">
      <c r="A60" s="46" t="s">
        <v>392</v>
      </c>
      <c r="B60" s="46" t="s">
        <v>120</v>
      </c>
      <c r="C60" s="42" t="s">
        <v>393</v>
      </c>
      <c r="D60" s="62">
        <f>SUM('дод 3 '!E118)</f>
        <v>0</v>
      </c>
      <c r="E60" s="62">
        <f>SUM('дод 3 '!F118)</f>
        <v>0</v>
      </c>
      <c r="F60" s="62">
        <f>SUM('дод 3 '!G118)</f>
        <v>0</v>
      </c>
      <c r="G60" s="62">
        <f>SUM('дод 3 '!H118)</f>
        <v>0</v>
      </c>
      <c r="H60" s="62">
        <f>SUM('дод 3 '!I118)</f>
        <v>0</v>
      </c>
      <c r="I60" s="62">
        <f>SUM('дод 3 '!J118)</f>
        <v>20000</v>
      </c>
      <c r="J60" s="62">
        <f>SUM('дод 3 '!K118)</f>
        <v>20000</v>
      </c>
      <c r="K60" s="62">
        <f>SUM('дод 3 '!L118)</f>
        <v>0</v>
      </c>
      <c r="L60" s="62">
        <f>SUM('дод 3 '!M118)</f>
        <v>0</v>
      </c>
      <c r="M60" s="62">
        <f>SUM('дод 3 '!N118)</f>
        <v>0</v>
      </c>
      <c r="N60" s="62">
        <f>SUM('дод 3 '!O118)</f>
        <v>20000</v>
      </c>
      <c r="O60" s="62">
        <f>SUM('дод 3 '!P118)</f>
        <v>20000</v>
      </c>
    </row>
    <row r="61" spans="1:15" s="84" customFormat="1" ht="43.5" customHeight="1" x14ac:dyDescent="0.25">
      <c r="A61" s="46" t="s">
        <v>123</v>
      </c>
      <c r="B61" s="46" t="s">
        <v>120</v>
      </c>
      <c r="C61" s="3" t="s">
        <v>43</v>
      </c>
      <c r="D61" s="62">
        <f>'дод 3 '!E119</f>
        <v>90500</v>
      </c>
      <c r="E61" s="62">
        <f>'дод 3 '!F119</f>
        <v>90500</v>
      </c>
      <c r="F61" s="62">
        <f>'дод 3 '!G119</f>
        <v>0</v>
      </c>
      <c r="G61" s="62">
        <f>'дод 3 '!H119</f>
        <v>0</v>
      </c>
      <c r="H61" s="62">
        <f>'дод 3 '!I119</f>
        <v>0</v>
      </c>
      <c r="I61" s="62">
        <f>'дод 3 '!J119</f>
        <v>0</v>
      </c>
      <c r="J61" s="62">
        <f>'дод 3 '!K119</f>
        <v>0</v>
      </c>
      <c r="K61" s="62">
        <f>'дод 3 '!L119</f>
        <v>0</v>
      </c>
      <c r="L61" s="62">
        <f>'дод 3 '!M119</f>
        <v>0</v>
      </c>
      <c r="M61" s="62">
        <f>'дод 3 '!N119</f>
        <v>0</v>
      </c>
      <c r="N61" s="62">
        <f>'дод 3 '!O119</f>
        <v>0</v>
      </c>
      <c r="O61" s="62">
        <f>'дод 3 '!P119</f>
        <v>90500</v>
      </c>
    </row>
    <row r="62" spans="1:15" s="84" customFormat="1" ht="42.75" customHeight="1" x14ac:dyDescent="0.25">
      <c r="A62" s="46" t="s">
        <v>153</v>
      </c>
      <c r="B62" s="46" t="s">
        <v>120</v>
      </c>
      <c r="C62" s="3" t="s">
        <v>154</v>
      </c>
      <c r="D62" s="62">
        <f>'дод 3 '!E23</f>
        <v>2529735</v>
      </c>
      <c r="E62" s="62">
        <f>'дод 3 '!F23</f>
        <v>2529735</v>
      </c>
      <c r="F62" s="62">
        <f>'дод 3 '!G23</f>
        <v>1883250</v>
      </c>
      <c r="G62" s="62">
        <f>'дод 3 '!H23</f>
        <v>50170</v>
      </c>
      <c r="H62" s="62">
        <f>'дод 3 '!I23</f>
        <v>0</v>
      </c>
      <c r="I62" s="62">
        <f>'дод 3 '!J23</f>
        <v>0</v>
      </c>
      <c r="J62" s="62">
        <f>'дод 3 '!K23</f>
        <v>0</v>
      </c>
      <c r="K62" s="62">
        <f>'дод 3 '!L23</f>
        <v>0</v>
      </c>
      <c r="L62" s="62">
        <f>'дод 3 '!M23</f>
        <v>0</v>
      </c>
      <c r="M62" s="62">
        <f>'дод 3 '!N23</f>
        <v>0</v>
      </c>
      <c r="N62" s="62">
        <f>'дод 3 '!O23</f>
        <v>0</v>
      </c>
      <c r="O62" s="62">
        <f>'дод 3 '!P23</f>
        <v>2529735</v>
      </c>
    </row>
    <row r="63" spans="1:15" s="84" customFormat="1" ht="57" customHeight="1" x14ac:dyDescent="0.25">
      <c r="A63" s="49" t="s">
        <v>127</v>
      </c>
      <c r="B63" s="49" t="s">
        <v>120</v>
      </c>
      <c r="C63" s="3" t="s">
        <v>401</v>
      </c>
      <c r="D63" s="62">
        <f>'дод 3 '!E24</f>
        <v>850000</v>
      </c>
      <c r="E63" s="62">
        <f>'дод 3 '!F24</f>
        <v>850000</v>
      </c>
      <c r="F63" s="62">
        <f>'дод 3 '!G24</f>
        <v>0</v>
      </c>
      <c r="G63" s="62">
        <f>'дод 3 '!H24</f>
        <v>0</v>
      </c>
      <c r="H63" s="62">
        <f>'дод 3 '!I24</f>
        <v>0</v>
      </c>
      <c r="I63" s="62">
        <f>'дод 3 '!J24</f>
        <v>0</v>
      </c>
      <c r="J63" s="62">
        <f>'дод 3 '!K24</f>
        <v>0</v>
      </c>
      <c r="K63" s="62">
        <f>'дод 3 '!L24</f>
        <v>0</v>
      </c>
      <c r="L63" s="62">
        <f>'дод 3 '!M24</f>
        <v>0</v>
      </c>
      <c r="M63" s="62">
        <f>'дод 3 '!N24</f>
        <v>0</v>
      </c>
      <c r="N63" s="62">
        <f>'дод 3 '!O24</f>
        <v>0</v>
      </c>
      <c r="O63" s="62">
        <f>'дод 3 '!P24</f>
        <v>850000</v>
      </c>
    </row>
    <row r="64" spans="1:15" ht="75" customHeight="1" x14ac:dyDescent="0.25">
      <c r="A64" s="46" t="s">
        <v>128</v>
      </c>
      <c r="B64" s="46" t="s">
        <v>120</v>
      </c>
      <c r="C64" s="6" t="s">
        <v>28</v>
      </c>
      <c r="D64" s="62">
        <f>'дод 3 '!E67+'дод 3 '!E25</f>
        <v>7560000</v>
      </c>
      <c r="E64" s="62">
        <f>'дод 3 '!F67+'дод 3 '!F25</f>
        <v>7560000</v>
      </c>
      <c r="F64" s="62">
        <f>'дод 3 '!G67+'дод 3 '!G25</f>
        <v>0</v>
      </c>
      <c r="G64" s="62">
        <f>'дод 3 '!H67+'дод 3 '!H25</f>
        <v>0</v>
      </c>
      <c r="H64" s="62">
        <f>'дод 3 '!I67+'дод 3 '!I25</f>
        <v>0</v>
      </c>
      <c r="I64" s="62">
        <f>'дод 3 '!J67+'дод 3 '!J25</f>
        <v>0</v>
      </c>
      <c r="J64" s="62">
        <f>'дод 3 '!K67+'дод 3 '!K25</f>
        <v>0</v>
      </c>
      <c r="K64" s="62">
        <f>'дод 3 '!L67+'дод 3 '!L25</f>
        <v>0</v>
      </c>
      <c r="L64" s="62">
        <f>'дод 3 '!M67+'дод 3 '!M25</f>
        <v>0</v>
      </c>
      <c r="M64" s="62">
        <f>'дод 3 '!N67+'дод 3 '!N25</f>
        <v>0</v>
      </c>
      <c r="N64" s="62">
        <f>'дод 3 '!O67+'дод 3 '!O25</f>
        <v>0</v>
      </c>
      <c r="O64" s="62">
        <f>'дод 3 '!P67+'дод 3 '!P25</f>
        <v>7560000</v>
      </c>
    </row>
    <row r="65" spans="1:15" ht="92.25" customHeight="1" x14ac:dyDescent="0.25">
      <c r="A65" s="46" t="s">
        <v>129</v>
      </c>
      <c r="B65" s="46">
        <v>1010</v>
      </c>
      <c r="C65" s="3" t="s">
        <v>335</v>
      </c>
      <c r="D65" s="62">
        <f>'дод 3 '!E104</f>
        <v>1911000</v>
      </c>
      <c r="E65" s="62">
        <f>'дод 3 '!F104</f>
        <v>1911000</v>
      </c>
      <c r="F65" s="62">
        <f>'дод 3 '!G104</f>
        <v>0</v>
      </c>
      <c r="G65" s="62">
        <f>'дод 3 '!H104</f>
        <v>0</v>
      </c>
      <c r="H65" s="62">
        <f>'дод 3 '!I104</f>
        <v>0</v>
      </c>
      <c r="I65" s="62">
        <f>'дод 3 '!J104</f>
        <v>0</v>
      </c>
      <c r="J65" s="62">
        <f>'дод 3 '!K104</f>
        <v>0</v>
      </c>
      <c r="K65" s="62">
        <f>'дод 3 '!L104</f>
        <v>0</v>
      </c>
      <c r="L65" s="62">
        <f>'дод 3 '!M104</f>
        <v>0</v>
      </c>
      <c r="M65" s="62">
        <f>'дод 3 '!N104</f>
        <v>0</v>
      </c>
      <c r="N65" s="62">
        <f>'дод 3 '!O104</f>
        <v>0</v>
      </c>
      <c r="O65" s="62">
        <f>'дод 3 '!P104</f>
        <v>1911000</v>
      </c>
    </row>
    <row r="66" spans="1:15" s="84" customFormat="1" ht="53.25" customHeight="1" x14ac:dyDescent="0.25">
      <c r="A66" s="46" t="s">
        <v>370</v>
      </c>
      <c r="B66" s="46">
        <v>1010</v>
      </c>
      <c r="C66" s="3" t="s">
        <v>372</v>
      </c>
      <c r="D66" s="62">
        <f>'дод 3 '!E105</f>
        <v>228095</v>
      </c>
      <c r="E66" s="62">
        <f>'дод 3 '!F105</f>
        <v>228095</v>
      </c>
      <c r="F66" s="62">
        <f>'дод 3 '!G105</f>
        <v>0</v>
      </c>
      <c r="G66" s="62">
        <f>'дод 3 '!H105</f>
        <v>0</v>
      </c>
      <c r="H66" s="62">
        <f>'дод 3 '!I105</f>
        <v>0</v>
      </c>
      <c r="I66" s="62">
        <f>'дод 3 '!J105</f>
        <v>0</v>
      </c>
      <c r="J66" s="62">
        <f>'дод 3 '!K105</f>
        <v>0</v>
      </c>
      <c r="K66" s="62">
        <f>'дод 3 '!L105</f>
        <v>0</v>
      </c>
      <c r="L66" s="62">
        <f>'дод 3 '!M105</f>
        <v>0</v>
      </c>
      <c r="M66" s="62">
        <f>'дод 3 '!N105</f>
        <v>0</v>
      </c>
      <c r="N66" s="62">
        <f>'дод 3 '!O105</f>
        <v>0</v>
      </c>
      <c r="O66" s="62">
        <f>'дод 3 '!P105</f>
        <v>228095</v>
      </c>
    </row>
    <row r="67" spans="1:15" s="84" customFormat="1" ht="38.25" customHeight="1" x14ac:dyDescent="0.25">
      <c r="A67" s="46" t="s">
        <v>371</v>
      </c>
      <c r="B67" s="46">
        <v>1010</v>
      </c>
      <c r="C67" s="3" t="s">
        <v>373</v>
      </c>
      <c r="D67" s="62">
        <f>'дод 3 '!E106</f>
        <v>90</v>
      </c>
      <c r="E67" s="62">
        <f>'дод 3 '!F106</f>
        <v>90</v>
      </c>
      <c r="F67" s="62">
        <f>'дод 3 '!G106</f>
        <v>0</v>
      </c>
      <c r="G67" s="62">
        <f>'дод 3 '!H106</f>
        <v>0</v>
      </c>
      <c r="H67" s="62">
        <f>'дод 3 '!I106</f>
        <v>0</v>
      </c>
      <c r="I67" s="62">
        <f>'дод 3 '!J106</f>
        <v>0</v>
      </c>
      <c r="J67" s="62">
        <f>'дод 3 '!K106</f>
        <v>0</v>
      </c>
      <c r="K67" s="62">
        <f>'дод 3 '!L106</f>
        <v>0</v>
      </c>
      <c r="L67" s="62">
        <f>'дод 3 '!M106</f>
        <v>0</v>
      </c>
      <c r="M67" s="62">
        <f>'дод 3 '!N106</f>
        <v>0</v>
      </c>
      <c r="N67" s="62">
        <f>'дод 3 '!O106</f>
        <v>0</v>
      </c>
      <c r="O67" s="62">
        <f>'дод 3 '!P106</f>
        <v>90</v>
      </c>
    </row>
    <row r="68" spans="1:15" ht="77.25" customHeight="1" x14ac:dyDescent="0.25">
      <c r="A68" s="46" t="s">
        <v>124</v>
      </c>
      <c r="B68" s="46" t="s">
        <v>68</v>
      </c>
      <c r="C68" s="3" t="s">
        <v>402</v>
      </c>
      <c r="D68" s="62">
        <f>'дод 3 '!E107</f>
        <v>2075000</v>
      </c>
      <c r="E68" s="62">
        <f>'дод 3 '!F107</f>
        <v>2075000</v>
      </c>
      <c r="F68" s="62">
        <f>'дод 3 '!G107</f>
        <v>0</v>
      </c>
      <c r="G68" s="62">
        <f>'дод 3 '!H107</f>
        <v>0</v>
      </c>
      <c r="H68" s="62">
        <f>'дод 3 '!I107</f>
        <v>0</v>
      </c>
      <c r="I68" s="62">
        <f>'дод 3 '!J107</f>
        <v>0</v>
      </c>
      <c r="J68" s="62">
        <f>'дод 3 '!K107</f>
        <v>0</v>
      </c>
      <c r="K68" s="62">
        <f>'дод 3 '!L107</f>
        <v>0</v>
      </c>
      <c r="L68" s="62">
        <f>'дод 3 '!M107</f>
        <v>0</v>
      </c>
      <c r="M68" s="62">
        <f>'дод 3 '!N107</f>
        <v>0</v>
      </c>
      <c r="N68" s="62">
        <f>'дод 3 '!O107</f>
        <v>0</v>
      </c>
      <c r="O68" s="62">
        <f>'дод 3 '!P107</f>
        <v>2075000</v>
      </c>
    </row>
    <row r="69" spans="1:15" s="84" customFormat="1" ht="36.75" customHeight="1" x14ac:dyDescent="0.25">
      <c r="A69" s="46" t="s">
        <v>336</v>
      </c>
      <c r="B69" s="46" t="s">
        <v>67</v>
      </c>
      <c r="C69" s="3" t="s">
        <v>24</v>
      </c>
      <c r="D69" s="62">
        <f>'дод 3 '!E108</f>
        <v>2178000</v>
      </c>
      <c r="E69" s="62">
        <f>'дод 3 '!F108</f>
        <v>2178000</v>
      </c>
      <c r="F69" s="62">
        <f>'дод 3 '!G108</f>
        <v>0</v>
      </c>
      <c r="G69" s="62">
        <f>'дод 3 '!H108</f>
        <v>0</v>
      </c>
      <c r="H69" s="62">
        <f>'дод 3 '!I108</f>
        <v>0</v>
      </c>
      <c r="I69" s="62">
        <f>'дод 3 '!J108</f>
        <v>0</v>
      </c>
      <c r="J69" s="62">
        <f>'дод 3 '!K108</f>
        <v>0</v>
      </c>
      <c r="K69" s="62">
        <f>'дод 3 '!L108</f>
        <v>0</v>
      </c>
      <c r="L69" s="62">
        <f>'дод 3 '!M108</f>
        <v>0</v>
      </c>
      <c r="M69" s="62">
        <f>'дод 3 '!N108</f>
        <v>0</v>
      </c>
      <c r="N69" s="62">
        <f>'дод 3 '!O108</f>
        <v>0</v>
      </c>
      <c r="O69" s="62">
        <f>'дод 3 '!P108</f>
        <v>2178000</v>
      </c>
    </row>
    <row r="70" spans="1:15" s="84" customFormat="1" ht="55.5" customHeight="1" x14ac:dyDescent="0.25">
      <c r="A70" s="46" t="s">
        <v>337</v>
      </c>
      <c r="B70" s="46" t="s">
        <v>67</v>
      </c>
      <c r="C70" s="3" t="s">
        <v>366</v>
      </c>
      <c r="D70" s="62">
        <f>'дод 3 '!E109</f>
        <v>1892237</v>
      </c>
      <c r="E70" s="62">
        <f>'дод 3 '!F109</f>
        <v>1892237</v>
      </c>
      <c r="F70" s="62">
        <f>'дод 3 '!G109</f>
        <v>0</v>
      </c>
      <c r="G70" s="62">
        <f>'дод 3 '!H109</f>
        <v>0</v>
      </c>
      <c r="H70" s="62">
        <f>'дод 3 '!I109</f>
        <v>0</v>
      </c>
      <c r="I70" s="62">
        <f>'дод 3 '!J109</f>
        <v>0</v>
      </c>
      <c r="J70" s="62">
        <f>'дод 3 '!K109</f>
        <v>0</v>
      </c>
      <c r="K70" s="62">
        <f>'дод 3 '!L109</f>
        <v>0</v>
      </c>
      <c r="L70" s="62">
        <f>'дод 3 '!M109</f>
        <v>0</v>
      </c>
      <c r="M70" s="62">
        <f>'дод 3 '!N109</f>
        <v>0</v>
      </c>
      <c r="N70" s="62">
        <f>'дод 3 '!O109</f>
        <v>0</v>
      </c>
      <c r="O70" s="62">
        <f>'дод 3 '!P109</f>
        <v>1892237</v>
      </c>
    </row>
    <row r="71" spans="1:15" ht="43.5" customHeight="1" x14ac:dyDescent="0.25">
      <c r="A71" s="46" t="s">
        <v>125</v>
      </c>
      <c r="B71" s="46" t="s">
        <v>71</v>
      </c>
      <c r="C71" s="3" t="s">
        <v>403</v>
      </c>
      <c r="D71" s="62">
        <f>'дод 3 '!E110</f>
        <v>86500</v>
      </c>
      <c r="E71" s="62">
        <f>'дод 3 '!F110</f>
        <v>86500</v>
      </c>
      <c r="F71" s="62">
        <f>'дод 3 '!G110</f>
        <v>0</v>
      </c>
      <c r="G71" s="62">
        <f>'дод 3 '!H110</f>
        <v>0</v>
      </c>
      <c r="H71" s="62">
        <f>'дод 3 '!I110</f>
        <v>0</v>
      </c>
      <c r="I71" s="62">
        <f>'дод 3 '!J110</f>
        <v>0</v>
      </c>
      <c r="J71" s="62">
        <f>'дод 3 '!K110</f>
        <v>0</v>
      </c>
      <c r="K71" s="62">
        <f>'дод 3 '!L110</f>
        <v>0</v>
      </c>
      <c r="L71" s="62">
        <f>'дод 3 '!M110</f>
        <v>0</v>
      </c>
      <c r="M71" s="62">
        <f>'дод 3 '!N110</f>
        <v>0</v>
      </c>
      <c r="N71" s="62">
        <f>'дод 3 '!O110</f>
        <v>0</v>
      </c>
      <c r="O71" s="62">
        <f>'дод 3 '!P110</f>
        <v>86500</v>
      </c>
    </row>
    <row r="72" spans="1:15" ht="27.75" customHeight="1" x14ac:dyDescent="0.25">
      <c r="A72" s="46" t="s">
        <v>338</v>
      </c>
      <c r="B72" s="46" t="s">
        <v>126</v>
      </c>
      <c r="C72" s="3" t="s">
        <v>50</v>
      </c>
      <c r="D72" s="62">
        <f>'дод 3 '!E111+'дод 3 '!E134</f>
        <v>600000</v>
      </c>
      <c r="E72" s="62">
        <f>'дод 3 '!F111+'дод 3 '!F134</f>
        <v>600000</v>
      </c>
      <c r="F72" s="62">
        <f>'дод 3 '!G111+'дод 3 '!G134</f>
        <v>163935</v>
      </c>
      <c r="G72" s="62">
        <f>'дод 3 '!H111+'дод 3 '!H134</f>
        <v>0</v>
      </c>
      <c r="H72" s="62">
        <f>'дод 3 '!I111+'дод 3 '!I134</f>
        <v>0</v>
      </c>
      <c r="I72" s="62">
        <f>'дод 3 '!J111+'дод 3 '!J134</f>
        <v>0</v>
      </c>
      <c r="J72" s="62">
        <f>'дод 3 '!K111+'дод 3 '!K134</f>
        <v>0</v>
      </c>
      <c r="K72" s="62">
        <f>'дод 3 '!L111+'дод 3 '!L134</f>
        <v>0</v>
      </c>
      <c r="L72" s="62">
        <f>'дод 3 '!M111+'дод 3 '!M134</f>
        <v>0</v>
      </c>
      <c r="M72" s="62">
        <f>'дод 3 '!N111+'дод 3 '!N134</f>
        <v>0</v>
      </c>
      <c r="N72" s="62">
        <f>'дод 3 '!O111+'дод 3 '!O134</f>
        <v>0</v>
      </c>
      <c r="O72" s="62">
        <f>'дод 3 '!P111+'дод 3 '!P134</f>
        <v>600000</v>
      </c>
    </row>
    <row r="73" spans="1:15" s="84" customFormat="1" ht="32.25" customHeight="1" x14ac:dyDescent="0.25">
      <c r="A73" s="46" t="s">
        <v>339</v>
      </c>
      <c r="B73" s="46" t="s">
        <v>71</v>
      </c>
      <c r="C73" s="3" t="s">
        <v>341</v>
      </c>
      <c r="D73" s="62">
        <f>'дод 3 '!E112+'дод 3 '!E26</f>
        <v>6675425</v>
      </c>
      <c r="E73" s="62">
        <f>'дод 3 '!F112+'дод 3 '!F26</f>
        <v>6675425</v>
      </c>
      <c r="F73" s="62">
        <f>'дод 3 '!G112+'дод 3 '!G26</f>
        <v>4196250</v>
      </c>
      <c r="G73" s="62">
        <f>'дод 3 '!H112+'дод 3 '!H26</f>
        <v>657930</v>
      </c>
      <c r="H73" s="62">
        <f>'дод 3 '!I112+'дод 3 '!I26</f>
        <v>0</v>
      </c>
      <c r="I73" s="62">
        <f>'дод 3 '!J112+'дод 3 '!J26</f>
        <v>761000</v>
      </c>
      <c r="J73" s="62">
        <f>'дод 3 '!K112+'дод 3 '!K26</f>
        <v>761000</v>
      </c>
      <c r="K73" s="62">
        <f>'дод 3 '!L112+'дод 3 '!L26</f>
        <v>0</v>
      </c>
      <c r="L73" s="62">
        <f>'дод 3 '!M112+'дод 3 '!M26</f>
        <v>0</v>
      </c>
      <c r="M73" s="62">
        <f>'дод 3 '!N112+'дод 3 '!N26</f>
        <v>0</v>
      </c>
      <c r="N73" s="62">
        <f>'дод 3 '!O112+'дод 3 '!O26</f>
        <v>761000</v>
      </c>
      <c r="O73" s="62">
        <f>'дод 3 '!P112+'дод 3 '!P26</f>
        <v>7436425</v>
      </c>
    </row>
    <row r="74" spans="1:15" s="84" customFormat="1" ht="31.5" customHeight="1" x14ac:dyDescent="0.25">
      <c r="A74" s="46" t="s">
        <v>340</v>
      </c>
      <c r="B74" s="46" t="s">
        <v>71</v>
      </c>
      <c r="C74" s="3" t="s">
        <v>342</v>
      </c>
      <c r="D74" s="62">
        <f>'дод 3 '!E68+'дод 3 '!E113+'дод 3 '!E27</f>
        <v>34014626</v>
      </c>
      <c r="E74" s="62">
        <f>'дод 3 '!F68+'дод 3 '!F113+'дод 3 '!F27</f>
        <v>34014626</v>
      </c>
      <c r="F74" s="62">
        <f>'дод 3 '!G68+'дод 3 '!G113+'дод 3 '!G27</f>
        <v>0</v>
      </c>
      <c r="G74" s="62">
        <f>'дод 3 '!H68+'дод 3 '!H113+'дод 3 '!H27</f>
        <v>0</v>
      </c>
      <c r="H74" s="62">
        <f>'дод 3 '!I68+'дод 3 '!I113+'дод 3 '!I27</f>
        <v>0</v>
      </c>
      <c r="I74" s="62">
        <f>'дод 3 '!J68+'дод 3 '!J113+'дод 3 '!J27</f>
        <v>35640</v>
      </c>
      <c r="J74" s="62">
        <f>'дод 3 '!K68+'дод 3 '!K113+'дод 3 '!K27</f>
        <v>35640</v>
      </c>
      <c r="K74" s="62">
        <f>'дод 3 '!L68+'дод 3 '!L113+'дод 3 '!L27</f>
        <v>0</v>
      </c>
      <c r="L74" s="62">
        <f>'дод 3 '!M68+'дод 3 '!M113+'дод 3 '!M27</f>
        <v>0</v>
      </c>
      <c r="M74" s="62">
        <f>'дод 3 '!N68+'дод 3 '!N113+'дод 3 '!N27</f>
        <v>0</v>
      </c>
      <c r="N74" s="62">
        <f>'дод 3 '!O68+'дод 3 '!O113+'дод 3 '!O27</f>
        <v>35640</v>
      </c>
      <c r="O74" s="62">
        <f>'дод 3 '!P68+'дод 3 '!P113+'дод 3 '!P27</f>
        <v>34050266</v>
      </c>
    </row>
    <row r="75" spans="1:15" s="82" customFormat="1" ht="19.5" customHeight="1" x14ac:dyDescent="0.25">
      <c r="A75" s="47" t="s">
        <v>90</v>
      </c>
      <c r="B75" s="50"/>
      <c r="C75" s="2" t="s">
        <v>91</v>
      </c>
      <c r="D75" s="61">
        <f t="shared" ref="D75:O75" si="6">D76+D77+D78+D79</f>
        <v>32704815</v>
      </c>
      <c r="E75" s="61">
        <f t="shared" si="6"/>
        <v>32704815</v>
      </c>
      <c r="F75" s="61">
        <f t="shared" si="6"/>
        <v>19079400</v>
      </c>
      <c r="G75" s="61">
        <f t="shared" si="6"/>
        <v>2209260</v>
      </c>
      <c r="H75" s="61">
        <f t="shared" si="6"/>
        <v>0</v>
      </c>
      <c r="I75" s="61">
        <f t="shared" si="6"/>
        <v>623495</v>
      </c>
      <c r="J75" s="61">
        <f t="shared" si="6"/>
        <v>587495</v>
      </c>
      <c r="K75" s="61">
        <f t="shared" si="6"/>
        <v>36000</v>
      </c>
      <c r="L75" s="61">
        <f t="shared" si="6"/>
        <v>12100</v>
      </c>
      <c r="M75" s="61">
        <f t="shared" si="6"/>
        <v>3300</v>
      </c>
      <c r="N75" s="61">
        <f t="shared" si="6"/>
        <v>587495</v>
      </c>
      <c r="O75" s="61">
        <f t="shared" si="6"/>
        <v>33328310</v>
      </c>
    </row>
    <row r="76" spans="1:15" ht="22.5" customHeight="1" x14ac:dyDescent="0.25">
      <c r="A76" s="46" t="s">
        <v>92</v>
      </c>
      <c r="B76" s="46" t="s">
        <v>93</v>
      </c>
      <c r="C76" s="3" t="s">
        <v>21</v>
      </c>
      <c r="D76" s="62">
        <f>'дод 3 '!E124</f>
        <v>19294735</v>
      </c>
      <c r="E76" s="62">
        <f>'дод 3 '!F124</f>
        <v>19294735</v>
      </c>
      <c r="F76" s="62">
        <f>'дод 3 '!G124</f>
        <v>13804000</v>
      </c>
      <c r="G76" s="62">
        <f>'дод 3 '!H124</f>
        <v>1346200</v>
      </c>
      <c r="H76" s="62">
        <f>'дод 3 '!I124</f>
        <v>0</v>
      </c>
      <c r="I76" s="62">
        <f>'дод 3 '!J124</f>
        <v>346795</v>
      </c>
      <c r="J76" s="62">
        <f>'дод 3 '!K124</f>
        <v>316795</v>
      </c>
      <c r="K76" s="62">
        <f>'дод 3 '!L124</f>
        <v>30000</v>
      </c>
      <c r="L76" s="62">
        <f>'дод 3 '!M124</f>
        <v>12100</v>
      </c>
      <c r="M76" s="62">
        <f>'дод 3 '!N124</f>
        <v>0</v>
      </c>
      <c r="N76" s="62">
        <f>'дод 3 '!O124</f>
        <v>316795</v>
      </c>
      <c r="O76" s="62">
        <f>'дод 3 '!P124</f>
        <v>19641530</v>
      </c>
    </row>
    <row r="77" spans="1:15" ht="33.75" customHeight="1" x14ac:dyDescent="0.25">
      <c r="A77" s="46" t="s">
        <v>376</v>
      </c>
      <c r="B77" s="46" t="s">
        <v>377</v>
      </c>
      <c r="C77" s="3" t="s">
        <v>378</v>
      </c>
      <c r="D77" s="62">
        <f>'дод 3 '!E28+'дод 3 '!E125</f>
        <v>5203480</v>
      </c>
      <c r="E77" s="62">
        <f>'дод 3 '!F28+'дод 3 '!F125</f>
        <v>5203480</v>
      </c>
      <c r="F77" s="62">
        <f>'дод 3 '!G28+'дод 3 '!G125</f>
        <v>2522400</v>
      </c>
      <c r="G77" s="62">
        <f>'дод 3 '!H28+'дод 3 '!H125</f>
        <v>738960</v>
      </c>
      <c r="H77" s="62">
        <f>'дод 3 '!I28+'дод 3 '!I125</f>
        <v>0</v>
      </c>
      <c r="I77" s="62">
        <f>'дод 3 '!J28+'дод 3 '!J125</f>
        <v>52700</v>
      </c>
      <c r="J77" s="62">
        <f>'дод 3 '!K28+'дод 3 '!K125</f>
        <v>46700</v>
      </c>
      <c r="K77" s="62">
        <f>'дод 3 '!L28+'дод 3 '!L125</f>
        <v>6000</v>
      </c>
      <c r="L77" s="62">
        <f>'дод 3 '!M28+'дод 3 '!M125</f>
        <v>0</v>
      </c>
      <c r="M77" s="62">
        <f>'дод 3 '!N28+'дод 3 '!N125</f>
        <v>3300</v>
      </c>
      <c r="N77" s="62">
        <f>'дод 3 '!O28+'дод 3 '!O125</f>
        <v>46700</v>
      </c>
      <c r="O77" s="62">
        <f>'дод 3 '!P28+'дод 3 '!P125</f>
        <v>5256180</v>
      </c>
    </row>
    <row r="78" spans="1:15" s="84" customFormat="1" ht="39.75" customHeight="1" x14ac:dyDescent="0.25">
      <c r="A78" s="46" t="s">
        <v>343</v>
      </c>
      <c r="B78" s="46" t="s">
        <v>94</v>
      </c>
      <c r="C78" s="3" t="s">
        <v>404</v>
      </c>
      <c r="D78" s="62">
        <f>'дод 3 '!E29+'дод 3 '!E126</f>
        <v>5240900</v>
      </c>
      <c r="E78" s="62">
        <f>'дод 3 '!F29+'дод 3 '!F126</f>
        <v>5240900</v>
      </c>
      <c r="F78" s="62">
        <f>'дод 3 '!G29+'дод 3 '!G126</f>
        <v>2753000</v>
      </c>
      <c r="G78" s="62">
        <f>'дод 3 '!H29+'дод 3 '!H126</f>
        <v>124100</v>
      </c>
      <c r="H78" s="62">
        <f>'дод 3 '!I29+'дод 3 '!I126</f>
        <v>0</v>
      </c>
      <c r="I78" s="62">
        <f>'дод 3 '!J29+'дод 3 '!J126</f>
        <v>224000</v>
      </c>
      <c r="J78" s="62">
        <f>'дод 3 '!K29+'дод 3 '!K126</f>
        <v>224000</v>
      </c>
      <c r="K78" s="62">
        <f>'дод 3 '!L29+'дод 3 '!L126</f>
        <v>0</v>
      </c>
      <c r="L78" s="62">
        <f>'дод 3 '!M29+'дод 3 '!M126</f>
        <v>0</v>
      </c>
      <c r="M78" s="62">
        <f>'дод 3 '!N29+'дод 3 '!N126</f>
        <v>0</v>
      </c>
      <c r="N78" s="62">
        <f>'дод 3 '!O29+'дод 3 '!O126</f>
        <v>224000</v>
      </c>
      <c r="O78" s="62">
        <f>'дод 3 '!P29+'дод 3 '!P126</f>
        <v>5464900</v>
      </c>
    </row>
    <row r="79" spans="1:15" s="84" customFormat="1" ht="30" customHeight="1" x14ac:dyDescent="0.25">
      <c r="A79" s="46" t="s">
        <v>344</v>
      </c>
      <c r="B79" s="46" t="s">
        <v>94</v>
      </c>
      <c r="C79" s="3" t="s">
        <v>345</v>
      </c>
      <c r="D79" s="62">
        <f>'дод 3 '!E30+'дод 3 '!E127</f>
        <v>2965700</v>
      </c>
      <c r="E79" s="62">
        <f>'дод 3 '!F30+'дод 3 '!F127</f>
        <v>2965700</v>
      </c>
      <c r="F79" s="62">
        <f>'дод 3 '!G30+'дод 3 '!G127</f>
        <v>0</v>
      </c>
      <c r="G79" s="62">
        <f>'дод 3 '!H30+'дод 3 '!H127</f>
        <v>0</v>
      </c>
      <c r="H79" s="62">
        <f>'дод 3 '!I30+'дод 3 '!I127</f>
        <v>0</v>
      </c>
      <c r="I79" s="62">
        <f>'дод 3 '!J30+'дод 3 '!J127</f>
        <v>0</v>
      </c>
      <c r="J79" s="62">
        <f>'дод 3 '!K30+'дод 3 '!K127</f>
        <v>0</v>
      </c>
      <c r="K79" s="62">
        <f>'дод 3 '!L30+'дод 3 '!L127</f>
        <v>0</v>
      </c>
      <c r="L79" s="62">
        <f>'дод 3 '!M30+'дод 3 '!M127</f>
        <v>0</v>
      </c>
      <c r="M79" s="62">
        <f>'дод 3 '!N30+'дод 3 '!N127</f>
        <v>0</v>
      </c>
      <c r="N79" s="62">
        <f>'дод 3 '!O30+'дод 3 '!O127</f>
        <v>0</v>
      </c>
      <c r="O79" s="62">
        <f>'дод 3 '!P30+'дод 3 '!P127</f>
        <v>2965700</v>
      </c>
    </row>
    <row r="80" spans="1:15" s="82" customFormat="1" ht="21.75" customHeight="1" x14ac:dyDescent="0.25">
      <c r="A80" s="47" t="s">
        <v>97</v>
      </c>
      <c r="B80" s="50"/>
      <c r="C80" s="2" t="s">
        <v>98</v>
      </c>
      <c r="D80" s="61">
        <f t="shared" ref="D80:O80" si="7">D81+D82+D83+D84+D85+D86</f>
        <v>46652470</v>
      </c>
      <c r="E80" s="61">
        <f t="shared" si="7"/>
        <v>46652470</v>
      </c>
      <c r="F80" s="61">
        <f t="shared" si="7"/>
        <v>17286800</v>
      </c>
      <c r="G80" s="61">
        <f t="shared" si="7"/>
        <v>1430790</v>
      </c>
      <c r="H80" s="61">
        <f t="shared" si="7"/>
        <v>0</v>
      </c>
      <c r="I80" s="61">
        <f t="shared" si="7"/>
        <v>2700570</v>
      </c>
      <c r="J80" s="61">
        <f t="shared" si="7"/>
        <v>2521450</v>
      </c>
      <c r="K80" s="61">
        <f t="shared" si="7"/>
        <v>179120</v>
      </c>
      <c r="L80" s="61">
        <f t="shared" si="7"/>
        <v>91105</v>
      </c>
      <c r="M80" s="61">
        <f t="shared" si="7"/>
        <v>51050</v>
      </c>
      <c r="N80" s="61">
        <f t="shared" si="7"/>
        <v>2521450</v>
      </c>
      <c r="O80" s="61">
        <f t="shared" si="7"/>
        <v>49353040</v>
      </c>
    </row>
    <row r="81" spans="1:15" s="84" customFormat="1" ht="43.5" customHeight="1" x14ac:dyDescent="0.25">
      <c r="A81" s="46" t="s">
        <v>99</v>
      </c>
      <c r="B81" s="46" t="s">
        <v>100</v>
      </c>
      <c r="C81" s="3" t="s">
        <v>29</v>
      </c>
      <c r="D81" s="62">
        <f>'дод 3 '!E31</f>
        <v>1761000</v>
      </c>
      <c r="E81" s="62">
        <f>'дод 3 '!F31</f>
        <v>1761000</v>
      </c>
      <c r="F81" s="62">
        <f>'дод 3 '!G31</f>
        <v>0</v>
      </c>
      <c r="G81" s="62">
        <f>'дод 3 '!H31</f>
        <v>0</v>
      </c>
      <c r="H81" s="62">
        <f>'дод 3 '!I31</f>
        <v>0</v>
      </c>
      <c r="I81" s="62">
        <f>'дод 3 '!J31</f>
        <v>0</v>
      </c>
      <c r="J81" s="62">
        <f>'дод 3 '!K31</f>
        <v>0</v>
      </c>
      <c r="K81" s="62">
        <f>'дод 3 '!L31</f>
        <v>0</v>
      </c>
      <c r="L81" s="62">
        <f>'дод 3 '!M31</f>
        <v>0</v>
      </c>
      <c r="M81" s="62">
        <f>'дод 3 '!N31</f>
        <v>0</v>
      </c>
      <c r="N81" s="62">
        <f>'дод 3 '!O31</f>
        <v>0</v>
      </c>
      <c r="O81" s="62">
        <f>'дод 3 '!P31</f>
        <v>1761000</v>
      </c>
    </row>
    <row r="82" spans="1:15" s="84" customFormat="1" ht="39.75" customHeight="1" x14ac:dyDescent="0.25">
      <c r="A82" s="46" t="s">
        <v>101</v>
      </c>
      <c r="B82" s="46" t="s">
        <v>100</v>
      </c>
      <c r="C82" s="3" t="s">
        <v>22</v>
      </c>
      <c r="D82" s="62">
        <f>'дод 3 '!E32</f>
        <v>2275000</v>
      </c>
      <c r="E82" s="62">
        <f>'дод 3 '!F32</f>
        <v>2275000</v>
      </c>
      <c r="F82" s="62">
        <f>'дод 3 '!G32</f>
        <v>0</v>
      </c>
      <c r="G82" s="62">
        <f>'дод 3 '!H32</f>
        <v>0</v>
      </c>
      <c r="H82" s="62">
        <f>'дод 3 '!I32</f>
        <v>0</v>
      </c>
      <c r="I82" s="62">
        <f>'дод 3 '!J32</f>
        <v>0</v>
      </c>
      <c r="J82" s="62">
        <f>'дод 3 '!K32</f>
        <v>0</v>
      </c>
      <c r="K82" s="62">
        <f>'дод 3 '!L32</f>
        <v>0</v>
      </c>
      <c r="L82" s="62">
        <f>'дод 3 '!M32</f>
        <v>0</v>
      </c>
      <c r="M82" s="62">
        <f>'дод 3 '!N32</f>
        <v>0</v>
      </c>
      <c r="N82" s="62">
        <f>'дод 3 '!O32</f>
        <v>0</v>
      </c>
      <c r="O82" s="62">
        <f>'дод 3 '!P32</f>
        <v>2275000</v>
      </c>
    </row>
    <row r="83" spans="1:15" s="84" customFormat="1" ht="36.75" customHeight="1" x14ac:dyDescent="0.25">
      <c r="A83" s="46" t="s">
        <v>137</v>
      </c>
      <c r="B83" s="46" t="s">
        <v>100</v>
      </c>
      <c r="C83" s="3" t="s">
        <v>30</v>
      </c>
      <c r="D83" s="62">
        <f>'дод 3 '!E69+'дод 3 '!E33</f>
        <v>20343330</v>
      </c>
      <c r="E83" s="62">
        <f>'дод 3 '!F69+'дод 3 '!F33</f>
        <v>20343330</v>
      </c>
      <c r="F83" s="62">
        <f>'дод 3 '!G69+'дод 3 '!G33</f>
        <v>14839900</v>
      </c>
      <c r="G83" s="62">
        <f>'дод 3 '!H69+'дод 3 '!H33</f>
        <v>1060690</v>
      </c>
      <c r="H83" s="62">
        <f>'дод 3 '!I69+'дод 3 '!I33</f>
        <v>0</v>
      </c>
      <c r="I83" s="62">
        <f>'дод 3 '!J69+'дод 3 '!J33</f>
        <v>1478000</v>
      </c>
      <c r="J83" s="62">
        <f>'дод 3 '!K69+'дод 3 '!K33</f>
        <v>1478000</v>
      </c>
      <c r="K83" s="62">
        <f>'дод 3 '!L69+'дод 3 '!L33</f>
        <v>0</v>
      </c>
      <c r="L83" s="62">
        <f>'дод 3 '!M69+'дод 3 '!M33</f>
        <v>0</v>
      </c>
      <c r="M83" s="62">
        <f>'дод 3 '!N69+'дод 3 '!N33</f>
        <v>0</v>
      </c>
      <c r="N83" s="62">
        <f>'дод 3 '!O69+'дод 3 '!O33</f>
        <v>1478000</v>
      </c>
      <c r="O83" s="62">
        <f>'дод 3 '!P69+'дод 3 '!P33</f>
        <v>21821330</v>
      </c>
    </row>
    <row r="84" spans="1:15" s="84" customFormat="1" ht="31.5" customHeight="1" x14ac:dyDescent="0.25">
      <c r="A84" s="46" t="s">
        <v>138</v>
      </c>
      <c r="B84" s="46" t="s">
        <v>100</v>
      </c>
      <c r="C84" s="3" t="s">
        <v>31</v>
      </c>
      <c r="D84" s="62">
        <f>'дод 3 '!E34</f>
        <v>11306630</v>
      </c>
      <c r="E84" s="62">
        <f>'дод 3 '!F34</f>
        <v>11306630</v>
      </c>
      <c r="F84" s="62">
        <f>'дод 3 '!G34</f>
        <v>0</v>
      </c>
      <c r="G84" s="62">
        <f>'дод 3 '!H34</f>
        <v>0</v>
      </c>
      <c r="H84" s="62">
        <f>'дод 3 '!I34</f>
        <v>0</v>
      </c>
      <c r="I84" s="62">
        <f>'дод 3 '!J34</f>
        <v>100000</v>
      </c>
      <c r="J84" s="62">
        <f>'дод 3 '!K34</f>
        <v>100000</v>
      </c>
      <c r="K84" s="62">
        <f>'дод 3 '!L34</f>
        <v>0</v>
      </c>
      <c r="L84" s="62">
        <f>'дод 3 '!M34</f>
        <v>0</v>
      </c>
      <c r="M84" s="62">
        <f>'дод 3 '!N34</f>
        <v>0</v>
      </c>
      <c r="N84" s="62">
        <f>'дод 3 '!O34</f>
        <v>100000</v>
      </c>
      <c r="O84" s="62">
        <f>'дод 3 '!P34</f>
        <v>11406630</v>
      </c>
    </row>
    <row r="85" spans="1:15" s="84" customFormat="1" ht="60" customHeight="1" x14ac:dyDescent="0.25">
      <c r="A85" s="46" t="s">
        <v>133</v>
      </c>
      <c r="B85" s="46" t="s">
        <v>100</v>
      </c>
      <c r="C85" s="3" t="s">
        <v>134</v>
      </c>
      <c r="D85" s="62">
        <f>'дод 3 '!E35</f>
        <v>3943120</v>
      </c>
      <c r="E85" s="62">
        <f>'дод 3 '!F35</f>
        <v>3943120</v>
      </c>
      <c r="F85" s="62">
        <f>'дод 3 '!G35</f>
        <v>2446900</v>
      </c>
      <c r="G85" s="62">
        <f>'дод 3 '!H35</f>
        <v>370100</v>
      </c>
      <c r="H85" s="62">
        <f>'дод 3 '!I35</f>
        <v>0</v>
      </c>
      <c r="I85" s="62">
        <f>'дод 3 '!J35</f>
        <v>1079120</v>
      </c>
      <c r="J85" s="62">
        <f>'дод 3 '!K35</f>
        <v>900000</v>
      </c>
      <c r="K85" s="62">
        <f>'дод 3 '!L35</f>
        <v>179120</v>
      </c>
      <c r="L85" s="62">
        <f>'дод 3 '!M35</f>
        <v>91105</v>
      </c>
      <c r="M85" s="62">
        <f>'дод 3 '!N35</f>
        <v>51050</v>
      </c>
      <c r="N85" s="62">
        <f>'дод 3 '!O35</f>
        <v>900000</v>
      </c>
      <c r="O85" s="62">
        <f>'дод 3 '!P35</f>
        <v>5022240</v>
      </c>
    </row>
    <row r="86" spans="1:15" s="84" customFormat="1" ht="42" customHeight="1" x14ac:dyDescent="0.25">
      <c r="A86" s="46" t="s">
        <v>136</v>
      </c>
      <c r="B86" s="46" t="s">
        <v>100</v>
      </c>
      <c r="C86" s="3" t="s">
        <v>135</v>
      </c>
      <c r="D86" s="62">
        <f>'дод 3 '!E36</f>
        <v>7023390</v>
      </c>
      <c r="E86" s="62">
        <f>'дод 3 '!F36</f>
        <v>7023390</v>
      </c>
      <c r="F86" s="62">
        <f>'дод 3 '!G36</f>
        <v>0</v>
      </c>
      <c r="G86" s="62">
        <f>'дод 3 '!H36</f>
        <v>0</v>
      </c>
      <c r="H86" s="62">
        <f>'дод 3 '!I36</f>
        <v>0</v>
      </c>
      <c r="I86" s="62">
        <f>'дод 3 '!J36</f>
        <v>43450</v>
      </c>
      <c r="J86" s="62">
        <f>'дод 3 '!K36</f>
        <v>43450</v>
      </c>
      <c r="K86" s="62">
        <f>'дод 3 '!L36</f>
        <v>0</v>
      </c>
      <c r="L86" s="62">
        <f>'дод 3 '!M36</f>
        <v>0</v>
      </c>
      <c r="M86" s="62">
        <f>'дод 3 '!N36</f>
        <v>0</v>
      </c>
      <c r="N86" s="62">
        <f>'дод 3 '!O36</f>
        <v>43450</v>
      </c>
      <c r="O86" s="62">
        <f>'дод 3 '!P36</f>
        <v>7066840</v>
      </c>
    </row>
    <row r="87" spans="1:15" s="82" customFormat="1" ht="27" customHeight="1" x14ac:dyDescent="0.25">
      <c r="A87" s="47" t="s">
        <v>85</v>
      </c>
      <c r="B87" s="50"/>
      <c r="C87" s="2" t="s">
        <v>86</v>
      </c>
      <c r="D87" s="61">
        <f>D88+D89+D90+D91+D92+D93+D94+D95</f>
        <v>239600857.95999998</v>
      </c>
      <c r="E87" s="61">
        <f t="shared" ref="E87:O87" si="8">E88+E89+E90+E91+E92+E93+E94+E95</f>
        <v>206416419.95999998</v>
      </c>
      <c r="F87" s="61">
        <f t="shared" si="8"/>
        <v>0</v>
      </c>
      <c r="G87" s="61">
        <f t="shared" si="8"/>
        <v>27913306</v>
      </c>
      <c r="H87" s="61">
        <f t="shared" si="8"/>
        <v>33184438</v>
      </c>
      <c r="I87" s="61">
        <f t="shared" si="8"/>
        <v>80004232.75999999</v>
      </c>
      <c r="J87" s="61">
        <f t="shared" si="8"/>
        <v>79846529.699999988</v>
      </c>
      <c r="K87" s="61">
        <f t="shared" si="8"/>
        <v>0</v>
      </c>
      <c r="L87" s="61">
        <f t="shared" si="8"/>
        <v>0</v>
      </c>
      <c r="M87" s="61">
        <f t="shared" si="8"/>
        <v>0</v>
      </c>
      <c r="N87" s="61">
        <f t="shared" si="8"/>
        <v>80004232.75999999</v>
      </c>
      <c r="O87" s="61">
        <f t="shared" si="8"/>
        <v>319605090.72000003</v>
      </c>
    </row>
    <row r="88" spans="1:15" s="84" customFormat="1" ht="33.75" customHeight="1" x14ac:dyDescent="0.25">
      <c r="A88" s="46" t="s">
        <v>155</v>
      </c>
      <c r="B88" s="46" t="s">
        <v>87</v>
      </c>
      <c r="C88" s="3" t="s">
        <v>156</v>
      </c>
      <c r="D88" s="62">
        <f>'дод 3 '!E135</f>
        <v>0</v>
      </c>
      <c r="E88" s="62">
        <f>'дод 3 '!F135</f>
        <v>0</v>
      </c>
      <c r="F88" s="62">
        <f>'дод 3 '!G135</f>
        <v>0</v>
      </c>
      <c r="G88" s="62">
        <f>'дод 3 '!H135</f>
        <v>0</v>
      </c>
      <c r="H88" s="62">
        <f>'дод 3 '!I135</f>
        <v>0</v>
      </c>
      <c r="I88" s="62">
        <f>'дод 3 '!J135</f>
        <v>10918067.93</v>
      </c>
      <c r="J88" s="62">
        <f>'дод 3 '!K135</f>
        <v>10888067.93</v>
      </c>
      <c r="K88" s="62">
        <f>'дод 3 '!L135</f>
        <v>0</v>
      </c>
      <c r="L88" s="62">
        <f>'дод 3 '!M135</f>
        <v>0</v>
      </c>
      <c r="M88" s="62">
        <f>'дод 3 '!N135</f>
        <v>0</v>
      </c>
      <c r="N88" s="62">
        <f>'дод 3 '!O135</f>
        <v>10918067.93</v>
      </c>
      <c r="O88" s="62">
        <f>'дод 3 '!P135</f>
        <v>10918067.93</v>
      </c>
    </row>
    <row r="89" spans="1:15" s="84" customFormat="1" ht="36.75" customHeight="1" x14ac:dyDescent="0.25">
      <c r="A89" s="46" t="s">
        <v>157</v>
      </c>
      <c r="B89" s="46" t="s">
        <v>89</v>
      </c>
      <c r="C89" s="3" t="s">
        <v>178</v>
      </c>
      <c r="D89" s="62">
        <f>'дод 3 '!E136</f>
        <v>30925000</v>
      </c>
      <c r="E89" s="62">
        <f>'дод 3 '!F136</f>
        <v>425000</v>
      </c>
      <c r="F89" s="62">
        <f>'дод 3 '!G136</f>
        <v>0</v>
      </c>
      <c r="G89" s="62">
        <f>'дод 3 '!H136</f>
        <v>0</v>
      </c>
      <c r="H89" s="62">
        <f>'дод 3 '!I136</f>
        <v>30500000</v>
      </c>
      <c r="I89" s="62">
        <f>'дод 3 '!J136</f>
        <v>1721000</v>
      </c>
      <c r="J89" s="62">
        <f>'дод 3 '!K136</f>
        <v>1721000</v>
      </c>
      <c r="K89" s="62">
        <f>'дод 3 '!L136</f>
        <v>0</v>
      </c>
      <c r="L89" s="62">
        <f>'дод 3 '!M136</f>
        <v>0</v>
      </c>
      <c r="M89" s="62">
        <f>'дод 3 '!N136</f>
        <v>0</v>
      </c>
      <c r="N89" s="62">
        <f>'дод 3 '!O136</f>
        <v>1721000</v>
      </c>
      <c r="O89" s="62">
        <f>'дод 3 '!P136</f>
        <v>32646000</v>
      </c>
    </row>
    <row r="90" spans="1:15" s="84" customFormat="1" ht="36.75" customHeight="1" x14ac:dyDescent="0.25">
      <c r="A90" s="49" t="s">
        <v>302</v>
      </c>
      <c r="B90" s="49" t="s">
        <v>89</v>
      </c>
      <c r="C90" s="3" t="s">
        <v>303</v>
      </c>
      <c r="D90" s="62">
        <f>'дод 3 '!E137</f>
        <v>193887</v>
      </c>
      <c r="E90" s="62">
        <f>'дод 3 '!F137</f>
        <v>193887</v>
      </c>
      <c r="F90" s="62">
        <f>'дод 3 '!G137</f>
        <v>0</v>
      </c>
      <c r="G90" s="62">
        <f>'дод 3 '!H137</f>
        <v>0</v>
      </c>
      <c r="H90" s="62">
        <f>'дод 3 '!I137</f>
        <v>0</v>
      </c>
      <c r="I90" s="62">
        <f>'дод 3 '!J137</f>
        <v>13408448.83</v>
      </c>
      <c r="J90" s="62">
        <f>'дод 3 '!K137</f>
        <v>13358448.83</v>
      </c>
      <c r="K90" s="62">
        <f>'дод 3 '!L137</f>
        <v>0</v>
      </c>
      <c r="L90" s="62">
        <f>'дод 3 '!M137</f>
        <v>0</v>
      </c>
      <c r="M90" s="62">
        <f>'дод 3 '!N137</f>
        <v>0</v>
      </c>
      <c r="N90" s="62">
        <f>'дод 3 '!O137</f>
        <v>13408448.83</v>
      </c>
      <c r="O90" s="62">
        <f>'дод 3 '!P137</f>
        <v>13602335.83</v>
      </c>
    </row>
    <row r="91" spans="1:15" s="84" customFormat="1" ht="33" customHeight="1" x14ac:dyDescent="0.25">
      <c r="A91" s="46" t="s">
        <v>305</v>
      </c>
      <c r="B91" s="46" t="s">
        <v>89</v>
      </c>
      <c r="C91" s="3" t="s">
        <v>405</v>
      </c>
      <c r="D91" s="62">
        <f>'дод 3 '!E138</f>
        <v>100000</v>
      </c>
      <c r="E91" s="62">
        <f>'дод 3 '!F138</f>
        <v>100000</v>
      </c>
      <c r="F91" s="62">
        <f>'дод 3 '!G138</f>
        <v>0</v>
      </c>
      <c r="G91" s="62">
        <f>'дод 3 '!H138</f>
        <v>0</v>
      </c>
      <c r="H91" s="62">
        <f>'дод 3 '!I138</f>
        <v>0</v>
      </c>
      <c r="I91" s="62">
        <f>'дод 3 '!J138</f>
        <v>0</v>
      </c>
      <c r="J91" s="62">
        <f>'дод 3 '!K138</f>
        <v>0</v>
      </c>
      <c r="K91" s="62">
        <f>'дод 3 '!L138</f>
        <v>0</v>
      </c>
      <c r="L91" s="62">
        <f>'дод 3 '!M138</f>
        <v>0</v>
      </c>
      <c r="M91" s="62">
        <f>'дод 3 '!N138</f>
        <v>0</v>
      </c>
      <c r="N91" s="62">
        <f>'дод 3 '!O138</f>
        <v>0</v>
      </c>
      <c r="O91" s="62">
        <f>'дод 3 '!P138</f>
        <v>100000</v>
      </c>
    </row>
    <row r="92" spans="1:15" s="84" customFormat="1" ht="52.5" customHeight="1" x14ac:dyDescent="0.25">
      <c r="A92" s="46" t="s">
        <v>88</v>
      </c>
      <c r="B92" s="46" t="s">
        <v>89</v>
      </c>
      <c r="C92" s="3" t="s">
        <v>160</v>
      </c>
      <c r="D92" s="62">
        <f>'дод 3 '!E139</f>
        <v>2595232</v>
      </c>
      <c r="E92" s="62">
        <f>'дод 3 '!F139</f>
        <v>0</v>
      </c>
      <c r="F92" s="62">
        <f>'дод 3 '!G139</f>
        <v>0</v>
      </c>
      <c r="G92" s="62">
        <f>'дод 3 '!H139</f>
        <v>0</v>
      </c>
      <c r="H92" s="62">
        <f>'дод 3 '!I139</f>
        <v>2595232</v>
      </c>
      <c r="I92" s="62">
        <f>'дод 3 '!J139</f>
        <v>2000000</v>
      </c>
      <c r="J92" s="62">
        <f>'дод 3 '!K139</f>
        <v>2000000</v>
      </c>
      <c r="K92" s="62">
        <f>'дод 3 '!L139</f>
        <v>0</v>
      </c>
      <c r="L92" s="62">
        <f>'дод 3 '!M139</f>
        <v>0</v>
      </c>
      <c r="M92" s="62">
        <f>'дод 3 '!N139</f>
        <v>0</v>
      </c>
      <c r="N92" s="62">
        <f>'дод 3 '!O139</f>
        <v>2000000</v>
      </c>
      <c r="O92" s="62">
        <f>'дод 3 '!P139</f>
        <v>4595232</v>
      </c>
    </row>
    <row r="93" spans="1:15" ht="30" customHeight="1" x14ac:dyDescent="0.25">
      <c r="A93" s="46" t="s">
        <v>158</v>
      </c>
      <c r="B93" s="46" t="s">
        <v>89</v>
      </c>
      <c r="C93" s="3" t="s">
        <v>159</v>
      </c>
      <c r="D93" s="62">
        <f>'дод 3 '!E140+'дод 3 '!E162</f>
        <v>191582486.56999999</v>
      </c>
      <c r="E93" s="62">
        <f>'дод 3 '!F140+'дод 3 '!F162</f>
        <v>191582486.56999999</v>
      </c>
      <c r="F93" s="62">
        <f>'дод 3 '!G140+'дод 3 '!G162</f>
        <v>0</v>
      </c>
      <c r="G93" s="62">
        <f>'дод 3 '!H140+'дод 3 '!H162</f>
        <v>27870906</v>
      </c>
      <c r="H93" s="62">
        <f>'дод 3 '!I140+'дод 3 '!I162</f>
        <v>0</v>
      </c>
      <c r="I93" s="62">
        <f>'дод 3 '!J140+'дод 3 '!J162</f>
        <v>51078304.150000006</v>
      </c>
      <c r="J93" s="62">
        <f>'дод 3 '!K140+'дод 3 '!K162</f>
        <v>51078304.150000006</v>
      </c>
      <c r="K93" s="62">
        <f>'дод 3 '!L140+'дод 3 '!L162</f>
        <v>0</v>
      </c>
      <c r="L93" s="62">
        <f>'дод 3 '!M140+'дод 3 '!M162</f>
        <v>0</v>
      </c>
      <c r="M93" s="62">
        <f>'дод 3 '!N140+'дод 3 '!N162</f>
        <v>0</v>
      </c>
      <c r="N93" s="62">
        <f>'дод 3 '!O140+'дод 3 '!O162</f>
        <v>51078304.150000006</v>
      </c>
      <c r="O93" s="62">
        <f>'дод 3 '!P140+'дод 3 '!P162</f>
        <v>242660790.72</v>
      </c>
    </row>
    <row r="94" spans="1:15" s="84" customFormat="1" ht="57" customHeight="1" x14ac:dyDescent="0.25">
      <c r="A94" s="46" t="s">
        <v>162</v>
      </c>
      <c r="B94" s="51" t="s">
        <v>87</v>
      </c>
      <c r="C94" s="3" t="s">
        <v>163</v>
      </c>
      <c r="D94" s="62">
        <f>'дод 3 '!E163</f>
        <v>84906</v>
      </c>
      <c r="E94" s="62">
        <f>'дод 3 '!F163</f>
        <v>0</v>
      </c>
      <c r="F94" s="62">
        <f>'дод 3 '!G163</f>
        <v>0</v>
      </c>
      <c r="G94" s="62">
        <f>'дод 3 '!H163</f>
        <v>0</v>
      </c>
      <c r="H94" s="62">
        <f>'дод 3 '!I163</f>
        <v>84906</v>
      </c>
      <c r="I94" s="62">
        <f>'дод 3 '!J163</f>
        <v>77703.06</v>
      </c>
      <c r="J94" s="62">
        <f>'дод 3 '!K163</f>
        <v>0</v>
      </c>
      <c r="K94" s="62">
        <f>'дод 3 '!L163</f>
        <v>0</v>
      </c>
      <c r="L94" s="62">
        <f>'дод 3 '!M163</f>
        <v>0</v>
      </c>
      <c r="M94" s="62">
        <f>'дод 3 '!N163</f>
        <v>0</v>
      </c>
      <c r="N94" s="62">
        <f>'дод 3 '!O163</f>
        <v>77703.06</v>
      </c>
      <c r="O94" s="62">
        <f>'дод 3 '!P163</f>
        <v>162609.06</v>
      </c>
    </row>
    <row r="95" spans="1:15" ht="39.75" customHeight="1" x14ac:dyDescent="0.25">
      <c r="A95" s="46" t="s">
        <v>172</v>
      </c>
      <c r="B95" s="51" t="s">
        <v>364</v>
      </c>
      <c r="C95" s="3" t="s">
        <v>173</v>
      </c>
      <c r="D95" s="62">
        <f>'дод 3 '!E141+'дод 3 '!E176</f>
        <v>14119346.390000001</v>
      </c>
      <c r="E95" s="62">
        <f>'дод 3 '!F141+'дод 3 '!F176</f>
        <v>14115046.390000001</v>
      </c>
      <c r="F95" s="62">
        <f>'дод 3 '!G141+'дод 3 '!G176</f>
        <v>0</v>
      </c>
      <c r="G95" s="62">
        <f>'дод 3 '!H141+'дод 3 '!H176</f>
        <v>42400</v>
      </c>
      <c r="H95" s="62">
        <f>'дод 3 '!I141+'дод 3 '!I176</f>
        <v>4300</v>
      </c>
      <c r="I95" s="62">
        <f>'дод 3 '!J141+'дод 3 '!J176</f>
        <v>800708.78999999911</v>
      </c>
      <c r="J95" s="62">
        <f>'дод 3 '!K141+'дод 3 '!K176</f>
        <v>800708.78999999911</v>
      </c>
      <c r="K95" s="62">
        <f>'дод 3 '!L141+'дод 3 '!L176</f>
        <v>0</v>
      </c>
      <c r="L95" s="62">
        <f>'дод 3 '!M141+'дод 3 '!M176</f>
        <v>0</v>
      </c>
      <c r="M95" s="62">
        <f>'дод 3 '!N141+'дод 3 '!N176</f>
        <v>0</v>
      </c>
      <c r="N95" s="62">
        <f>'дод 3 '!O141+'дод 3 '!O176</f>
        <v>800708.78999999911</v>
      </c>
      <c r="O95" s="62">
        <f>'дод 3 '!P141+'дод 3 '!P176</f>
        <v>14920055.18</v>
      </c>
    </row>
    <row r="96" spans="1:15" s="82" customFormat="1" ht="29.25" customHeight="1" x14ac:dyDescent="0.25">
      <c r="A96" s="47" t="s">
        <v>164</v>
      </c>
      <c r="B96" s="50"/>
      <c r="C96" s="2" t="s">
        <v>165</v>
      </c>
      <c r="D96" s="61">
        <f>D98+D100+D112+D117+D119+D128</f>
        <v>32749667</v>
      </c>
      <c r="E96" s="61">
        <f t="shared" ref="E96:O96" si="9">E98+E100+E112+E117+E119+E128</f>
        <v>20932667</v>
      </c>
      <c r="F96" s="61">
        <f t="shared" si="9"/>
        <v>0</v>
      </c>
      <c r="G96" s="61">
        <f t="shared" si="9"/>
        <v>0</v>
      </c>
      <c r="H96" s="61">
        <f t="shared" si="9"/>
        <v>11817000</v>
      </c>
      <c r="I96" s="61">
        <f>I98+I100+I112+I117+I119+I128</f>
        <v>324485433.25999999</v>
      </c>
      <c r="J96" s="61">
        <f t="shared" si="9"/>
        <v>229976301.13</v>
      </c>
      <c r="K96" s="61">
        <f t="shared" si="9"/>
        <v>82171363.010000005</v>
      </c>
      <c r="L96" s="61">
        <f t="shared" si="9"/>
        <v>0</v>
      </c>
      <c r="M96" s="61">
        <f t="shared" si="9"/>
        <v>0</v>
      </c>
      <c r="N96" s="61">
        <f t="shared" si="9"/>
        <v>242314070.25</v>
      </c>
      <c r="O96" s="61">
        <f t="shared" si="9"/>
        <v>357235100.25999999</v>
      </c>
    </row>
    <row r="97" spans="1:15" s="82" customFormat="1" ht="18.75" customHeight="1" x14ac:dyDescent="0.25">
      <c r="A97" s="47"/>
      <c r="B97" s="50"/>
      <c r="C97" s="2" t="s">
        <v>308</v>
      </c>
      <c r="D97" s="61">
        <f>D101+D113</f>
        <v>0</v>
      </c>
      <c r="E97" s="61">
        <f t="shared" ref="E97:O97" si="10">E101+E113</f>
        <v>0</v>
      </c>
      <c r="F97" s="61">
        <f t="shared" si="10"/>
        <v>0</v>
      </c>
      <c r="G97" s="61">
        <f t="shared" si="10"/>
        <v>0</v>
      </c>
      <c r="H97" s="61">
        <f t="shared" si="10"/>
        <v>0</v>
      </c>
      <c r="I97" s="61">
        <f t="shared" si="10"/>
        <v>81187498.930000007</v>
      </c>
      <c r="J97" s="61">
        <f t="shared" si="10"/>
        <v>1187498.93</v>
      </c>
      <c r="K97" s="61">
        <f t="shared" si="10"/>
        <v>80000000</v>
      </c>
      <c r="L97" s="61">
        <f t="shared" si="10"/>
        <v>0</v>
      </c>
      <c r="M97" s="61">
        <f t="shared" si="10"/>
        <v>0</v>
      </c>
      <c r="N97" s="61">
        <f t="shared" si="10"/>
        <v>1187498.93</v>
      </c>
      <c r="O97" s="61">
        <f t="shared" si="10"/>
        <v>81187498.930000007</v>
      </c>
    </row>
    <row r="98" spans="1:15" s="82" customFormat="1" x14ac:dyDescent="0.25">
      <c r="A98" s="47" t="s">
        <v>174</v>
      </c>
      <c r="B98" s="50"/>
      <c r="C98" s="2" t="s">
        <v>175</v>
      </c>
      <c r="D98" s="61">
        <f t="shared" ref="D98:O98" si="11">D99</f>
        <v>700000</v>
      </c>
      <c r="E98" s="61">
        <f t="shared" si="11"/>
        <v>700000</v>
      </c>
      <c r="F98" s="61">
        <f t="shared" si="11"/>
        <v>0</v>
      </c>
      <c r="G98" s="61">
        <f t="shared" si="11"/>
        <v>0</v>
      </c>
      <c r="H98" s="61">
        <f t="shared" si="11"/>
        <v>0</v>
      </c>
      <c r="I98" s="61">
        <f t="shared" si="11"/>
        <v>0</v>
      </c>
      <c r="J98" s="61">
        <f t="shared" si="11"/>
        <v>0</v>
      </c>
      <c r="K98" s="61">
        <f t="shared" si="11"/>
        <v>0</v>
      </c>
      <c r="L98" s="61">
        <f t="shared" si="11"/>
        <v>0</v>
      </c>
      <c r="M98" s="61">
        <f t="shared" si="11"/>
        <v>0</v>
      </c>
      <c r="N98" s="61">
        <f t="shared" si="11"/>
        <v>0</v>
      </c>
      <c r="O98" s="61">
        <f t="shared" si="11"/>
        <v>700000</v>
      </c>
    </row>
    <row r="99" spans="1:15" ht="24" customHeight="1" x14ac:dyDescent="0.25">
      <c r="A99" s="46" t="s">
        <v>166</v>
      </c>
      <c r="B99" s="46" t="s">
        <v>103</v>
      </c>
      <c r="C99" s="3" t="s">
        <v>406</v>
      </c>
      <c r="D99" s="62">
        <f>'дод 3 '!E184</f>
        <v>700000</v>
      </c>
      <c r="E99" s="62">
        <f>'дод 3 '!F184</f>
        <v>700000</v>
      </c>
      <c r="F99" s="62">
        <f>'дод 3 '!G184</f>
        <v>0</v>
      </c>
      <c r="G99" s="62">
        <f>'дод 3 '!H184</f>
        <v>0</v>
      </c>
      <c r="H99" s="62">
        <f>'дод 3 '!I184</f>
        <v>0</v>
      </c>
      <c r="I99" s="62">
        <f>'дод 3 '!J184</f>
        <v>0</v>
      </c>
      <c r="J99" s="62">
        <f>'дод 3 '!K184</f>
        <v>0</v>
      </c>
      <c r="K99" s="62">
        <f>'дод 3 '!L184</f>
        <v>0</v>
      </c>
      <c r="L99" s="62">
        <f>'дод 3 '!M184</f>
        <v>0</v>
      </c>
      <c r="M99" s="62">
        <f>'дод 3 '!N184</f>
        <v>0</v>
      </c>
      <c r="N99" s="62">
        <f>'дод 3 '!O184</f>
        <v>0</v>
      </c>
      <c r="O99" s="62">
        <f>'дод 3 '!P184</f>
        <v>700000</v>
      </c>
    </row>
    <row r="100" spans="1:15" s="82" customFormat="1" ht="21" customHeight="1" x14ac:dyDescent="0.25">
      <c r="A100" s="47" t="s">
        <v>117</v>
      </c>
      <c r="B100" s="47"/>
      <c r="C100" s="13" t="s">
        <v>167</v>
      </c>
      <c r="D100" s="61">
        <f>D102+D103+D104+D106+D107+D109+D105+D108+D110</f>
        <v>0</v>
      </c>
      <c r="E100" s="61">
        <f t="shared" ref="E100:O100" si="12">E102+E103+E104+E106+E107+E109+E105+E108+E110</f>
        <v>0</v>
      </c>
      <c r="F100" s="61">
        <f t="shared" si="12"/>
        <v>0</v>
      </c>
      <c r="G100" s="61">
        <f t="shared" si="12"/>
        <v>0</v>
      </c>
      <c r="H100" s="61">
        <f t="shared" si="12"/>
        <v>0</v>
      </c>
      <c r="I100" s="61">
        <f t="shared" si="12"/>
        <v>84511249.129999995</v>
      </c>
      <c r="J100" s="61">
        <f t="shared" si="12"/>
        <v>84511249.129999995</v>
      </c>
      <c r="K100" s="61">
        <f t="shared" si="12"/>
        <v>0</v>
      </c>
      <c r="L100" s="61">
        <f t="shared" si="12"/>
        <v>0</v>
      </c>
      <c r="M100" s="61">
        <f t="shared" si="12"/>
        <v>0</v>
      </c>
      <c r="N100" s="61">
        <f t="shared" si="12"/>
        <v>84511249.129999995</v>
      </c>
      <c r="O100" s="61">
        <f t="shared" si="12"/>
        <v>84511249.129999995</v>
      </c>
    </row>
    <row r="101" spans="1:15" s="82" customFormat="1" ht="21" customHeight="1" x14ac:dyDescent="0.25">
      <c r="A101" s="47"/>
      <c r="B101" s="47"/>
      <c r="C101" s="2" t="s">
        <v>308</v>
      </c>
      <c r="D101" s="61">
        <f>D111</f>
        <v>0</v>
      </c>
      <c r="E101" s="61">
        <f t="shared" ref="E101:O101" si="13">E111</f>
        <v>0</v>
      </c>
      <c r="F101" s="61">
        <f t="shared" si="13"/>
        <v>0</v>
      </c>
      <c r="G101" s="61">
        <f t="shared" si="13"/>
        <v>0</v>
      </c>
      <c r="H101" s="61">
        <f t="shared" si="13"/>
        <v>0</v>
      </c>
      <c r="I101" s="61">
        <f t="shared" si="13"/>
        <v>1187498.93</v>
      </c>
      <c r="J101" s="61">
        <f t="shared" si="13"/>
        <v>1187498.93</v>
      </c>
      <c r="K101" s="61">
        <f t="shared" si="13"/>
        <v>0</v>
      </c>
      <c r="L101" s="61">
        <f t="shared" si="13"/>
        <v>0</v>
      </c>
      <c r="M101" s="61">
        <f t="shared" si="13"/>
        <v>0</v>
      </c>
      <c r="N101" s="61">
        <f t="shared" si="13"/>
        <v>1187498.93</v>
      </c>
      <c r="O101" s="61">
        <f t="shared" si="13"/>
        <v>1187498.93</v>
      </c>
    </row>
    <row r="102" spans="1:15" ht="28.5" customHeight="1" x14ac:dyDescent="0.25">
      <c r="A102" s="49" t="s">
        <v>315</v>
      </c>
      <c r="B102" s="49" t="s">
        <v>132</v>
      </c>
      <c r="C102" s="3" t="s">
        <v>324</v>
      </c>
      <c r="D102" s="62">
        <f>'дод 3 '!E164+'дод 3 '!E142</f>
        <v>0</v>
      </c>
      <c r="E102" s="62">
        <f>'дод 3 '!F164+'дод 3 '!F142</f>
        <v>0</v>
      </c>
      <c r="F102" s="62">
        <f>'дод 3 '!G164+'дод 3 '!G142</f>
        <v>0</v>
      </c>
      <c r="G102" s="62">
        <f>'дод 3 '!H164+'дод 3 '!H142</f>
        <v>0</v>
      </c>
      <c r="H102" s="62">
        <f>'дод 3 '!I164+'дод 3 '!I142</f>
        <v>0</v>
      </c>
      <c r="I102" s="62">
        <f>'дод 3 '!J164+'дод 3 '!J142</f>
        <v>13446097.759999998</v>
      </c>
      <c r="J102" s="62">
        <f>'дод 3 '!K164+'дод 3 '!K142</f>
        <v>13446097.759999998</v>
      </c>
      <c r="K102" s="62">
        <f>'дод 3 '!L164+'дод 3 '!L142</f>
        <v>0</v>
      </c>
      <c r="L102" s="62">
        <f>'дод 3 '!M164+'дод 3 '!M142</f>
        <v>0</v>
      </c>
      <c r="M102" s="62">
        <f>'дод 3 '!N164+'дод 3 '!N142</f>
        <v>0</v>
      </c>
      <c r="N102" s="62">
        <f>'дод 3 '!O164+'дод 3 '!O142</f>
        <v>13446097.759999998</v>
      </c>
      <c r="O102" s="62">
        <f>'дод 3 '!P164+'дод 3 '!P142</f>
        <v>13446097.759999998</v>
      </c>
    </row>
    <row r="103" spans="1:15" s="84" customFormat="1" ht="28.5" customHeight="1" x14ac:dyDescent="0.25">
      <c r="A103" s="49" t="s">
        <v>320</v>
      </c>
      <c r="B103" s="49" t="s">
        <v>132</v>
      </c>
      <c r="C103" s="3" t="s">
        <v>325</v>
      </c>
      <c r="D103" s="62">
        <f>'дод 3 '!E165</f>
        <v>0</v>
      </c>
      <c r="E103" s="62">
        <f>'дод 3 '!F165</f>
        <v>0</v>
      </c>
      <c r="F103" s="62">
        <f>'дод 3 '!G165</f>
        <v>0</v>
      </c>
      <c r="G103" s="62">
        <f>'дод 3 '!H165</f>
        <v>0</v>
      </c>
      <c r="H103" s="62">
        <f>'дод 3 '!I165</f>
        <v>0</v>
      </c>
      <c r="I103" s="62">
        <f>'дод 3 '!J165</f>
        <v>4000000</v>
      </c>
      <c r="J103" s="62">
        <f>'дод 3 '!K165</f>
        <v>4000000</v>
      </c>
      <c r="K103" s="62">
        <f>'дод 3 '!L165</f>
        <v>0</v>
      </c>
      <c r="L103" s="62">
        <f>'дод 3 '!M165</f>
        <v>0</v>
      </c>
      <c r="M103" s="62">
        <f>'дод 3 '!N165</f>
        <v>0</v>
      </c>
      <c r="N103" s="62">
        <f>'дод 3 '!O165</f>
        <v>4000000</v>
      </c>
      <c r="O103" s="62">
        <f>'дод 3 '!P165</f>
        <v>4000000</v>
      </c>
    </row>
    <row r="104" spans="1:15" s="84" customFormat="1" ht="28.5" customHeight="1" x14ac:dyDescent="0.25">
      <c r="A104" s="49" t="s">
        <v>322</v>
      </c>
      <c r="B104" s="49" t="s">
        <v>132</v>
      </c>
      <c r="C104" s="3" t="s">
        <v>326</v>
      </c>
      <c r="D104" s="62">
        <f>'дод 3 '!E166</f>
        <v>0</v>
      </c>
      <c r="E104" s="62">
        <f>'дод 3 '!F166</f>
        <v>0</v>
      </c>
      <c r="F104" s="62">
        <f>'дод 3 '!G166</f>
        <v>0</v>
      </c>
      <c r="G104" s="62">
        <f>'дод 3 '!H166</f>
        <v>0</v>
      </c>
      <c r="H104" s="62">
        <f>'дод 3 '!I166</f>
        <v>0</v>
      </c>
      <c r="I104" s="62">
        <f>'дод 3 '!J166</f>
        <v>4454849</v>
      </c>
      <c r="J104" s="62">
        <f>'дод 3 '!K166</f>
        <v>4454849</v>
      </c>
      <c r="K104" s="62">
        <f>'дод 3 '!L166</f>
        <v>0</v>
      </c>
      <c r="L104" s="62">
        <f>'дод 3 '!M166</f>
        <v>0</v>
      </c>
      <c r="M104" s="62">
        <f>'дод 3 '!N166</f>
        <v>0</v>
      </c>
      <c r="N104" s="62">
        <f>'дод 3 '!O166</f>
        <v>4454849</v>
      </c>
      <c r="O104" s="62">
        <f>'дод 3 '!P166</f>
        <v>4454849</v>
      </c>
    </row>
    <row r="105" spans="1:15" s="84" customFormat="1" ht="31.5" x14ac:dyDescent="0.25">
      <c r="A105" s="49">
        <v>7325</v>
      </c>
      <c r="B105" s="49">
        <v>443</v>
      </c>
      <c r="C105" s="3" t="s">
        <v>422</v>
      </c>
      <c r="D105" s="62">
        <f>'дод 3 '!E167</f>
        <v>0</v>
      </c>
      <c r="E105" s="62">
        <f>'дод 3 '!F167</f>
        <v>0</v>
      </c>
      <c r="F105" s="62">
        <f>'дод 3 '!G167</f>
        <v>0</v>
      </c>
      <c r="G105" s="62">
        <f>'дод 3 '!H167</f>
        <v>0</v>
      </c>
      <c r="H105" s="62">
        <f>'дод 3 '!I167</f>
        <v>0</v>
      </c>
      <c r="I105" s="62">
        <f>'дод 3 '!J167</f>
        <v>100000</v>
      </c>
      <c r="J105" s="62">
        <f>'дод 3 '!K167</f>
        <v>100000</v>
      </c>
      <c r="K105" s="62">
        <f>'дод 3 '!L167</f>
        <v>0</v>
      </c>
      <c r="L105" s="62">
        <f>'дод 3 '!M167</f>
        <v>0</v>
      </c>
      <c r="M105" s="62">
        <f>'дод 3 '!N167</f>
        <v>0</v>
      </c>
      <c r="N105" s="62">
        <f>'дод 3 '!O167</f>
        <v>100000</v>
      </c>
      <c r="O105" s="62">
        <f>'дод 3 '!P167</f>
        <v>100000</v>
      </c>
    </row>
    <row r="106" spans="1:15" ht="32.25" customHeight="1" x14ac:dyDescent="0.25">
      <c r="A106" s="49" t="s">
        <v>317</v>
      </c>
      <c r="B106" s="49" t="s">
        <v>132</v>
      </c>
      <c r="C106" s="3" t="s">
        <v>389</v>
      </c>
      <c r="D106" s="62">
        <f>'дод 3 '!E168+'дод 3 '!E143</f>
        <v>0</v>
      </c>
      <c r="E106" s="62">
        <f>'дод 3 '!F168+'дод 3 '!F143</f>
        <v>0</v>
      </c>
      <c r="F106" s="62">
        <f>'дод 3 '!G168+'дод 3 '!G143</f>
        <v>0</v>
      </c>
      <c r="G106" s="62">
        <f>'дод 3 '!H168+'дод 3 '!H143</f>
        <v>0</v>
      </c>
      <c r="H106" s="62">
        <f>'дод 3 '!I168+'дод 3 '!I143</f>
        <v>0</v>
      </c>
      <c r="I106" s="62">
        <f>'дод 3 '!J168+'дод 3 '!J143</f>
        <v>48739821.769999996</v>
      </c>
      <c r="J106" s="62">
        <f>'дод 3 '!K168+'дод 3 '!K143</f>
        <v>48739821.769999996</v>
      </c>
      <c r="K106" s="62">
        <f>'дод 3 '!L168+'дод 3 '!L143</f>
        <v>0</v>
      </c>
      <c r="L106" s="62">
        <f>'дод 3 '!M168+'дод 3 '!M143</f>
        <v>0</v>
      </c>
      <c r="M106" s="62">
        <f>'дод 3 '!N168+'дод 3 '!N143</f>
        <v>0</v>
      </c>
      <c r="N106" s="62">
        <f>'дод 3 '!O168+'дод 3 '!O143</f>
        <v>48739821.769999996</v>
      </c>
      <c r="O106" s="62">
        <f>'дод 3 '!P168+'дод 3 '!P143</f>
        <v>48739821.769999996</v>
      </c>
    </row>
    <row r="107" spans="1:15" ht="35.25" customHeight="1" x14ac:dyDescent="0.25">
      <c r="A107" s="46" t="s">
        <v>168</v>
      </c>
      <c r="B107" s="46" t="s">
        <v>132</v>
      </c>
      <c r="C107" s="3" t="s">
        <v>1</v>
      </c>
      <c r="D107" s="62">
        <f>'дод 3 '!E145</f>
        <v>0</v>
      </c>
      <c r="E107" s="62">
        <f>'дод 3 '!F145</f>
        <v>0</v>
      </c>
      <c r="F107" s="62">
        <f>'дод 3 '!G145</f>
        <v>0</v>
      </c>
      <c r="G107" s="62">
        <f>'дод 3 '!H145</f>
        <v>0</v>
      </c>
      <c r="H107" s="62">
        <f>'дод 3 '!I145</f>
        <v>0</v>
      </c>
      <c r="I107" s="62">
        <f>'дод 3 '!J145</f>
        <v>3000000</v>
      </c>
      <c r="J107" s="62">
        <f>'дод 3 '!K145</f>
        <v>3000000</v>
      </c>
      <c r="K107" s="62">
        <f>'дод 3 '!L145</f>
        <v>0</v>
      </c>
      <c r="L107" s="62">
        <f>'дод 3 '!M145</f>
        <v>0</v>
      </c>
      <c r="M107" s="62">
        <f>'дод 3 '!N145</f>
        <v>0</v>
      </c>
      <c r="N107" s="62">
        <f>'дод 3 '!O145</f>
        <v>3000000</v>
      </c>
      <c r="O107" s="62">
        <f>'дод 3 '!P145</f>
        <v>3000000</v>
      </c>
    </row>
    <row r="108" spans="1:15" ht="51.75" customHeight="1" x14ac:dyDescent="0.25">
      <c r="A108" s="46">
        <v>7361</v>
      </c>
      <c r="B108" s="46" t="s">
        <v>102</v>
      </c>
      <c r="C108" s="3" t="s">
        <v>449</v>
      </c>
      <c r="D108" s="62">
        <f>'дод 3 '!E144+'дод 3 '!E169+'дод 3 '!E90</f>
        <v>0</v>
      </c>
      <c r="E108" s="62">
        <f>'дод 3 '!F144+'дод 3 '!F169+'дод 3 '!F90</f>
        <v>0</v>
      </c>
      <c r="F108" s="62">
        <f>'дод 3 '!G144+'дод 3 '!G169+'дод 3 '!G90</f>
        <v>0</v>
      </c>
      <c r="G108" s="62">
        <f>'дод 3 '!H144+'дод 3 '!H169+'дод 3 '!H90</f>
        <v>0</v>
      </c>
      <c r="H108" s="62">
        <f>'дод 3 '!I144+'дод 3 '!I169+'дод 3 '!I90</f>
        <v>0</v>
      </c>
      <c r="I108" s="62">
        <f>'дод 3 '!J144+'дод 3 '!J169+'дод 3 '!J90</f>
        <v>9386113</v>
      </c>
      <c r="J108" s="62">
        <f>'дод 3 '!K144+'дод 3 '!K169+'дод 3 '!K90</f>
        <v>9386113</v>
      </c>
      <c r="K108" s="62">
        <f>'дод 3 '!L144+'дод 3 '!L169+'дод 3 '!L90</f>
        <v>0</v>
      </c>
      <c r="L108" s="62">
        <f>'дод 3 '!M144+'дод 3 '!M169+'дод 3 '!M90</f>
        <v>0</v>
      </c>
      <c r="M108" s="62">
        <f>'дод 3 '!N144+'дод 3 '!N169+'дод 3 '!N90</f>
        <v>0</v>
      </c>
      <c r="N108" s="62">
        <f>'дод 3 '!O144+'дод 3 '!O169+'дод 3 '!O90</f>
        <v>9386113</v>
      </c>
      <c r="O108" s="62">
        <f>'дод 3 '!P144+'дод 3 '!P169+'дод 3 '!P90</f>
        <v>9386113</v>
      </c>
    </row>
    <row r="109" spans="1:15" s="84" customFormat="1" ht="46.5" customHeight="1" x14ac:dyDescent="0.25">
      <c r="A109" s="46">
        <v>7362</v>
      </c>
      <c r="B109" s="46" t="s">
        <v>102</v>
      </c>
      <c r="C109" s="3" t="s">
        <v>428</v>
      </c>
      <c r="D109" s="62">
        <f>'дод 3 '!E146</f>
        <v>0</v>
      </c>
      <c r="E109" s="62">
        <f>'дод 3 '!F146</f>
        <v>0</v>
      </c>
      <c r="F109" s="62">
        <f>'дод 3 '!G146</f>
        <v>0</v>
      </c>
      <c r="G109" s="62">
        <f>'дод 3 '!H146</f>
        <v>0</v>
      </c>
      <c r="H109" s="62">
        <f>'дод 3 '!I146</f>
        <v>0</v>
      </c>
      <c r="I109" s="62">
        <f>'дод 3 '!J146</f>
        <v>75600</v>
      </c>
      <c r="J109" s="62">
        <f>'дод 3 '!K146</f>
        <v>75600</v>
      </c>
      <c r="K109" s="62">
        <f>'дод 3 '!L146</f>
        <v>0</v>
      </c>
      <c r="L109" s="62">
        <f>'дод 3 '!M146</f>
        <v>0</v>
      </c>
      <c r="M109" s="62">
        <f>'дод 3 '!N146</f>
        <v>0</v>
      </c>
      <c r="N109" s="62">
        <f>'дод 3 '!O146</f>
        <v>75600</v>
      </c>
      <c r="O109" s="62">
        <f>'дод 3 '!P146</f>
        <v>75600</v>
      </c>
    </row>
    <row r="110" spans="1:15" s="84" customFormat="1" ht="46.5" customHeight="1" x14ac:dyDescent="0.25">
      <c r="A110" s="46">
        <v>7363</v>
      </c>
      <c r="B110" s="106" t="s">
        <v>102</v>
      </c>
      <c r="C110" s="107" t="s">
        <v>438</v>
      </c>
      <c r="D110" s="62">
        <f>'дод 3 '!E70+'дод 3 '!E147+'дод 3 '!E170</f>
        <v>0</v>
      </c>
      <c r="E110" s="62">
        <f>'дод 3 '!F70+'дод 3 '!F147+'дод 3 '!F170</f>
        <v>0</v>
      </c>
      <c r="F110" s="62">
        <f>'дод 3 '!G70+'дод 3 '!G147+'дод 3 '!G170</f>
        <v>0</v>
      </c>
      <c r="G110" s="62">
        <f>'дод 3 '!H70+'дод 3 '!H147+'дод 3 '!H170</f>
        <v>0</v>
      </c>
      <c r="H110" s="62">
        <f>'дод 3 '!I70+'дод 3 '!I147+'дод 3 '!I170</f>
        <v>0</v>
      </c>
      <c r="I110" s="62">
        <f>'дод 3 '!J70+'дод 3 '!J147+'дод 3 '!J170</f>
        <v>1308767.6000000001</v>
      </c>
      <c r="J110" s="62">
        <f>'дод 3 '!K70+'дод 3 '!K147+'дод 3 '!K170</f>
        <v>1308767.6000000001</v>
      </c>
      <c r="K110" s="62">
        <f>'дод 3 '!L70+'дод 3 '!L147+'дод 3 '!L170</f>
        <v>0</v>
      </c>
      <c r="L110" s="62">
        <f>'дод 3 '!M70+'дод 3 '!M147+'дод 3 '!M170</f>
        <v>0</v>
      </c>
      <c r="M110" s="62">
        <f>'дод 3 '!N70+'дод 3 '!N147+'дод 3 '!N170</f>
        <v>0</v>
      </c>
      <c r="N110" s="62">
        <f>'дод 3 '!O70+'дод 3 '!O147+'дод 3 '!O170</f>
        <v>1308767.6000000001</v>
      </c>
      <c r="O110" s="62">
        <f>'дод 3 '!P70+'дод 3 '!P147+'дод 3 '!P170</f>
        <v>1308767.6000000001</v>
      </c>
    </row>
    <row r="111" spans="1:15" s="84" customFormat="1" x14ac:dyDescent="0.25">
      <c r="A111" s="46"/>
      <c r="B111" s="106"/>
      <c r="C111" s="3" t="s">
        <v>308</v>
      </c>
      <c r="D111" s="62">
        <f>'дод 3 '!E71+'дод 3 '!E148</f>
        <v>0</v>
      </c>
      <c r="E111" s="62">
        <f>'дод 3 '!F71+'дод 3 '!F148</f>
        <v>0</v>
      </c>
      <c r="F111" s="62">
        <f>'дод 3 '!G71+'дод 3 '!G148</f>
        <v>0</v>
      </c>
      <c r="G111" s="62">
        <f>'дод 3 '!H71+'дод 3 '!H148</f>
        <v>0</v>
      </c>
      <c r="H111" s="62">
        <f>'дод 3 '!I71+'дод 3 '!I148</f>
        <v>0</v>
      </c>
      <c r="I111" s="62">
        <f>'дод 3 '!J71+'дод 3 '!J148</f>
        <v>1187498.93</v>
      </c>
      <c r="J111" s="62">
        <f>'дод 3 '!K71+'дод 3 '!K148</f>
        <v>1187498.93</v>
      </c>
      <c r="K111" s="62">
        <f>'дод 3 '!L71+'дод 3 '!L148</f>
        <v>0</v>
      </c>
      <c r="L111" s="62">
        <f>'дод 3 '!M71+'дод 3 '!M148</f>
        <v>0</v>
      </c>
      <c r="M111" s="62">
        <f>'дод 3 '!N71+'дод 3 '!N148</f>
        <v>0</v>
      </c>
      <c r="N111" s="62">
        <f>'дод 3 '!O71+'дод 3 '!O148</f>
        <v>1187498.93</v>
      </c>
      <c r="O111" s="62">
        <f>'дод 3 '!P71+'дод 3 '!P148</f>
        <v>1187498.93</v>
      </c>
    </row>
    <row r="112" spans="1:15" s="82" customFormat="1" ht="39.75" customHeight="1" x14ac:dyDescent="0.25">
      <c r="A112" s="47" t="s">
        <v>105</v>
      </c>
      <c r="B112" s="50"/>
      <c r="C112" s="2" t="s">
        <v>2</v>
      </c>
      <c r="D112" s="61">
        <f>D114+D115</f>
        <v>10000000</v>
      </c>
      <c r="E112" s="61">
        <f t="shared" ref="E112:O112" si="14">E114+E115</f>
        <v>0</v>
      </c>
      <c r="F112" s="61">
        <f t="shared" si="14"/>
        <v>0</v>
      </c>
      <c r="G112" s="61">
        <f t="shared" si="14"/>
        <v>0</v>
      </c>
      <c r="H112" s="61">
        <f t="shared" si="14"/>
        <v>10000000</v>
      </c>
      <c r="I112" s="61">
        <f t="shared" si="14"/>
        <v>80000000</v>
      </c>
      <c r="J112" s="61">
        <f t="shared" si="14"/>
        <v>0</v>
      </c>
      <c r="K112" s="61">
        <f t="shared" si="14"/>
        <v>80000000</v>
      </c>
      <c r="L112" s="61">
        <f t="shared" si="14"/>
        <v>0</v>
      </c>
      <c r="M112" s="61">
        <f t="shared" si="14"/>
        <v>0</v>
      </c>
      <c r="N112" s="61">
        <f t="shared" si="14"/>
        <v>0</v>
      </c>
      <c r="O112" s="61">
        <f t="shared" si="14"/>
        <v>90000000</v>
      </c>
    </row>
    <row r="113" spans="1:15" s="82" customFormat="1" ht="17.25" customHeight="1" x14ac:dyDescent="0.25">
      <c r="A113" s="47"/>
      <c r="B113" s="50"/>
      <c r="C113" s="2" t="s">
        <v>308</v>
      </c>
      <c r="D113" s="61">
        <f>D116</f>
        <v>0</v>
      </c>
      <c r="E113" s="61">
        <f t="shared" ref="E113:O113" si="15">E116</f>
        <v>0</v>
      </c>
      <c r="F113" s="61">
        <f t="shared" si="15"/>
        <v>0</v>
      </c>
      <c r="G113" s="61">
        <f t="shared" si="15"/>
        <v>0</v>
      </c>
      <c r="H113" s="61">
        <f t="shared" si="15"/>
        <v>0</v>
      </c>
      <c r="I113" s="61">
        <f t="shared" si="15"/>
        <v>80000000</v>
      </c>
      <c r="J113" s="61">
        <f t="shared" si="15"/>
        <v>0</v>
      </c>
      <c r="K113" s="61">
        <f t="shared" si="15"/>
        <v>80000000</v>
      </c>
      <c r="L113" s="61">
        <f t="shared" si="15"/>
        <v>0</v>
      </c>
      <c r="M113" s="61">
        <f t="shared" si="15"/>
        <v>0</v>
      </c>
      <c r="N113" s="61">
        <f t="shared" si="15"/>
        <v>0</v>
      </c>
      <c r="O113" s="61">
        <f t="shared" si="15"/>
        <v>80000000</v>
      </c>
    </row>
    <row r="114" spans="1:15" s="84" customFormat="1" ht="30" customHeight="1" x14ac:dyDescent="0.25">
      <c r="A114" s="46" t="s">
        <v>4</v>
      </c>
      <c r="B114" s="46" t="s">
        <v>104</v>
      </c>
      <c r="C114" s="3" t="s">
        <v>49</v>
      </c>
      <c r="D114" s="62">
        <f>'дод 3 '!E37</f>
        <v>10000000</v>
      </c>
      <c r="E114" s="62">
        <f>'дод 3 '!F37</f>
        <v>0</v>
      </c>
      <c r="F114" s="62">
        <f>'дод 3 '!G37</f>
        <v>0</v>
      </c>
      <c r="G114" s="62">
        <f>'дод 3 '!H37</f>
        <v>0</v>
      </c>
      <c r="H114" s="62">
        <f>'дод 3 '!I37</f>
        <v>10000000</v>
      </c>
      <c r="I114" s="62">
        <f>'дод 3 '!J37</f>
        <v>0</v>
      </c>
      <c r="J114" s="62">
        <f>'дод 3 '!K37</f>
        <v>0</v>
      </c>
      <c r="K114" s="62">
        <f>'дод 3 '!L37</f>
        <v>0</v>
      </c>
      <c r="L114" s="62">
        <f>'дод 3 '!M37</f>
        <v>0</v>
      </c>
      <c r="M114" s="62">
        <f>'дод 3 '!N37</f>
        <v>0</v>
      </c>
      <c r="N114" s="62">
        <f>'дод 3 '!O37</f>
        <v>0</v>
      </c>
      <c r="O114" s="62">
        <f>'дод 3 '!P37</f>
        <v>10000000</v>
      </c>
    </row>
    <row r="115" spans="1:15" s="84" customFormat="1" ht="39.75" customHeight="1" x14ac:dyDescent="0.25">
      <c r="A115" s="46">
        <v>7462</v>
      </c>
      <c r="B115" s="46">
        <v>456</v>
      </c>
      <c r="C115" s="3" t="s">
        <v>452</v>
      </c>
      <c r="D115" s="62">
        <f>'дод 3 '!E149</f>
        <v>0</v>
      </c>
      <c r="E115" s="62">
        <f>'дод 3 '!F149</f>
        <v>0</v>
      </c>
      <c r="F115" s="62">
        <f>'дод 3 '!G149</f>
        <v>0</v>
      </c>
      <c r="G115" s="62">
        <f>'дод 3 '!H149</f>
        <v>0</v>
      </c>
      <c r="H115" s="62">
        <f>'дод 3 '!I149</f>
        <v>0</v>
      </c>
      <c r="I115" s="62">
        <f>'дод 3 '!J149</f>
        <v>80000000</v>
      </c>
      <c r="J115" s="62">
        <f>'дод 3 '!K149</f>
        <v>0</v>
      </c>
      <c r="K115" s="62">
        <f>'дод 3 '!L149</f>
        <v>80000000</v>
      </c>
      <c r="L115" s="62">
        <f>'дод 3 '!M149</f>
        <v>0</v>
      </c>
      <c r="M115" s="62">
        <f>'дод 3 '!N149</f>
        <v>0</v>
      </c>
      <c r="N115" s="62">
        <f>'дод 3 '!O149</f>
        <v>0</v>
      </c>
      <c r="O115" s="62">
        <f>'дод 3 '!P149</f>
        <v>80000000</v>
      </c>
    </row>
    <row r="116" spans="1:15" s="84" customFormat="1" ht="17.25" customHeight="1" x14ac:dyDescent="0.25">
      <c r="A116" s="46"/>
      <c r="B116" s="46"/>
      <c r="C116" s="3" t="s">
        <v>308</v>
      </c>
      <c r="D116" s="62">
        <f>'дод 3 '!E150</f>
        <v>0</v>
      </c>
      <c r="E116" s="62">
        <f>'дод 3 '!F150</f>
        <v>0</v>
      </c>
      <c r="F116" s="62">
        <f>'дод 3 '!G150</f>
        <v>0</v>
      </c>
      <c r="G116" s="62">
        <f>'дод 3 '!H150</f>
        <v>0</v>
      </c>
      <c r="H116" s="62">
        <f>'дод 3 '!I150</f>
        <v>0</v>
      </c>
      <c r="I116" s="62">
        <f>'дод 3 '!J150</f>
        <v>80000000</v>
      </c>
      <c r="J116" s="62">
        <f>'дод 3 '!K150</f>
        <v>0</v>
      </c>
      <c r="K116" s="62">
        <f>'дод 3 '!L150</f>
        <v>80000000</v>
      </c>
      <c r="L116" s="62">
        <f>'дод 3 '!M150</f>
        <v>0</v>
      </c>
      <c r="M116" s="62">
        <f>'дод 3 '!N150</f>
        <v>0</v>
      </c>
      <c r="N116" s="62">
        <f>'дод 3 '!O150</f>
        <v>0</v>
      </c>
      <c r="O116" s="62">
        <f>'дод 3 '!P150</f>
        <v>80000000</v>
      </c>
    </row>
    <row r="117" spans="1:15" s="82" customFormat="1" ht="28.5" customHeight="1" x14ac:dyDescent="0.25">
      <c r="A117" s="48" t="s">
        <v>279</v>
      </c>
      <c r="B117" s="50"/>
      <c r="C117" s="2" t="s">
        <v>280</v>
      </c>
      <c r="D117" s="61">
        <f t="shared" ref="D117:O117" si="16">D118</f>
        <v>13450000</v>
      </c>
      <c r="E117" s="61">
        <f t="shared" si="16"/>
        <v>13450000</v>
      </c>
      <c r="F117" s="61">
        <f t="shared" si="16"/>
        <v>0</v>
      </c>
      <c r="G117" s="61">
        <f t="shared" si="16"/>
        <v>0</v>
      </c>
      <c r="H117" s="61">
        <f t="shared" si="16"/>
        <v>0</v>
      </c>
      <c r="I117" s="61">
        <f t="shared" si="16"/>
        <v>6050000</v>
      </c>
      <c r="J117" s="61">
        <f t="shared" si="16"/>
        <v>6050000</v>
      </c>
      <c r="K117" s="61">
        <f t="shared" si="16"/>
        <v>0</v>
      </c>
      <c r="L117" s="61">
        <f t="shared" si="16"/>
        <v>0</v>
      </c>
      <c r="M117" s="61">
        <f t="shared" si="16"/>
        <v>0</v>
      </c>
      <c r="N117" s="61">
        <f t="shared" si="16"/>
        <v>6050000</v>
      </c>
      <c r="O117" s="61">
        <f t="shared" si="16"/>
        <v>19500000</v>
      </c>
    </row>
    <row r="118" spans="1:15" ht="37.5" customHeight="1" x14ac:dyDescent="0.25">
      <c r="A118" s="49" t="s">
        <v>277</v>
      </c>
      <c r="B118" s="49" t="s">
        <v>278</v>
      </c>
      <c r="C118" s="11" t="s">
        <v>276</v>
      </c>
      <c r="D118" s="62">
        <f>'дод 3 '!E38</f>
        <v>13450000</v>
      </c>
      <c r="E118" s="62">
        <f>'дод 3 '!F38</f>
        <v>13450000</v>
      </c>
      <c r="F118" s="62">
        <f>'дод 3 '!G38</f>
        <v>0</v>
      </c>
      <c r="G118" s="62">
        <f>'дод 3 '!H38</f>
        <v>0</v>
      </c>
      <c r="H118" s="62">
        <f>'дод 3 '!I38</f>
        <v>0</v>
      </c>
      <c r="I118" s="62">
        <f>'дод 3 '!J38</f>
        <v>6050000</v>
      </c>
      <c r="J118" s="62">
        <f>'дод 3 '!K38</f>
        <v>6050000</v>
      </c>
      <c r="K118" s="62">
        <f>'дод 3 '!L38</f>
        <v>0</v>
      </c>
      <c r="L118" s="62">
        <f>'дод 3 '!M38</f>
        <v>0</v>
      </c>
      <c r="M118" s="62">
        <f>'дод 3 '!N38</f>
        <v>0</v>
      </c>
      <c r="N118" s="62">
        <f>'дод 3 '!O38</f>
        <v>6050000</v>
      </c>
      <c r="O118" s="62">
        <f>'дод 3 '!P38</f>
        <v>19500000</v>
      </c>
    </row>
    <row r="119" spans="1:15" s="82" customFormat="1" ht="38.25" customHeight="1" x14ac:dyDescent="0.25">
      <c r="A119" s="47" t="s">
        <v>108</v>
      </c>
      <c r="B119" s="50"/>
      <c r="C119" s="2" t="s">
        <v>5</v>
      </c>
      <c r="D119" s="61">
        <f t="shared" ref="D119:O119" si="17">D120+D121+D122+D123+D124+D125+D126+D127</f>
        <v>8599667</v>
      </c>
      <c r="E119" s="61">
        <f t="shared" si="17"/>
        <v>6782667</v>
      </c>
      <c r="F119" s="61">
        <f t="shared" si="17"/>
        <v>0</v>
      </c>
      <c r="G119" s="61">
        <f t="shared" si="17"/>
        <v>0</v>
      </c>
      <c r="H119" s="61">
        <f t="shared" si="17"/>
        <v>1817000</v>
      </c>
      <c r="I119" s="61">
        <f t="shared" si="17"/>
        <v>153039184.13</v>
      </c>
      <c r="J119" s="61">
        <f t="shared" si="17"/>
        <v>139415052</v>
      </c>
      <c r="K119" s="61">
        <f t="shared" si="17"/>
        <v>2171363.0100000002</v>
      </c>
      <c r="L119" s="61">
        <f t="shared" si="17"/>
        <v>0</v>
      </c>
      <c r="M119" s="61">
        <f t="shared" si="17"/>
        <v>0</v>
      </c>
      <c r="N119" s="61">
        <f t="shared" si="17"/>
        <v>150867821.12</v>
      </c>
      <c r="O119" s="61">
        <f t="shared" si="17"/>
        <v>161638851.13</v>
      </c>
    </row>
    <row r="120" spans="1:15" ht="30.75" customHeight="1" x14ac:dyDescent="0.25">
      <c r="A120" s="46" t="s">
        <v>6</v>
      </c>
      <c r="B120" s="46" t="s">
        <v>107</v>
      </c>
      <c r="C120" s="3" t="s">
        <v>32</v>
      </c>
      <c r="D120" s="62">
        <f>'дод 3 '!E39+'дод 3 '!E185</f>
        <v>1235000</v>
      </c>
      <c r="E120" s="62">
        <f>'дод 3 '!F39+'дод 3 '!F185</f>
        <v>617000</v>
      </c>
      <c r="F120" s="62">
        <f>'дод 3 '!G39+'дод 3 '!G185</f>
        <v>0</v>
      </c>
      <c r="G120" s="62">
        <f>'дод 3 '!H39+'дод 3 '!H185</f>
        <v>0</v>
      </c>
      <c r="H120" s="62">
        <f>'дод 3 '!I39+'дод 3 '!I185</f>
        <v>618000</v>
      </c>
      <c r="I120" s="62">
        <f>'дод 3 '!J39+'дод 3 '!J185</f>
        <v>0</v>
      </c>
      <c r="J120" s="62">
        <f>'дод 3 '!K39+'дод 3 '!K185</f>
        <v>0</v>
      </c>
      <c r="K120" s="62">
        <f>'дод 3 '!L39+'дод 3 '!L185</f>
        <v>0</v>
      </c>
      <c r="L120" s="62">
        <f>'дод 3 '!M39+'дод 3 '!M185</f>
        <v>0</v>
      </c>
      <c r="M120" s="62">
        <f>'дод 3 '!N39+'дод 3 '!N185</f>
        <v>0</v>
      </c>
      <c r="N120" s="62">
        <f>'дод 3 '!O39+'дод 3 '!O185</f>
        <v>0</v>
      </c>
      <c r="O120" s="62">
        <f>'дод 3 '!P39+'дод 3 '!P185</f>
        <v>1235000</v>
      </c>
    </row>
    <row r="121" spans="1:15" ht="24.75" customHeight="1" x14ac:dyDescent="0.25">
      <c r="A121" s="46" t="s">
        <v>3</v>
      </c>
      <c r="B121" s="46" t="s">
        <v>106</v>
      </c>
      <c r="C121" s="3" t="s">
        <v>45</v>
      </c>
      <c r="D121" s="62">
        <f>'дод 3 '!E72+'дод 3 '!E91+'дод 3 '!E128+'дод 3 '!E151+'дод 3 '!E171+'дод 3 '!E192</f>
        <v>4350811</v>
      </c>
      <c r="E121" s="62">
        <f>'дод 3 '!F72+'дод 3 '!F91+'дод 3 '!F128+'дод 3 '!F151+'дод 3 '!F171+'дод 3 '!F192</f>
        <v>3151811</v>
      </c>
      <c r="F121" s="62">
        <f>'дод 3 '!G72+'дод 3 '!G91+'дод 3 '!G128+'дод 3 '!G151+'дод 3 '!G171+'дод 3 '!G192</f>
        <v>0</v>
      </c>
      <c r="G121" s="62">
        <f>'дод 3 '!H72+'дод 3 '!H91+'дод 3 '!H128+'дод 3 '!H151+'дод 3 '!H171+'дод 3 '!H192</f>
        <v>0</v>
      </c>
      <c r="H121" s="62">
        <f>'дод 3 '!I72+'дод 3 '!I91+'дод 3 '!I128+'дод 3 '!I151+'дод 3 '!I171+'дод 3 '!I192</f>
        <v>1199000</v>
      </c>
      <c r="I121" s="62">
        <f>'дод 3 '!J72+'дод 3 '!J91+'дод 3 '!J128+'дод 3 '!J151+'дод 3 '!J171+'дод 3 '!J192</f>
        <v>109462174</v>
      </c>
      <c r="J121" s="62">
        <f>'дод 3 '!K72+'дод 3 '!K91+'дод 3 '!K128+'дод 3 '!K151+'дод 3 '!K171+'дод 3 '!K192</f>
        <v>99725722</v>
      </c>
      <c r="K121" s="62">
        <f>'дод 3 '!L72+'дод 3 '!L91+'дод 3 '!L128+'дод 3 '!L151+'дод 3 '!L171+'дод 3 '!L192</f>
        <v>0</v>
      </c>
      <c r="L121" s="62">
        <f>'дод 3 '!M72+'дод 3 '!M91+'дод 3 '!M128+'дод 3 '!M151+'дод 3 '!M171+'дод 3 '!M192</f>
        <v>0</v>
      </c>
      <c r="M121" s="62">
        <f>'дод 3 '!N72+'дод 3 '!N91+'дод 3 '!N128+'дод 3 '!N151+'дод 3 '!N171+'дод 3 '!N192</f>
        <v>0</v>
      </c>
      <c r="N121" s="62">
        <f>'дод 3 '!O72+'дод 3 '!O91+'дод 3 '!O128+'дод 3 '!O151+'дод 3 '!O171+'дод 3 '!O192</f>
        <v>109462174</v>
      </c>
      <c r="O121" s="62">
        <f>'дод 3 '!P72+'дод 3 '!P91+'дод 3 '!P128+'дод 3 '!P151+'дод 3 '!P171+'дод 3 '!P192</f>
        <v>113812985</v>
      </c>
    </row>
    <row r="122" spans="1:15" ht="33.75" customHeight="1" x14ac:dyDescent="0.25">
      <c r="A122" s="46" t="s">
        <v>310</v>
      </c>
      <c r="B122" s="46" t="s">
        <v>102</v>
      </c>
      <c r="C122" s="3" t="s">
        <v>407</v>
      </c>
      <c r="D122" s="62">
        <f>'дод 3 '!E186</f>
        <v>0</v>
      </c>
      <c r="E122" s="62">
        <f>'дод 3 '!F186</f>
        <v>0</v>
      </c>
      <c r="F122" s="62">
        <f>'дод 3 '!G186</f>
        <v>0</v>
      </c>
      <c r="G122" s="62">
        <f>'дод 3 '!H186</f>
        <v>0</v>
      </c>
      <c r="H122" s="62">
        <f>'дод 3 '!I186</f>
        <v>0</v>
      </c>
      <c r="I122" s="62">
        <f>'дод 3 '!J186</f>
        <v>30000</v>
      </c>
      <c r="J122" s="62">
        <f>'дод 3 '!K186</f>
        <v>30000</v>
      </c>
      <c r="K122" s="62">
        <f>'дод 3 '!L186</f>
        <v>0</v>
      </c>
      <c r="L122" s="62">
        <f>'дод 3 '!M186</f>
        <v>0</v>
      </c>
      <c r="M122" s="62">
        <f>'дод 3 '!N186</f>
        <v>0</v>
      </c>
      <c r="N122" s="62">
        <f>'дод 3 '!O186</f>
        <v>30000</v>
      </c>
      <c r="O122" s="62">
        <f>'дод 3 '!P186</f>
        <v>30000</v>
      </c>
    </row>
    <row r="123" spans="1:15" ht="59.25" customHeight="1" x14ac:dyDescent="0.25">
      <c r="A123" s="46" t="s">
        <v>312</v>
      </c>
      <c r="B123" s="46" t="s">
        <v>102</v>
      </c>
      <c r="C123" s="3" t="s">
        <v>313</v>
      </c>
      <c r="D123" s="62">
        <f>'дод 3 '!E187</f>
        <v>0</v>
      </c>
      <c r="E123" s="62">
        <f>'дод 3 '!F187</f>
        <v>0</v>
      </c>
      <c r="F123" s="62">
        <f>'дод 3 '!G187</f>
        <v>0</v>
      </c>
      <c r="G123" s="62">
        <f>'дод 3 '!H187</f>
        <v>0</v>
      </c>
      <c r="H123" s="62">
        <f>'дод 3 '!I187</f>
        <v>0</v>
      </c>
      <c r="I123" s="62">
        <f>'дод 3 '!J187</f>
        <v>45000</v>
      </c>
      <c r="J123" s="62">
        <f>'дод 3 '!K187</f>
        <v>45000</v>
      </c>
      <c r="K123" s="62">
        <f>'дод 3 '!L187</f>
        <v>0</v>
      </c>
      <c r="L123" s="62">
        <f>'дод 3 '!M187</f>
        <v>0</v>
      </c>
      <c r="M123" s="62">
        <f>'дод 3 '!N187</f>
        <v>0</v>
      </c>
      <c r="N123" s="62">
        <f>'дод 3 '!O187</f>
        <v>45000</v>
      </c>
      <c r="O123" s="62">
        <f>'дод 3 '!P187</f>
        <v>45000</v>
      </c>
    </row>
    <row r="124" spans="1:15" ht="30.75" customHeight="1" x14ac:dyDescent="0.25">
      <c r="A124" s="46" t="s">
        <v>7</v>
      </c>
      <c r="B124" s="46" t="s">
        <v>102</v>
      </c>
      <c r="C124" s="3" t="s">
        <v>33</v>
      </c>
      <c r="D124" s="62">
        <f>'дод 3 '!E40+'дод 3 '!E152</f>
        <v>0</v>
      </c>
      <c r="E124" s="62">
        <f>'дод 3 '!F40+'дод 3 '!F152</f>
        <v>0</v>
      </c>
      <c r="F124" s="62">
        <f>'дод 3 '!G40+'дод 3 '!G152</f>
        <v>0</v>
      </c>
      <c r="G124" s="62">
        <f>'дод 3 '!H40+'дод 3 '!H152</f>
        <v>0</v>
      </c>
      <c r="H124" s="62">
        <f>'дод 3 '!I40+'дод 3 '!I152</f>
        <v>0</v>
      </c>
      <c r="I124" s="62">
        <f>'дод 3 '!J40+'дод 3 '!J152</f>
        <v>39614330</v>
      </c>
      <c r="J124" s="62">
        <f>'дод 3 '!K40+'дод 3 '!K152</f>
        <v>39614330</v>
      </c>
      <c r="K124" s="62">
        <f>'дод 3 '!L40+'дод 3 '!L152</f>
        <v>0</v>
      </c>
      <c r="L124" s="62">
        <f>'дод 3 '!M40+'дод 3 '!M152</f>
        <v>0</v>
      </c>
      <c r="M124" s="62">
        <f>'дод 3 '!N40+'дод 3 '!N152</f>
        <v>0</v>
      </c>
      <c r="N124" s="62">
        <f>'дод 3 '!O40+'дод 3 '!O152</f>
        <v>39614330</v>
      </c>
      <c r="O124" s="62">
        <f>'дод 3 '!P40+'дод 3 '!P152</f>
        <v>39614330</v>
      </c>
    </row>
    <row r="125" spans="1:15" ht="36.75" customHeight="1" x14ac:dyDescent="0.25">
      <c r="A125" s="46" t="s">
        <v>290</v>
      </c>
      <c r="B125" s="46" t="s">
        <v>102</v>
      </c>
      <c r="C125" s="3" t="s">
        <v>291</v>
      </c>
      <c r="D125" s="62">
        <f>'дод 3 '!E41</f>
        <v>240069</v>
      </c>
      <c r="E125" s="62">
        <f>'дод 3 '!F41</f>
        <v>240069</v>
      </c>
      <c r="F125" s="62">
        <f>'дод 3 '!G41</f>
        <v>0</v>
      </c>
      <c r="G125" s="62">
        <f>'дод 3 '!H41</f>
        <v>0</v>
      </c>
      <c r="H125" s="62">
        <f>'дод 3 '!I41</f>
        <v>0</v>
      </c>
      <c r="I125" s="62">
        <f>'дод 3 '!J41</f>
        <v>0</v>
      </c>
      <c r="J125" s="62">
        <f>'дод 3 '!K41</f>
        <v>0</v>
      </c>
      <c r="K125" s="62">
        <f>'дод 3 '!L41</f>
        <v>0</v>
      </c>
      <c r="L125" s="62">
        <f>'дод 3 '!M41</f>
        <v>0</v>
      </c>
      <c r="M125" s="62">
        <f>'дод 3 '!N41</f>
        <v>0</v>
      </c>
      <c r="N125" s="62">
        <f>'дод 3 '!O41</f>
        <v>0</v>
      </c>
      <c r="O125" s="62">
        <f>'дод 3 '!P41</f>
        <v>240069</v>
      </c>
    </row>
    <row r="126" spans="1:15" s="84" customFormat="1" ht="108" customHeight="1" x14ac:dyDescent="0.25">
      <c r="A126" s="46" t="s">
        <v>346</v>
      </c>
      <c r="B126" s="46" t="s">
        <v>102</v>
      </c>
      <c r="C126" s="3" t="s">
        <v>367</v>
      </c>
      <c r="D126" s="62">
        <f>'дод 3 '!E42+'дод 3 '!E153+'дод 3 '!E172+'дод 3 '!E177</f>
        <v>0</v>
      </c>
      <c r="E126" s="62">
        <f>'дод 3 '!F42+'дод 3 '!F153+'дод 3 '!F172+'дод 3 '!F177</f>
        <v>0</v>
      </c>
      <c r="F126" s="62">
        <f>'дод 3 '!G42+'дод 3 '!G153+'дод 3 '!G172+'дод 3 '!G177</f>
        <v>0</v>
      </c>
      <c r="G126" s="62">
        <f>'дод 3 '!H42+'дод 3 '!H153+'дод 3 '!H172+'дод 3 '!H177</f>
        <v>0</v>
      </c>
      <c r="H126" s="62">
        <f>'дод 3 '!I42+'дод 3 '!I153+'дод 3 '!I172+'дод 3 '!I177</f>
        <v>0</v>
      </c>
      <c r="I126" s="62">
        <f>'дод 3 '!J42+'дод 3 '!J153+'дод 3 '!J172+'дод 3 '!J177</f>
        <v>3887680.13</v>
      </c>
      <c r="J126" s="62">
        <f>'дод 3 '!K42+'дод 3 '!K153+'дод 3 '!K172+'дод 3 '!K177</f>
        <v>0</v>
      </c>
      <c r="K126" s="62">
        <f>'дод 3 '!L42+'дод 3 '!L153+'дод 3 '!L172+'дод 3 '!L177</f>
        <v>2171363.0100000002</v>
      </c>
      <c r="L126" s="62">
        <f>'дод 3 '!M42+'дод 3 '!M153+'дод 3 '!M172+'дод 3 '!M177</f>
        <v>0</v>
      </c>
      <c r="M126" s="62">
        <f>'дод 3 '!N42+'дод 3 '!N153+'дод 3 '!N172+'дод 3 '!N177</f>
        <v>0</v>
      </c>
      <c r="N126" s="62">
        <f>'дод 3 '!O42+'дод 3 '!O153+'дод 3 '!O172+'дод 3 '!O177</f>
        <v>1716317.12</v>
      </c>
      <c r="O126" s="62">
        <f>'дод 3 '!P42+'дод 3 '!P153+'дод 3 '!P172+'дод 3 '!P177</f>
        <v>3887680.13</v>
      </c>
    </row>
    <row r="127" spans="1:15" s="84" customFormat="1" ht="30.75" customHeight="1" x14ac:dyDescent="0.25">
      <c r="A127" s="46" t="s">
        <v>281</v>
      </c>
      <c r="B127" s="46" t="s">
        <v>102</v>
      </c>
      <c r="C127" s="3" t="s">
        <v>23</v>
      </c>
      <c r="D127" s="62">
        <f>'дод 3 '!E43+'дод 3 '!E188+'дод 3 '!E193</f>
        <v>2773787</v>
      </c>
      <c r="E127" s="62">
        <f>'дод 3 '!F43+'дод 3 '!F188+'дод 3 '!F193</f>
        <v>2773787</v>
      </c>
      <c r="F127" s="62">
        <f>'дод 3 '!G43+'дод 3 '!G188+'дод 3 '!G193</f>
        <v>0</v>
      </c>
      <c r="G127" s="62">
        <f>'дод 3 '!H43+'дод 3 '!H188+'дод 3 '!H193</f>
        <v>0</v>
      </c>
      <c r="H127" s="62">
        <f>'дод 3 '!I43+'дод 3 '!I188+'дод 3 '!I193</f>
        <v>0</v>
      </c>
      <c r="I127" s="62">
        <f>'дод 3 '!J43+'дод 3 '!J188+'дод 3 '!J193</f>
        <v>0</v>
      </c>
      <c r="J127" s="62">
        <f>'дод 3 '!K43+'дод 3 '!K188+'дод 3 '!K193</f>
        <v>0</v>
      </c>
      <c r="K127" s="62">
        <f>'дод 3 '!L43+'дод 3 '!L188+'дод 3 '!L193</f>
        <v>0</v>
      </c>
      <c r="L127" s="62">
        <f>'дод 3 '!M43+'дод 3 '!M188+'дод 3 '!M193</f>
        <v>0</v>
      </c>
      <c r="M127" s="62">
        <f>'дод 3 '!N43+'дод 3 '!N188+'дод 3 '!N193</f>
        <v>0</v>
      </c>
      <c r="N127" s="62">
        <f>'дод 3 '!O43+'дод 3 '!O188+'дод 3 '!O193</f>
        <v>0</v>
      </c>
      <c r="O127" s="62">
        <f>'дод 3 '!P43+'дод 3 '!P188+'дод 3 '!P193</f>
        <v>2773787</v>
      </c>
    </row>
    <row r="128" spans="1:15" s="83" customFormat="1" ht="48.75" customHeight="1" x14ac:dyDescent="0.25">
      <c r="A128" s="47">
        <v>7700</v>
      </c>
      <c r="B128" s="47"/>
      <c r="C128" s="99" t="s">
        <v>426</v>
      </c>
      <c r="D128" s="61">
        <f>D129</f>
        <v>0</v>
      </c>
      <c r="E128" s="61">
        <f t="shared" ref="E128:O128" si="18">E129</f>
        <v>0</v>
      </c>
      <c r="F128" s="61">
        <f t="shared" si="18"/>
        <v>0</v>
      </c>
      <c r="G128" s="61">
        <f t="shared" si="18"/>
        <v>0</v>
      </c>
      <c r="H128" s="61">
        <f t="shared" si="18"/>
        <v>0</v>
      </c>
      <c r="I128" s="61">
        <f t="shared" si="18"/>
        <v>885000</v>
      </c>
      <c r="J128" s="61">
        <f t="shared" si="18"/>
        <v>0</v>
      </c>
      <c r="K128" s="61">
        <f t="shared" si="18"/>
        <v>0</v>
      </c>
      <c r="L128" s="61">
        <f t="shared" si="18"/>
        <v>0</v>
      </c>
      <c r="M128" s="61">
        <f t="shared" si="18"/>
        <v>0</v>
      </c>
      <c r="N128" s="61">
        <f t="shared" si="18"/>
        <v>885000</v>
      </c>
      <c r="O128" s="61">
        <f t="shared" si="18"/>
        <v>885000</v>
      </c>
    </row>
    <row r="129" spans="1:15" s="84" customFormat="1" ht="46.5" customHeight="1" x14ac:dyDescent="0.25">
      <c r="A129" s="46">
        <v>7700</v>
      </c>
      <c r="B129" s="98" t="s">
        <v>113</v>
      </c>
      <c r="C129" s="24" t="s">
        <v>426</v>
      </c>
      <c r="D129" s="62">
        <f>'дод 3 '!E92</f>
        <v>0</v>
      </c>
      <c r="E129" s="62">
        <f>'дод 3 '!F92</f>
        <v>0</v>
      </c>
      <c r="F129" s="62">
        <f>'дод 3 '!G92</f>
        <v>0</v>
      </c>
      <c r="G129" s="62">
        <f>'дод 3 '!H92</f>
        <v>0</v>
      </c>
      <c r="H129" s="62">
        <f>'дод 3 '!I92</f>
        <v>0</v>
      </c>
      <c r="I129" s="62">
        <f>'дод 3 '!J92</f>
        <v>885000</v>
      </c>
      <c r="J129" s="62">
        <f>'дод 3 '!K92</f>
        <v>0</v>
      </c>
      <c r="K129" s="62">
        <f>'дод 3 '!L92</f>
        <v>0</v>
      </c>
      <c r="L129" s="62">
        <f>'дод 3 '!M92</f>
        <v>0</v>
      </c>
      <c r="M129" s="62">
        <f>'дод 3 '!N92</f>
        <v>0</v>
      </c>
      <c r="N129" s="62">
        <f>'дод 3 '!O92</f>
        <v>885000</v>
      </c>
      <c r="O129" s="62">
        <f>'дод 3 '!P92</f>
        <v>885000</v>
      </c>
    </row>
    <row r="130" spans="1:15" s="82" customFormat="1" x14ac:dyDescent="0.25">
      <c r="A130" s="47" t="s">
        <v>114</v>
      </c>
      <c r="B130" s="48"/>
      <c r="C130" s="2" t="s">
        <v>9</v>
      </c>
      <c r="D130" s="61">
        <f t="shared" ref="D130:O130" si="19">D131+D134+D136+D139+D141+D142</f>
        <v>11027585</v>
      </c>
      <c r="E130" s="61">
        <f t="shared" si="19"/>
        <v>3885195</v>
      </c>
      <c r="F130" s="61">
        <f t="shared" si="19"/>
        <v>1542220</v>
      </c>
      <c r="G130" s="61">
        <f t="shared" si="19"/>
        <v>365540</v>
      </c>
      <c r="H130" s="61">
        <f t="shared" si="19"/>
        <v>0</v>
      </c>
      <c r="I130" s="61">
        <f t="shared" si="19"/>
        <v>8524643.4499999993</v>
      </c>
      <c r="J130" s="61">
        <f t="shared" si="19"/>
        <v>2159600</v>
      </c>
      <c r="K130" s="61">
        <f t="shared" si="19"/>
        <v>2552000</v>
      </c>
      <c r="L130" s="61">
        <f t="shared" si="19"/>
        <v>0</v>
      </c>
      <c r="M130" s="61">
        <f t="shared" si="19"/>
        <v>541400</v>
      </c>
      <c r="N130" s="61">
        <f t="shared" si="19"/>
        <v>5972643.4500000002</v>
      </c>
      <c r="O130" s="61">
        <f t="shared" si="19"/>
        <v>19552228.449999999</v>
      </c>
    </row>
    <row r="131" spans="1:15" s="82" customFormat="1" ht="39.75" customHeight="1" x14ac:dyDescent="0.25">
      <c r="A131" s="47" t="s">
        <v>116</v>
      </c>
      <c r="B131" s="48"/>
      <c r="C131" s="2" t="s">
        <v>10</v>
      </c>
      <c r="D131" s="61">
        <f t="shared" ref="D131:O131" si="20">D132+D133</f>
        <v>2314770</v>
      </c>
      <c r="E131" s="61">
        <f t="shared" si="20"/>
        <v>2314770</v>
      </c>
      <c r="F131" s="61">
        <f t="shared" si="20"/>
        <v>1542220</v>
      </c>
      <c r="G131" s="61">
        <f t="shared" si="20"/>
        <v>87380</v>
      </c>
      <c r="H131" s="61">
        <f t="shared" si="20"/>
        <v>0</v>
      </c>
      <c r="I131" s="61">
        <f t="shared" si="20"/>
        <v>2165100</v>
      </c>
      <c r="J131" s="61">
        <f t="shared" si="20"/>
        <v>2159600</v>
      </c>
      <c r="K131" s="61">
        <f t="shared" si="20"/>
        <v>5500</v>
      </c>
      <c r="L131" s="61">
        <f t="shared" si="20"/>
        <v>0</v>
      </c>
      <c r="M131" s="61">
        <f t="shared" si="20"/>
        <v>1400</v>
      </c>
      <c r="N131" s="61">
        <f t="shared" si="20"/>
        <v>2159600</v>
      </c>
      <c r="O131" s="61">
        <f t="shared" si="20"/>
        <v>4479870</v>
      </c>
    </row>
    <row r="132" spans="1:15" s="82" customFormat="1" ht="36.75" customHeight="1" x14ac:dyDescent="0.25">
      <c r="A132" s="49" t="s">
        <v>11</v>
      </c>
      <c r="B132" s="49" t="s">
        <v>109</v>
      </c>
      <c r="C132" s="3" t="s">
        <v>347</v>
      </c>
      <c r="D132" s="62">
        <f>'дод 3 '!E44</f>
        <v>284500</v>
      </c>
      <c r="E132" s="62">
        <f>'дод 3 '!F44</f>
        <v>284500</v>
      </c>
      <c r="F132" s="62">
        <f>'дод 3 '!G44</f>
        <v>0</v>
      </c>
      <c r="G132" s="62">
        <f>'дод 3 '!H44</f>
        <v>7500</v>
      </c>
      <c r="H132" s="62">
        <f>'дод 3 '!I44</f>
        <v>0</v>
      </c>
      <c r="I132" s="62">
        <f>'дод 3 '!J44</f>
        <v>2159600</v>
      </c>
      <c r="J132" s="62">
        <f>'дод 3 '!K44</f>
        <v>2159600</v>
      </c>
      <c r="K132" s="62">
        <f>'дод 3 '!L44</f>
        <v>0</v>
      </c>
      <c r="L132" s="62">
        <f>'дод 3 '!M44</f>
        <v>0</v>
      </c>
      <c r="M132" s="62">
        <f>'дод 3 '!N44</f>
        <v>0</v>
      </c>
      <c r="N132" s="62">
        <f>'дод 3 '!O44</f>
        <v>2159600</v>
      </c>
      <c r="O132" s="62">
        <f>'дод 3 '!P44</f>
        <v>2444100</v>
      </c>
    </row>
    <row r="133" spans="1:15" ht="24.75" customHeight="1" x14ac:dyDescent="0.25">
      <c r="A133" s="46" t="s">
        <v>179</v>
      </c>
      <c r="B133" s="51" t="s">
        <v>109</v>
      </c>
      <c r="C133" s="3" t="s">
        <v>12</v>
      </c>
      <c r="D133" s="62">
        <f>'дод 3 '!E45</f>
        <v>2030270</v>
      </c>
      <c r="E133" s="62">
        <f>'дод 3 '!F45</f>
        <v>2030270</v>
      </c>
      <c r="F133" s="62">
        <f>'дод 3 '!G45</f>
        <v>1542220</v>
      </c>
      <c r="G133" s="62">
        <f>'дод 3 '!H45</f>
        <v>79880</v>
      </c>
      <c r="H133" s="62">
        <f>'дод 3 '!I45</f>
        <v>0</v>
      </c>
      <c r="I133" s="62">
        <f>'дод 3 '!J45</f>
        <v>5500</v>
      </c>
      <c r="J133" s="62">
        <f>'дод 3 '!K45</f>
        <v>0</v>
      </c>
      <c r="K133" s="62">
        <f>'дод 3 '!L45</f>
        <v>5500</v>
      </c>
      <c r="L133" s="62">
        <f>'дод 3 '!M45</f>
        <v>0</v>
      </c>
      <c r="M133" s="62">
        <f>'дод 3 '!N45</f>
        <v>1400</v>
      </c>
      <c r="N133" s="62">
        <f>'дод 3 '!O45</f>
        <v>0</v>
      </c>
      <c r="O133" s="62">
        <f>'дод 3 '!P45</f>
        <v>2035770</v>
      </c>
    </row>
    <row r="134" spans="1:15" s="82" customFormat="1" ht="30" customHeight="1" x14ac:dyDescent="0.25">
      <c r="A134" s="47" t="s">
        <v>292</v>
      </c>
      <c r="B134" s="47"/>
      <c r="C134" s="12" t="s">
        <v>293</v>
      </c>
      <c r="D134" s="61">
        <f t="shared" ref="D134:O134" si="21">D135</f>
        <v>683360</v>
      </c>
      <c r="E134" s="61">
        <f t="shared" si="21"/>
        <v>683360</v>
      </c>
      <c r="F134" s="61">
        <f t="shared" si="21"/>
        <v>0</v>
      </c>
      <c r="G134" s="61">
        <f t="shared" si="21"/>
        <v>278160</v>
      </c>
      <c r="H134" s="61">
        <f t="shared" si="21"/>
        <v>0</v>
      </c>
      <c r="I134" s="61">
        <f t="shared" si="21"/>
        <v>0</v>
      </c>
      <c r="J134" s="61">
        <f t="shared" si="21"/>
        <v>0</v>
      </c>
      <c r="K134" s="61">
        <f t="shared" si="21"/>
        <v>0</v>
      </c>
      <c r="L134" s="61">
        <f t="shared" si="21"/>
        <v>0</v>
      </c>
      <c r="M134" s="61">
        <f t="shared" si="21"/>
        <v>0</v>
      </c>
      <c r="N134" s="61">
        <f t="shared" si="21"/>
        <v>0</v>
      </c>
      <c r="O134" s="61">
        <f t="shared" si="21"/>
        <v>683360</v>
      </c>
    </row>
    <row r="135" spans="1:15" ht="30" customHeight="1" x14ac:dyDescent="0.25">
      <c r="A135" s="46" t="s">
        <v>286</v>
      </c>
      <c r="B135" s="51" t="s">
        <v>287</v>
      </c>
      <c r="C135" s="3" t="s">
        <v>288</v>
      </c>
      <c r="D135" s="62">
        <f>'дод 3 '!E46</f>
        <v>683360</v>
      </c>
      <c r="E135" s="62">
        <f>'дод 3 '!F46</f>
        <v>683360</v>
      </c>
      <c r="F135" s="62">
        <f>'дод 3 '!G46</f>
        <v>0</v>
      </c>
      <c r="G135" s="62">
        <f>'дод 3 '!H46</f>
        <v>278160</v>
      </c>
      <c r="H135" s="62">
        <f>'дод 3 '!I46</f>
        <v>0</v>
      </c>
      <c r="I135" s="62">
        <f>'дод 3 '!J46</f>
        <v>0</v>
      </c>
      <c r="J135" s="62">
        <f>'дод 3 '!K46</f>
        <v>0</v>
      </c>
      <c r="K135" s="62">
        <f>'дод 3 '!L46</f>
        <v>0</v>
      </c>
      <c r="L135" s="62">
        <f>'дод 3 '!M46</f>
        <v>0</v>
      </c>
      <c r="M135" s="62">
        <f>'дод 3 '!N46</f>
        <v>0</v>
      </c>
      <c r="N135" s="62">
        <f>'дод 3 '!O46</f>
        <v>0</v>
      </c>
      <c r="O135" s="62">
        <f>'дод 3 '!P46</f>
        <v>683360</v>
      </c>
    </row>
    <row r="136" spans="1:15" s="82" customFormat="1" ht="22.5" customHeight="1" x14ac:dyDescent="0.25">
      <c r="A136" s="47" t="s">
        <v>8</v>
      </c>
      <c r="B136" s="48"/>
      <c r="C136" s="2" t="s">
        <v>13</v>
      </c>
      <c r="D136" s="61">
        <f t="shared" ref="D136:O136" si="22">D138+D137</f>
        <v>75000</v>
      </c>
      <c r="E136" s="61">
        <f t="shared" si="22"/>
        <v>75000</v>
      </c>
      <c r="F136" s="61">
        <f t="shared" si="22"/>
        <v>0</v>
      </c>
      <c r="G136" s="61">
        <f t="shared" si="22"/>
        <v>0</v>
      </c>
      <c r="H136" s="61">
        <f t="shared" si="22"/>
        <v>0</v>
      </c>
      <c r="I136" s="61">
        <f t="shared" si="22"/>
        <v>6359543.4500000002</v>
      </c>
      <c r="J136" s="61">
        <f t="shared" si="22"/>
        <v>0</v>
      </c>
      <c r="K136" s="61">
        <f t="shared" si="22"/>
        <v>2546500</v>
      </c>
      <c r="L136" s="61">
        <f t="shared" si="22"/>
        <v>0</v>
      </c>
      <c r="M136" s="61">
        <f t="shared" si="22"/>
        <v>540000</v>
      </c>
      <c r="N136" s="61">
        <f t="shared" si="22"/>
        <v>3813043.45</v>
      </c>
      <c r="O136" s="61">
        <f t="shared" si="22"/>
        <v>6434543.4500000002</v>
      </c>
    </row>
    <row r="137" spans="1:15" s="82" customFormat="1" ht="46.5" customHeight="1" x14ac:dyDescent="0.25">
      <c r="A137" s="46">
        <v>8330</v>
      </c>
      <c r="B137" s="46">
        <v>540</v>
      </c>
      <c r="C137" s="3" t="s">
        <v>409</v>
      </c>
      <c r="D137" s="62">
        <f>'дод 3 '!E194</f>
        <v>75000</v>
      </c>
      <c r="E137" s="62">
        <f>'дод 3 '!F194</f>
        <v>75000</v>
      </c>
      <c r="F137" s="62">
        <f>'дод 3 '!G194</f>
        <v>0</v>
      </c>
      <c r="G137" s="62">
        <f>'дод 3 '!H194</f>
        <v>0</v>
      </c>
      <c r="H137" s="62">
        <f>'дод 3 '!I194</f>
        <v>0</v>
      </c>
      <c r="I137" s="62">
        <f>'дод 3 '!J194</f>
        <v>0</v>
      </c>
      <c r="J137" s="62">
        <f>'дод 3 '!K194</f>
        <v>0</v>
      </c>
      <c r="K137" s="62">
        <f>'дод 3 '!L194</f>
        <v>0</v>
      </c>
      <c r="L137" s="62">
        <f>'дод 3 '!M194</f>
        <v>0</v>
      </c>
      <c r="M137" s="62">
        <f>'дод 3 '!N194</f>
        <v>0</v>
      </c>
      <c r="N137" s="62">
        <f>'дод 3 '!O194</f>
        <v>0</v>
      </c>
      <c r="O137" s="62">
        <f>'дод 3 '!P194</f>
        <v>75000</v>
      </c>
    </row>
    <row r="138" spans="1:15" s="82" customFormat="1" ht="25.5" customHeight="1" x14ac:dyDescent="0.25">
      <c r="A138" s="46" t="s">
        <v>14</v>
      </c>
      <c r="B138" s="46" t="s">
        <v>112</v>
      </c>
      <c r="C138" s="3" t="s">
        <v>15</v>
      </c>
      <c r="D138" s="62">
        <f>'дод 3 '!E47+'дод 3 '!E73+'дод 3 '!E154+'дод 3 '!E195+'дод 3 '!E129</f>
        <v>0</v>
      </c>
      <c r="E138" s="62">
        <f>'дод 3 '!F47+'дод 3 '!F73+'дод 3 '!F154+'дод 3 '!F195+'дод 3 '!F129</f>
        <v>0</v>
      </c>
      <c r="F138" s="62">
        <f>'дод 3 '!G47+'дод 3 '!G73+'дод 3 '!G154+'дод 3 '!G195+'дод 3 '!G129</f>
        <v>0</v>
      </c>
      <c r="G138" s="62">
        <f>'дод 3 '!H47+'дод 3 '!H73+'дод 3 '!H154+'дод 3 '!H195+'дод 3 '!H129</f>
        <v>0</v>
      </c>
      <c r="H138" s="62">
        <f>'дод 3 '!I47+'дод 3 '!I73+'дод 3 '!I154+'дод 3 '!I195+'дод 3 '!I129</f>
        <v>0</v>
      </c>
      <c r="I138" s="62">
        <f>'дод 3 '!J47+'дод 3 '!J73+'дод 3 '!J154+'дод 3 '!J195+'дод 3 '!J129</f>
        <v>6359543.4500000002</v>
      </c>
      <c r="J138" s="62">
        <f>'дод 3 '!K47+'дод 3 '!K73+'дод 3 '!K154+'дод 3 '!K195+'дод 3 '!K129</f>
        <v>0</v>
      </c>
      <c r="K138" s="62">
        <f>'дод 3 '!L47+'дод 3 '!L73+'дод 3 '!L154+'дод 3 '!L195+'дод 3 '!L129</f>
        <v>2546500</v>
      </c>
      <c r="L138" s="62">
        <f>'дод 3 '!M47+'дод 3 '!M73+'дод 3 '!M154+'дод 3 '!M195+'дод 3 '!M129</f>
        <v>0</v>
      </c>
      <c r="M138" s="62">
        <f>'дод 3 '!N47+'дод 3 '!N73+'дод 3 '!N154+'дод 3 '!N195+'дод 3 '!N129</f>
        <v>540000</v>
      </c>
      <c r="N138" s="62">
        <f>'дод 3 '!O47+'дод 3 '!O73+'дод 3 '!O154+'дод 3 '!O195+'дод 3 '!O129</f>
        <v>3813043.45</v>
      </c>
      <c r="O138" s="62">
        <f>'дод 3 '!P47+'дод 3 '!P73+'дод 3 '!P154+'дод 3 '!P195+'дод 3 '!P129</f>
        <v>6359543.4500000002</v>
      </c>
    </row>
    <row r="139" spans="1:15" s="82" customFormat="1" ht="26.25" customHeight="1" x14ac:dyDescent="0.25">
      <c r="A139" s="47" t="s">
        <v>161</v>
      </c>
      <c r="B139" s="48"/>
      <c r="C139" s="2" t="s">
        <v>95</v>
      </c>
      <c r="D139" s="61">
        <f t="shared" ref="D139:O139" si="23">D140</f>
        <v>100000</v>
      </c>
      <c r="E139" s="61">
        <f t="shared" si="23"/>
        <v>100000</v>
      </c>
      <c r="F139" s="61">
        <f t="shared" si="23"/>
        <v>0</v>
      </c>
      <c r="G139" s="61">
        <f t="shared" si="23"/>
        <v>0</v>
      </c>
      <c r="H139" s="61">
        <f t="shared" si="23"/>
        <v>0</v>
      </c>
      <c r="I139" s="61">
        <f t="shared" si="23"/>
        <v>0</v>
      </c>
      <c r="J139" s="61">
        <f t="shared" si="23"/>
        <v>0</v>
      </c>
      <c r="K139" s="61">
        <f t="shared" si="23"/>
        <v>0</v>
      </c>
      <c r="L139" s="61">
        <f t="shared" si="23"/>
        <v>0</v>
      </c>
      <c r="M139" s="61">
        <f t="shared" si="23"/>
        <v>0</v>
      </c>
      <c r="N139" s="61">
        <f t="shared" si="23"/>
        <v>0</v>
      </c>
      <c r="O139" s="61">
        <f t="shared" si="23"/>
        <v>100000</v>
      </c>
    </row>
    <row r="140" spans="1:15" s="82" customFormat="1" ht="25.5" customHeight="1" x14ac:dyDescent="0.25">
      <c r="A140" s="46" t="s">
        <v>297</v>
      </c>
      <c r="B140" s="51" t="s">
        <v>96</v>
      </c>
      <c r="C140" s="3" t="s">
        <v>298</v>
      </c>
      <c r="D140" s="62">
        <f>'дод 3 '!E48</f>
        <v>100000</v>
      </c>
      <c r="E140" s="62">
        <f>'дод 3 '!F48</f>
        <v>100000</v>
      </c>
      <c r="F140" s="62">
        <f>'дод 3 '!G48</f>
        <v>0</v>
      </c>
      <c r="G140" s="62">
        <f>'дод 3 '!H48</f>
        <v>0</v>
      </c>
      <c r="H140" s="62">
        <f>'дод 3 '!I48</f>
        <v>0</v>
      </c>
      <c r="I140" s="62">
        <f>'дод 3 '!J48</f>
        <v>0</v>
      </c>
      <c r="J140" s="62">
        <f>'дод 3 '!K48</f>
        <v>0</v>
      </c>
      <c r="K140" s="62">
        <f>'дод 3 '!L48</f>
        <v>0</v>
      </c>
      <c r="L140" s="62">
        <f>'дод 3 '!M48</f>
        <v>0</v>
      </c>
      <c r="M140" s="62">
        <f>'дод 3 '!N48</f>
        <v>0</v>
      </c>
      <c r="N140" s="62">
        <f>'дод 3 '!O48</f>
        <v>0</v>
      </c>
      <c r="O140" s="62">
        <f>'дод 3 '!P48</f>
        <v>100000</v>
      </c>
    </row>
    <row r="141" spans="1:15" s="82" customFormat="1" ht="26.25" customHeight="1" x14ac:dyDescent="0.25">
      <c r="A141" s="47" t="s">
        <v>115</v>
      </c>
      <c r="B141" s="47" t="s">
        <v>110</v>
      </c>
      <c r="C141" s="2" t="s">
        <v>16</v>
      </c>
      <c r="D141" s="61">
        <f>'дод 3 '!E196</f>
        <v>712065</v>
      </c>
      <c r="E141" s="61">
        <f>'дод 3 '!F196</f>
        <v>712065</v>
      </c>
      <c r="F141" s="61">
        <f>'дод 3 '!G196</f>
        <v>0</v>
      </c>
      <c r="G141" s="61">
        <f>'дод 3 '!H196</f>
        <v>0</v>
      </c>
      <c r="H141" s="61">
        <f>'дод 3 '!I196</f>
        <v>0</v>
      </c>
      <c r="I141" s="61">
        <f>'дод 3 '!J196</f>
        <v>0</v>
      </c>
      <c r="J141" s="61">
        <f>'дод 3 '!K196</f>
        <v>0</v>
      </c>
      <c r="K141" s="61">
        <f>'дод 3 '!L196</f>
        <v>0</v>
      </c>
      <c r="L141" s="61">
        <f>'дод 3 '!M196</f>
        <v>0</v>
      </c>
      <c r="M141" s="61">
        <f>'дод 3 '!N196</f>
        <v>0</v>
      </c>
      <c r="N141" s="61">
        <f>'дод 3 '!O196</f>
        <v>0</v>
      </c>
      <c r="O141" s="61">
        <f>'дод 3 '!P196</f>
        <v>712065</v>
      </c>
    </row>
    <row r="142" spans="1:15" s="82" customFormat="1" ht="26.25" customHeight="1" x14ac:dyDescent="0.25">
      <c r="A142" s="47" t="s">
        <v>17</v>
      </c>
      <c r="B142" s="47" t="s">
        <v>113</v>
      </c>
      <c r="C142" s="2" t="s">
        <v>26</v>
      </c>
      <c r="D142" s="61">
        <f>'дод 3 '!E197</f>
        <v>7142390</v>
      </c>
      <c r="E142" s="61">
        <f>'дод 3 '!F197</f>
        <v>0</v>
      </c>
      <c r="F142" s="61">
        <f>'дод 3 '!G197</f>
        <v>0</v>
      </c>
      <c r="G142" s="61">
        <f>'дод 3 '!H197</f>
        <v>0</v>
      </c>
      <c r="H142" s="61">
        <f>'дод 3 '!I197</f>
        <v>0</v>
      </c>
      <c r="I142" s="61">
        <f>'дод 3 '!J197</f>
        <v>0</v>
      </c>
      <c r="J142" s="61">
        <f>'дод 3 '!K197</f>
        <v>0</v>
      </c>
      <c r="K142" s="61">
        <f>'дод 3 '!L197</f>
        <v>0</v>
      </c>
      <c r="L142" s="61">
        <f>'дод 3 '!M197</f>
        <v>0</v>
      </c>
      <c r="M142" s="61">
        <f>'дод 3 '!N197</f>
        <v>0</v>
      </c>
      <c r="N142" s="61">
        <f>'дод 3 '!O197</f>
        <v>0</v>
      </c>
      <c r="O142" s="61">
        <f>'дод 3 '!P197</f>
        <v>7142390</v>
      </c>
    </row>
    <row r="143" spans="1:15" s="82" customFormat="1" ht="27.75" customHeight="1" x14ac:dyDescent="0.25">
      <c r="A143" s="47" t="s">
        <v>18</v>
      </c>
      <c r="B143" s="47"/>
      <c r="C143" s="2" t="s">
        <v>131</v>
      </c>
      <c r="D143" s="61">
        <f>D144+D146+D148</f>
        <v>109639485</v>
      </c>
      <c r="E143" s="61">
        <f t="shared" ref="E143:O143" si="24">E144+E146+E148</f>
        <v>109639485</v>
      </c>
      <c r="F143" s="61">
        <f t="shared" si="24"/>
        <v>0</v>
      </c>
      <c r="G143" s="61">
        <f t="shared" si="24"/>
        <v>0</v>
      </c>
      <c r="H143" s="61">
        <f t="shared" si="24"/>
        <v>0</v>
      </c>
      <c r="I143" s="61">
        <f t="shared" si="24"/>
        <v>7632000</v>
      </c>
      <c r="J143" s="61">
        <f t="shared" si="24"/>
        <v>7632000</v>
      </c>
      <c r="K143" s="61">
        <f t="shared" si="24"/>
        <v>0</v>
      </c>
      <c r="L143" s="61">
        <f t="shared" si="24"/>
        <v>0</v>
      </c>
      <c r="M143" s="61">
        <f t="shared" si="24"/>
        <v>0</v>
      </c>
      <c r="N143" s="61">
        <f t="shared" si="24"/>
        <v>7632000</v>
      </c>
      <c r="O143" s="61">
        <f t="shared" si="24"/>
        <v>117271485</v>
      </c>
    </row>
    <row r="144" spans="1:15" s="82" customFormat="1" ht="21.75" customHeight="1" x14ac:dyDescent="0.25">
      <c r="A144" s="47" t="s">
        <v>295</v>
      </c>
      <c r="B144" s="47"/>
      <c r="C144" s="2" t="s">
        <v>348</v>
      </c>
      <c r="D144" s="61">
        <f t="shared" ref="D144:O144" si="25">D145</f>
        <v>108116600</v>
      </c>
      <c r="E144" s="61">
        <f t="shared" si="25"/>
        <v>108116600</v>
      </c>
      <c r="F144" s="61">
        <f t="shared" si="25"/>
        <v>0</v>
      </c>
      <c r="G144" s="61">
        <f t="shared" si="25"/>
        <v>0</v>
      </c>
      <c r="H144" s="61">
        <f t="shared" si="25"/>
        <v>0</v>
      </c>
      <c r="I144" s="61">
        <f t="shared" si="25"/>
        <v>0</v>
      </c>
      <c r="J144" s="61">
        <f t="shared" si="25"/>
        <v>0</v>
      </c>
      <c r="K144" s="61">
        <f t="shared" si="25"/>
        <v>0</v>
      </c>
      <c r="L144" s="61">
        <f t="shared" si="25"/>
        <v>0</v>
      </c>
      <c r="M144" s="61">
        <f t="shared" si="25"/>
        <v>0</v>
      </c>
      <c r="N144" s="61">
        <f t="shared" si="25"/>
        <v>0</v>
      </c>
      <c r="O144" s="61">
        <f t="shared" si="25"/>
        <v>108116600</v>
      </c>
    </row>
    <row r="145" spans="1:16" s="82" customFormat="1" ht="21.75" customHeight="1" x14ac:dyDescent="0.25">
      <c r="A145" s="46" t="s">
        <v>111</v>
      </c>
      <c r="B145" s="51" t="s">
        <v>59</v>
      </c>
      <c r="C145" s="3" t="s">
        <v>130</v>
      </c>
      <c r="D145" s="62">
        <f>'дод 3 '!E198</f>
        <v>108116600</v>
      </c>
      <c r="E145" s="62">
        <f>'дод 3 '!F198</f>
        <v>108116600</v>
      </c>
      <c r="F145" s="62">
        <f>'дод 3 '!G198</f>
        <v>0</v>
      </c>
      <c r="G145" s="62">
        <f>'дод 3 '!H198</f>
        <v>0</v>
      </c>
      <c r="H145" s="62">
        <f>'дод 3 '!I198</f>
        <v>0</v>
      </c>
      <c r="I145" s="62">
        <f>'дод 3 '!J198</f>
        <v>0</v>
      </c>
      <c r="J145" s="62">
        <f>'дод 3 '!K198</f>
        <v>0</v>
      </c>
      <c r="K145" s="62">
        <f>'дод 3 '!L198</f>
        <v>0</v>
      </c>
      <c r="L145" s="62">
        <f>'дод 3 '!M198</f>
        <v>0</v>
      </c>
      <c r="M145" s="62">
        <f>'дод 3 '!N198</f>
        <v>0</v>
      </c>
      <c r="N145" s="62">
        <f>'дод 3 '!O198</f>
        <v>0</v>
      </c>
      <c r="O145" s="62">
        <f>'дод 3 '!P198</f>
        <v>108116600</v>
      </c>
    </row>
    <row r="146" spans="1:16" s="82" customFormat="1" ht="50.25" customHeight="1" x14ac:dyDescent="0.25">
      <c r="A146" s="47" t="s">
        <v>19</v>
      </c>
      <c r="B146" s="48"/>
      <c r="C146" s="2" t="s">
        <v>408</v>
      </c>
      <c r="D146" s="61">
        <f t="shared" ref="D146:O146" si="26">D147</f>
        <v>1438000</v>
      </c>
      <c r="E146" s="61">
        <f t="shared" si="26"/>
        <v>1438000</v>
      </c>
      <c r="F146" s="61">
        <f t="shared" si="26"/>
        <v>0</v>
      </c>
      <c r="G146" s="61">
        <f t="shared" si="26"/>
        <v>0</v>
      </c>
      <c r="H146" s="61">
        <f t="shared" si="26"/>
        <v>0</v>
      </c>
      <c r="I146" s="61">
        <f t="shared" si="26"/>
        <v>7632000</v>
      </c>
      <c r="J146" s="61">
        <f t="shared" si="26"/>
        <v>7632000</v>
      </c>
      <c r="K146" s="61">
        <f t="shared" si="26"/>
        <v>0</v>
      </c>
      <c r="L146" s="61">
        <f t="shared" si="26"/>
        <v>0</v>
      </c>
      <c r="M146" s="61">
        <f t="shared" si="26"/>
        <v>0</v>
      </c>
      <c r="N146" s="61">
        <f t="shared" si="26"/>
        <v>7632000</v>
      </c>
      <c r="O146" s="61">
        <f t="shared" si="26"/>
        <v>9070000</v>
      </c>
    </row>
    <row r="147" spans="1:16" s="82" customFormat="1" ht="30.75" customHeight="1" x14ac:dyDescent="0.25">
      <c r="A147" s="46" t="s">
        <v>20</v>
      </c>
      <c r="B147" s="51" t="s">
        <v>59</v>
      </c>
      <c r="C147" s="6" t="s">
        <v>417</v>
      </c>
      <c r="D147" s="62">
        <f>'дод 3 '!E155+'дод 3 '!E114</f>
        <v>1438000</v>
      </c>
      <c r="E147" s="62">
        <f>'дод 3 '!F155+'дод 3 '!F114</f>
        <v>1438000</v>
      </c>
      <c r="F147" s="62">
        <f>'дод 3 '!G155+'дод 3 '!G114</f>
        <v>0</v>
      </c>
      <c r="G147" s="62">
        <f>'дод 3 '!H155+'дод 3 '!H114</f>
        <v>0</v>
      </c>
      <c r="H147" s="62">
        <f>'дод 3 '!I155+'дод 3 '!I114</f>
        <v>0</v>
      </c>
      <c r="I147" s="62">
        <f>'дод 3 '!J155+'дод 3 '!J114</f>
        <v>7632000</v>
      </c>
      <c r="J147" s="62">
        <f>'дод 3 '!K155+'дод 3 '!K114</f>
        <v>7632000</v>
      </c>
      <c r="K147" s="62">
        <f>'дод 3 '!L155+'дод 3 '!L114</f>
        <v>0</v>
      </c>
      <c r="L147" s="62">
        <f>'дод 3 '!M155+'дод 3 '!M114</f>
        <v>0</v>
      </c>
      <c r="M147" s="62">
        <f>'дод 3 '!N155+'дод 3 '!N114</f>
        <v>0</v>
      </c>
      <c r="N147" s="62">
        <f>'дод 3 '!O155+'дод 3 '!O114</f>
        <v>7632000</v>
      </c>
      <c r="O147" s="62">
        <f>'дод 3 '!P155+'дод 3 '!P114</f>
        <v>9070000</v>
      </c>
    </row>
    <row r="148" spans="1:16" s="82" customFormat="1" ht="55.5" customHeight="1" x14ac:dyDescent="0.25">
      <c r="A148" s="47" t="s">
        <v>444</v>
      </c>
      <c r="B148" s="48" t="s">
        <v>59</v>
      </c>
      <c r="C148" s="9" t="s">
        <v>441</v>
      </c>
      <c r="D148" s="62">
        <f>'дод 3 '!E74</f>
        <v>84885</v>
      </c>
      <c r="E148" s="62">
        <f>'дод 3 '!F74</f>
        <v>84885</v>
      </c>
      <c r="F148" s="62">
        <f>'дод 3 '!G74</f>
        <v>0</v>
      </c>
      <c r="G148" s="62">
        <f>'дод 3 '!H74</f>
        <v>0</v>
      </c>
      <c r="H148" s="62">
        <f>'дод 3 '!I74</f>
        <v>0</v>
      </c>
      <c r="I148" s="62">
        <f>'дод 3 '!J74</f>
        <v>0</v>
      </c>
      <c r="J148" s="62">
        <f>'дод 3 '!K74</f>
        <v>0</v>
      </c>
      <c r="K148" s="62">
        <f>'дод 3 '!L74</f>
        <v>0</v>
      </c>
      <c r="L148" s="62">
        <f>'дод 3 '!M74</f>
        <v>0</v>
      </c>
      <c r="M148" s="62">
        <f>'дод 3 '!N74</f>
        <v>0</v>
      </c>
      <c r="N148" s="62">
        <f>'дод 3 '!O74</f>
        <v>0</v>
      </c>
      <c r="O148" s="62">
        <f>'дод 3 '!P74</f>
        <v>84885</v>
      </c>
    </row>
    <row r="149" spans="1:16" s="82" customFormat="1" ht="25.5" customHeight="1" x14ac:dyDescent="0.25">
      <c r="A149" s="7"/>
      <c r="B149" s="7"/>
      <c r="C149" s="2" t="s">
        <v>27</v>
      </c>
      <c r="D149" s="61">
        <f>D18+D21+D38+D51+D75+D80+D87+D96+D130+D143</f>
        <v>2091855561.5900002</v>
      </c>
      <c r="E149" s="61">
        <f t="shared" ref="E149:O149" si="27">E18+E21+E38+E51+E75+E80+E87+E96+E130+E143</f>
        <v>2039711733.5900002</v>
      </c>
      <c r="F149" s="61">
        <f t="shared" si="27"/>
        <v>908969732</v>
      </c>
      <c r="G149" s="61">
        <f t="shared" si="27"/>
        <v>121640963</v>
      </c>
      <c r="H149" s="61">
        <f t="shared" si="27"/>
        <v>45001438</v>
      </c>
      <c r="I149" s="61">
        <f t="shared" si="27"/>
        <v>587403467.11000001</v>
      </c>
      <c r="J149" s="61">
        <f t="shared" si="27"/>
        <v>426752220.46999997</v>
      </c>
      <c r="K149" s="61">
        <f t="shared" si="27"/>
        <v>144233011.00999999</v>
      </c>
      <c r="L149" s="61">
        <f t="shared" si="27"/>
        <v>9012497</v>
      </c>
      <c r="M149" s="61">
        <f t="shared" si="27"/>
        <v>3810541</v>
      </c>
      <c r="N149" s="61">
        <f t="shared" si="27"/>
        <v>443170456.09999996</v>
      </c>
      <c r="O149" s="61">
        <f t="shared" si="27"/>
        <v>2679259028.6999998</v>
      </c>
    </row>
    <row r="150" spans="1:16" s="82" customFormat="1" ht="25.5" customHeight="1" x14ac:dyDescent="0.25">
      <c r="A150" s="7"/>
      <c r="B150" s="7"/>
      <c r="C150" s="2" t="s">
        <v>308</v>
      </c>
      <c r="D150" s="61">
        <f>D22+D39+D97</f>
        <v>439414289</v>
      </c>
      <c r="E150" s="61">
        <f t="shared" ref="E150:O150" si="28">E22+E39+E97</f>
        <v>439414289</v>
      </c>
      <c r="F150" s="61">
        <f t="shared" si="28"/>
        <v>307191100</v>
      </c>
      <c r="G150" s="61">
        <f t="shared" si="28"/>
        <v>0</v>
      </c>
      <c r="H150" s="61">
        <f t="shared" si="28"/>
        <v>0</v>
      </c>
      <c r="I150" s="61">
        <f t="shared" si="28"/>
        <v>82674037.930000007</v>
      </c>
      <c r="J150" s="61">
        <f t="shared" si="28"/>
        <v>2674037.9299999997</v>
      </c>
      <c r="K150" s="61">
        <f t="shared" si="28"/>
        <v>80000000</v>
      </c>
      <c r="L150" s="61">
        <f t="shared" si="28"/>
        <v>0</v>
      </c>
      <c r="M150" s="61">
        <f t="shared" si="28"/>
        <v>0</v>
      </c>
      <c r="N150" s="61">
        <f t="shared" si="28"/>
        <v>2674037.9299999997</v>
      </c>
      <c r="O150" s="61">
        <f t="shared" si="28"/>
        <v>522088326.93000001</v>
      </c>
    </row>
    <row r="151" spans="1:16" s="82" customFormat="1" ht="25.5" customHeight="1" x14ac:dyDescent="0.25">
      <c r="A151" s="146"/>
      <c r="B151" s="146"/>
      <c r="C151" s="147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</row>
    <row r="152" spans="1:16" s="82" customFormat="1" ht="25.5" customHeight="1" x14ac:dyDescent="0.25">
      <c r="A152" s="146"/>
      <c r="B152" s="146"/>
      <c r="C152" s="147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</row>
    <row r="153" spans="1:16" s="82" customFormat="1" ht="25.5" customHeight="1" x14ac:dyDescent="0.25">
      <c r="A153" s="146"/>
      <c r="B153" s="146"/>
      <c r="C153" s="147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</row>
    <row r="154" spans="1:16" s="82" customFormat="1" ht="25.5" customHeight="1" x14ac:dyDescent="0.25">
      <c r="A154" s="146"/>
      <c r="B154" s="146"/>
      <c r="C154" s="147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</row>
    <row r="155" spans="1:16" s="54" customFormat="1" x14ac:dyDescent="0.25">
      <c r="A155" s="108"/>
      <c r="B155" s="53"/>
      <c r="C155" s="53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</row>
    <row r="156" spans="1:16" ht="15.75" customHeight="1" x14ac:dyDescent="0.2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1:16" ht="28.5" customHeight="1" x14ac:dyDescent="0.45">
      <c r="A157" s="138" t="s">
        <v>461</v>
      </c>
      <c r="B157" s="138"/>
      <c r="C157" s="138"/>
      <c r="D157" s="138"/>
      <c r="E157" s="138"/>
      <c r="F157" s="138"/>
      <c r="G157" s="138"/>
      <c r="H157" s="138"/>
      <c r="I157" s="139"/>
      <c r="J157" s="139"/>
      <c r="K157" s="139"/>
      <c r="L157" s="140"/>
      <c r="M157" s="140"/>
      <c r="N157" s="153" t="s">
        <v>462</v>
      </c>
      <c r="O157" s="153"/>
      <c r="P157" s="153"/>
    </row>
    <row r="158" spans="1:16" ht="30" customHeight="1" x14ac:dyDescent="0.45">
      <c r="A158" s="141"/>
      <c r="B158" s="141"/>
      <c r="C158" s="141"/>
      <c r="D158" s="142"/>
      <c r="E158" s="143"/>
      <c r="F158" s="143"/>
      <c r="G158" s="143"/>
      <c r="H158" s="143"/>
      <c r="I158" s="143"/>
      <c r="J158" s="143"/>
      <c r="K158" s="144"/>
      <c r="L158" s="143"/>
      <c r="M158" s="143"/>
      <c r="N158" s="34"/>
      <c r="O158" s="34"/>
      <c r="P158" s="34"/>
    </row>
    <row r="159" spans="1:16" ht="30" customHeight="1" x14ac:dyDescent="0.4">
      <c r="A159" s="145" t="s">
        <v>463</v>
      </c>
      <c r="B159" s="112"/>
      <c r="C159" s="112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1:16" ht="15.75" customHeight="1" x14ac:dyDescent="0.4">
      <c r="A160" s="145" t="s">
        <v>464</v>
      </c>
      <c r="B160" s="112"/>
      <c r="C160" s="112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1:24" s="128" customFormat="1" ht="35.25" customHeight="1" x14ac:dyDescent="0.5">
      <c r="A161" s="126"/>
      <c r="B161" s="126"/>
      <c r="C161" s="126"/>
      <c r="D161" s="126"/>
      <c r="E161" s="126"/>
      <c r="F161" s="126"/>
      <c r="G161" s="126"/>
      <c r="H161" s="126"/>
      <c r="I161" s="127"/>
      <c r="J161" s="127"/>
      <c r="K161" s="127"/>
      <c r="M161" s="156"/>
      <c r="N161" s="156"/>
      <c r="O161" s="156"/>
      <c r="P161" s="105"/>
      <c r="Q161" s="129"/>
      <c r="R161" s="129"/>
      <c r="S161" s="129"/>
      <c r="T161" s="129"/>
      <c r="U161" s="129"/>
      <c r="V161" s="129"/>
      <c r="W161" s="130"/>
      <c r="X161" s="131"/>
    </row>
    <row r="162" spans="1:24" ht="23.25" customHeight="1" x14ac:dyDescent="0.25"/>
    <row r="164" spans="1:24" ht="22.5" customHeight="1" x14ac:dyDescent="0.25"/>
  </sheetData>
  <mergeCells count="23">
    <mergeCell ref="K1:N1"/>
    <mergeCell ref="K3:O3"/>
    <mergeCell ref="K4:O4"/>
    <mergeCell ref="F16:G16"/>
    <mergeCell ref="K16:K17"/>
    <mergeCell ref="L16:M16"/>
    <mergeCell ref="N16:N17"/>
    <mergeCell ref="D15:H15"/>
    <mergeCell ref="A11:O11"/>
    <mergeCell ref="B15:B17"/>
    <mergeCell ref="C15:C17"/>
    <mergeCell ref="A15:A17"/>
    <mergeCell ref="D16:D17"/>
    <mergeCell ref="A12:B12"/>
    <mergeCell ref="A13:B13"/>
    <mergeCell ref="E16:E17"/>
    <mergeCell ref="M161:O161"/>
    <mergeCell ref="N157:P157"/>
    <mergeCell ref="I15:N15"/>
    <mergeCell ref="H16:H17"/>
    <mergeCell ref="I16:I17"/>
    <mergeCell ref="J16:J17"/>
    <mergeCell ref="O15:O17"/>
  </mergeCells>
  <phoneticPr fontId="3" type="noConversion"/>
  <printOptions horizontalCentered="1"/>
  <pageMargins left="0" right="0" top="0.78740157480314965" bottom="0.59055118110236227" header="0.59055118110236227" footer="0.19685039370078741"/>
  <pageSetup paperSize="9" scale="4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4</vt:lpstr>
      <vt:lpstr>'дод 3 '!Заголовки_для_печати</vt:lpstr>
      <vt:lpstr>'дод 4'!Заголовки_для_печати</vt:lpstr>
      <vt:lpstr>'дод 3 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2020-03-26T07:25:50Z</cp:lastPrinted>
  <dcterms:created xsi:type="dcterms:W3CDTF">2014-01-17T10:52:16Z</dcterms:created>
  <dcterms:modified xsi:type="dcterms:W3CDTF">2020-03-26T09:34:03Z</dcterms:modified>
</cp:coreProperties>
</file>