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червень\БЮДЖЕТ\СМР\Доопрацьвано\"/>
    </mc:Choice>
  </mc:AlternateContent>
  <bookViews>
    <workbookView xWindow="0" yWindow="0" windowWidth="28800" windowHeight="11835" tabRatio="495" activeTab="1"/>
  </bookViews>
  <sheets>
    <sheet name="дод 3" sheetId="1" r:id="rId1"/>
    <sheet name="дод 8" sheetId="3" r:id="rId2"/>
  </sheets>
  <definedNames>
    <definedName name="_xlnm.Print_Titles" localSheetId="0">'дод 3'!$14:$16</definedName>
    <definedName name="_xlnm.Print_Titles" localSheetId="1">'дод 8'!$14:$16</definedName>
    <definedName name="_xlnm.Print_Area" localSheetId="0">'дод 3'!$A$1:$P$305</definedName>
    <definedName name="_xlnm.Print_Area" localSheetId="1">'дод 8'!$A$1:$O$237</definedName>
  </definedNames>
  <calcPr calcId="162913"/>
</workbook>
</file>

<file path=xl/calcChain.xml><?xml version="1.0" encoding="utf-8"?>
<calcChain xmlns="http://schemas.openxmlformats.org/spreadsheetml/2006/main">
  <c r="F216" i="3" l="1"/>
  <c r="H216" i="3"/>
  <c r="J216" i="3"/>
  <c r="L216" i="3"/>
  <c r="N216" i="3"/>
  <c r="E217" i="3"/>
  <c r="E216" i="3" s="1"/>
  <c r="E214" i="3" s="1"/>
  <c r="E226" i="3" s="1"/>
  <c r="E241" i="3" s="1"/>
  <c r="F217" i="3"/>
  <c r="G217" i="3"/>
  <c r="G216" i="3" s="1"/>
  <c r="G214" i="3" s="1"/>
  <c r="G226" i="3" s="1"/>
  <c r="G241" i="3" s="1"/>
  <c r="H217" i="3"/>
  <c r="I217" i="3"/>
  <c r="I216" i="3" s="1"/>
  <c r="I214" i="3" s="1"/>
  <c r="I226" i="3" s="1"/>
  <c r="I241" i="3" s="1"/>
  <c r="J217" i="3"/>
  <c r="K217" i="3"/>
  <c r="K216" i="3" s="1"/>
  <c r="K214" i="3" s="1"/>
  <c r="K226" i="3" s="1"/>
  <c r="K241" i="3" s="1"/>
  <c r="L217" i="3"/>
  <c r="M217" i="3"/>
  <c r="M216" i="3" s="1"/>
  <c r="M214" i="3" s="1"/>
  <c r="M226" i="3" s="1"/>
  <c r="M241" i="3" s="1"/>
  <c r="N217" i="3"/>
  <c r="O217" i="3"/>
  <c r="O216" i="3" s="1"/>
  <c r="O214" i="3" s="1"/>
  <c r="O226" i="3" s="1"/>
  <c r="O241" i="3" s="1"/>
  <c r="E220" i="3"/>
  <c r="E218" i="3" s="1"/>
  <c r="F220" i="3"/>
  <c r="F218" i="3" s="1"/>
  <c r="G220" i="3"/>
  <c r="G218" i="3" s="1"/>
  <c r="H220" i="3"/>
  <c r="H218" i="3" s="1"/>
  <c r="I220" i="3"/>
  <c r="I218" i="3" s="1"/>
  <c r="J220" i="3"/>
  <c r="J218" i="3" s="1"/>
  <c r="K220" i="3"/>
  <c r="K218" i="3" s="1"/>
  <c r="L220" i="3"/>
  <c r="L218" i="3" s="1"/>
  <c r="M220" i="3"/>
  <c r="M218" i="3" s="1"/>
  <c r="N220" i="3"/>
  <c r="N218" i="3" s="1"/>
  <c r="O220" i="3"/>
  <c r="O218" i="3" s="1"/>
  <c r="E221" i="3"/>
  <c r="E219" i="3" s="1"/>
  <c r="E215" i="3" s="1"/>
  <c r="E227" i="3" s="1"/>
  <c r="E242" i="3" s="1"/>
  <c r="F221" i="3"/>
  <c r="F219" i="3" s="1"/>
  <c r="F215" i="3" s="1"/>
  <c r="F227" i="3" s="1"/>
  <c r="F242" i="3" s="1"/>
  <c r="G221" i="3"/>
  <c r="G219" i="3" s="1"/>
  <c r="G215" i="3" s="1"/>
  <c r="H221" i="3"/>
  <c r="H219" i="3" s="1"/>
  <c r="H215" i="3" s="1"/>
  <c r="H227" i="3" s="1"/>
  <c r="H242" i="3" s="1"/>
  <c r="I221" i="3"/>
  <c r="I219" i="3" s="1"/>
  <c r="I215" i="3" s="1"/>
  <c r="I227" i="3" s="1"/>
  <c r="I242" i="3" s="1"/>
  <c r="J221" i="3"/>
  <c r="J219" i="3" s="1"/>
  <c r="J215" i="3" s="1"/>
  <c r="J227" i="3" s="1"/>
  <c r="J242" i="3" s="1"/>
  <c r="K221" i="3"/>
  <c r="K219" i="3" s="1"/>
  <c r="K215" i="3" s="1"/>
  <c r="L221" i="3"/>
  <c r="L219" i="3" s="1"/>
  <c r="L215" i="3" s="1"/>
  <c r="L227" i="3" s="1"/>
  <c r="L242" i="3" s="1"/>
  <c r="M221" i="3"/>
  <c r="M219" i="3" s="1"/>
  <c r="M215" i="3" s="1"/>
  <c r="M227" i="3" s="1"/>
  <c r="M242" i="3" s="1"/>
  <c r="N221" i="3"/>
  <c r="N219" i="3" s="1"/>
  <c r="N215" i="3" s="1"/>
  <c r="N227" i="3" s="1"/>
  <c r="N242" i="3" s="1"/>
  <c r="O221" i="3"/>
  <c r="O219" i="3" s="1"/>
  <c r="O215" i="3" s="1"/>
  <c r="E223" i="3"/>
  <c r="E222" i="3" s="1"/>
  <c r="F223" i="3"/>
  <c r="G223" i="3"/>
  <c r="G222" i="3" s="1"/>
  <c r="H223" i="3"/>
  <c r="I223" i="3"/>
  <c r="I222" i="3" s="1"/>
  <c r="J223" i="3"/>
  <c r="K223" i="3"/>
  <c r="K222" i="3" s="1"/>
  <c r="L223" i="3"/>
  <c r="M223" i="3"/>
  <c r="M222" i="3" s="1"/>
  <c r="N223" i="3"/>
  <c r="O223" i="3"/>
  <c r="O222" i="3" s="1"/>
  <c r="E224" i="3"/>
  <c r="F224" i="3"/>
  <c r="F222" i="3" s="1"/>
  <c r="G224" i="3"/>
  <c r="H224" i="3"/>
  <c r="H222" i="3" s="1"/>
  <c r="I224" i="3"/>
  <c r="J224" i="3"/>
  <c r="J222" i="3" s="1"/>
  <c r="K224" i="3"/>
  <c r="L224" i="3"/>
  <c r="L222" i="3" s="1"/>
  <c r="M224" i="3"/>
  <c r="N224" i="3"/>
  <c r="N222" i="3" s="1"/>
  <c r="O224" i="3"/>
  <c r="E225" i="3"/>
  <c r="F225" i="3"/>
  <c r="G225" i="3"/>
  <c r="H225" i="3"/>
  <c r="I225" i="3"/>
  <c r="J225" i="3"/>
  <c r="K225" i="3"/>
  <c r="L225" i="3"/>
  <c r="M225" i="3"/>
  <c r="N225" i="3"/>
  <c r="O225" i="3"/>
  <c r="G227" i="3"/>
  <c r="G242" i="3" s="1"/>
  <c r="K227" i="3"/>
  <c r="K242" i="3" s="1"/>
  <c r="O227" i="3"/>
  <c r="O242" i="3" s="1"/>
  <c r="E228" i="3"/>
  <c r="F228" i="3"/>
  <c r="F243" i="3" s="1"/>
  <c r="G228" i="3"/>
  <c r="H228" i="3"/>
  <c r="H243" i="3" s="1"/>
  <c r="I228" i="3"/>
  <c r="J228" i="3"/>
  <c r="J243" i="3" s="1"/>
  <c r="K228" i="3"/>
  <c r="L228" i="3"/>
  <c r="L243" i="3" s="1"/>
  <c r="M228" i="3"/>
  <c r="N228" i="3"/>
  <c r="N243" i="3" s="1"/>
  <c r="O228" i="3"/>
  <c r="E229" i="3"/>
  <c r="E244" i="3" s="1"/>
  <c r="F229" i="3"/>
  <c r="G229" i="3"/>
  <c r="G244" i="3" s="1"/>
  <c r="H229" i="3"/>
  <c r="I229" i="3"/>
  <c r="I244" i="3" s="1"/>
  <c r="J229" i="3"/>
  <c r="K229" i="3"/>
  <c r="K244" i="3" s="1"/>
  <c r="L229" i="3"/>
  <c r="M229" i="3"/>
  <c r="M244" i="3" s="1"/>
  <c r="N229" i="3"/>
  <c r="O229" i="3"/>
  <c r="O244" i="3" s="1"/>
  <c r="E243" i="3"/>
  <c r="G243" i="3"/>
  <c r="I243" i="3"/>
  <c r="K243" i="3"/>
  <c r="M243" i="3"/>
  <c r="O243" i="3"/>
  <c r="F244" i="3"/>
  <c r="H244" i="3"/>
  <c r="J244" i="3"/>
  <c r="L244" i="3"/>
  <c r="N244" i="3"/>
  <c r="D244" i="3"/>
  <c r="D243" i="3"/>
  <c r="D242" i="3"/>
  <c r="D241" i="3"/>
  <c r="L214" i="3" l="1"/>
  <c r="L226" i="3" s="1"/>
  <c r="L241" i="3" s="1"/>
  <c r="H214" i="3"/>
  <c r="H226" i="3" s="1"/>
  <c r="H241" i="3" s="1"/>
  <c r="N214" i="3"/>
  <c r="N226" i="3" s="1"/>
  <c r="N241" i="3" s="1"/>
  <c r="J214" i="3"/>
  <c r="J226" i="3" s="1"/>
  <c r="J241" i="3" s="1"/>
  <c r="F214" i="3"/>
  <c r="F226" i="3" s="1"/>
  <c r="F241" i="3" s="1"/>
  <c r="I216" i="1"/>
  <c r="F216" i="1"/>
  <c r="O107" i="1"/>
  <c r="L107" i="1"/>
  <c r="O138" i="1" l="1"/>
  <c r="K138" i="1"/>
  <c r="O122" i="1"/>
  <c r="K122" i="1"/>
  <c r="F122" i="1"/>
  <c r="F217" i="1" l="1"/>
  <c r="F218" i="1"/>
  <c r="F213" i="1" l="1"/>
  <c r="F211" i="1"/>
  <c r="O220" i="1"/>
  <c r="K220" i="1"/>
  <c r="O217" i="1"/>
  <c r="K217" i="1"/>
  <c r="O251" i="1" l="1"/>
  <c r="K251" i="1"/>
  <c r="O214" i="1"/>
  <c r="K214" i="1"/>
  <c r="F214" i="1"/>
  <c r="O219" i="1"/>
  <c r="K219" i="1"/>
  <c r="O212" i="1"/>
  <c r="K212" i="1"/>
  <c r="F179" i="1"/>
  <c r="F76" i="1"/>
  <c r="F75" i="1"/>
  <c r="F38" i="1"/>
  <c r="F105" i="1" l="1"/>
  <c r="F77" i="1"/>
  <c r="O75" i="1"/>
  <c r="K75" i="1"/>
  <c r="O105" i="1"/>
  <c r="K105" i="1"/>
  <c r="O102" i="1"/>
  <c r="K102" i="1"/>
  <c r="O77" i="1"/>
  <c r="K77" i="1"/>
  <c r="F33" i="1" l="1"/>
  <c r="O85" i="1"/>
  <c r="O83" i="1"/>
  <c r="K85" i="1"/>
  <c r="K83" i="1"/>
  <c r="F85" i="1"/>
  <c r="F83" i="1"/>
  <c r="O76" i="1"/>
  <c r="K76" i="1"/>
  <c r="O96" i="1"/>
  <c r="K96" i="1"/>
  <c r="F96" i="1"/>
  <c r="O95" i="1"/>
  <c r="K95" i="1"/>
  <c r="F95" i="1"/>
  <c r="O74" i="1"/>
  <c r="K74" i="1"/>
  <c r="F74" i="1"/>
  <c r="L287" i="1"/>
  <c r="O199" i="1"/>
  <c r="K199" i="1"/>
  <c r="O39" i="1"/>
  <c r="K39" i="1"/>
  <c r="F39" i="1"/>
  <c r="F37" i="1"/>
  <c r="F131" i="1"/>
  <c r="F60" i="1"/>
  <c r="F187" i="1"/>
  <c r="F99" i="1"/>
  <c r="F156" i="1"/>
  <c r="F155" i="1"/>
  <c r="F135" i="1"/>
  <c r="F133" i="1"/>
  <c r="F170" i="1"/>
  <c r="O248" i="1"/>
  <c r="K248" i="1"/>
  <c r="P265" i="1" l="1"/>
  <c r="O169" i="3"/>
  <c r="N169" i="3"/>
  <c r="M169" i="3"/>
  <c r="L169" i="3"/>
  <c r="K169" i="3"/>
  <c r="J169" i="3"/>
  <c r="I169" i="3"/>
  <c r="H169" i="3"/>
  <c r="G169" i="3"/>
  <c r="F169" i="3"/>
  <c r="E169" i="3"/>
  <c r="D169" i="3"/>
  <c r="K224" i="1"/>
  <c r="N292" i="1"/>
  <c r="M292" i="1"/>
  <c r="L292" i="1"/>
  <c r="I292" i="1"/>
  <c r="H292" i="1"/>
  <c r="G292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N167" i="3"/>
  <c r="M167" i="3"/>
  <c r="L167" i="3"/>
  <c r="K167" i="3"/>
  <c r="J167" i="3"/>
  <c r="H167" i="3"/>
  <c r="G167" i="3"/>
  <c r="F167" i="3"/>
  <c r="E167" i="3"/>
  <c r="N168" i="3"/>
  <c r="M168" i="3"/>
  <c r="L168" i="3"/>
  <c r="K168" i="3"/>
  <c r="J168" i="3"/>
  <c r="H168" i="3"/>
  <c r="G168" i="3"/>
  <c r="F168" i="3"/>
  <c r="E168" i="3"/>
  <c r="F41" i="1"/>
  <c r="F34" i="1"/>
  <c r="O245" i="1"/>
  <c r="K245" i="1"/>
  <c r="O38" i="1"/>
  <c r="K38" i="1"/>
  <c r="F261" i="1"/>
  <c r="K184" i="1"/>
  <c r="E289" i="1"/>
  <c r="F265" i="1"/>
  <c r="O264" i="1"/>
  <c r="K264" i="1"/>
  <c r="O261" i="1"/>
  <c r="N261" i="1"/>
  <c r="M261" i="1"/>
  <c r="L261" i="1"/>
  <c r="K261" i="1"/>
  <c r="I261" i="1"/>
  <c r="H261" i="1"/>
  <c r="G261" i="1"/>
  <c r="J265" i="1"/>
  <c r="E265" i="1"/>
  <c r="O224" i="1"/>
  <c r="O119" i="1"/>
  <c r="N119" i="1"/>
  <c r="M119" i="1"/>
  <c r="L119" i="1"/>
  <c r="K119" i="1"/>
  <c r="I119" i="1"/>
  <c r="H119" i="1"/>
  <c r="G119" i="1"/>
  <c r="F119" i="1"/>
  <c r="O62" i="1"/>
  <c r="N62" i="1"/>
  <c r="M62" i="1"/>
  <c r="L62" i="1"/>
  <c r="K62" i="1"/>
  <c r="I62" i="1"/>
  <c r="H62" i="1"/>
  <c r="G62" i="1"/>
  <c r="F62" i="1"/>
  <c r="O71" i="1"/>
  <c r="N71" i="1"/>
  <c r="M71" i="1"/>
  <c r="L71" i="1"/>
  <c r="K71" i="1"/>
  <c r="I71" i="1"/>
  <c r="H71" i="1"/>
  <c r="G71" i="1"/>
  <c r="F71" i="1"/>
  <c r="E104" i="1"/>
  <c r="E71" i="1" s="1"/>
  <c r="E103" i="1"/>
  <c r="J104" i="1"/>
  <c r="P104" i="1" s="1"/>
  <c r="P71" i="1" s="1"/>
  <c r="J103" i="1"/>
  <c r="P103" i="1" s="1"/>
  <c r="O195" i="1"/>
  <c r="K195" i="1"/>
  <c r="F195" i="1"/>
  <c r="I230" i="1"/>
  <c r="F94" i="1"/>
  <c r="F57" i="1"/>
  <c r="O213" i="1"/>
  <c r="K213" i="1"/>
  <c r="O178" i="1"/>
  <c r="K178" i="1"/>
  <c r="F178" i="1"/>
  <c r="O272" i="1"/>
  <c r="K272" i="1"/>
  <c r="F272" i="1"/>
  <c r="O240" i="1"/>
  <c r="K240" i="1"/>
  <c r="F240" i="1"/>
  <c r="O196" i="1"/>
  <c r="K196" i="1"/>
  <c r="F196" i="1"/>
  <c r="O40" i="1"/>
  <c r="K40" i="1"/>
  <c r="F40" i="1"/>
  <c r="L236" i="1"/>
  <c r="F194" i="1"/>
  <c r="J71" i="1" l="1"/>
  <c r="F283" i="1" l="1"/>
  <c r="F285" i="1"/>
  <c r="K145" i="1" l="1"/>
  <c r="O145" i="1"/>
  <c r="F163" i="1" l="1"/>
  <c r="F70" i="1" l="1"/>
  <c r="F292" i="1" s="1"/>
  <c r="M19" i="3"/>
  <c r="L19" i="3"/>
  <c r="K19" i="3"/>
  <c r="H19" i="3"/>
  <c r="F19" i="3"/>
  <c r="F269" i="1" l="1"/>
  <c r="N18" i="1" l="1"/>
  <c r="M18" i="1"/>
  <c r="L18" i="1"/>
  <c r="I18" i="1"/>
  <c r="N50" i="3"/>
  <c r="N26" i="3" s="1"/>
  <c r="M50" i="3"/>
  <c r="M26" i="3" s="1"/>
  <c r="L50" i="3"/>
  <c r="L26" i="3" s="1"/>
  <c r="K50" i="3"/>
  <c r="K26" i="3" s="1"/>
  <c r="J50" i="3"/>
  <c r="J26" i="3" s="1"/>
  <c r="H50" i="3"/>
  <c r="H26" i="3" s="1"/>
  <c r="G50" i="3"/>
  <c r="G26" i="3" s="1"/>
  <c r="F50" i="3"/>
  <c r="F26" i="3" s="1"/>
  <c r="E50" i="3"/>
  <c r="E26" i="3" s="1"/>
  <c r="O65" i="1"/>
  <c r="N65" i="1"/>
  <c r="M65" i="1"/>
  <c r="L65" i="1"/>
  <c r="K65" i="1"/>
  <c r="I65" i="1"/>
  <c r="H65" i="1"/>
  <c r="G65" i="1"/>
  <c r="F65" i="1"/>
  <c r="J84" i="1"/>
  <c r="I50" i="3" s="1"/>
  <c r="I26" i="3" s="1"/>
  <c r="E84" i="1"/>
  <c r="D50" i="3" s="1"/>
  <c r="D26" i="3" s="1"/>
  <c r="G56" i="1"/>
  <c r="F56" i="1"/>
  <c r="F198" i="1"/>
  <c r="N21" i="3"/>
  <c r="M21" i="3"/>
  <c r="L21" i="3"/>
  <c r="K21" i="3"/>
  <c r="J21" i="3"/>
  <c r="H21" i="3"/>
  <c r="G21" i="3"/>
  <c r="F21" i="3"/>
  <c r="E21" i="3"/>
  <c r="N203" i="1"/>
  <c r="M203" i="1"/>
  <c r="G203" i="1"/>
  <c r="J210" i="1"/>
  <c r="E210" i="1"/>
  <c r="P210" i="1" s="1"/>
  <c r="O137" i="1"/>
  <c r="K137" i="1"/>
  <c r="H33" i="1"/>
  <c r="H21" i="1"/>
  <c r="G19" i="3" s="1"/>
  <c r="F21" i="1"/>
  <c r="O253" i="1"/>
  <c r="K253" i="1"/>
  <c r="O250" i="1"/>
  <c r="K250" i="1"/>
  <c r="O249" i="1"/>
  <c r="K249" i="1"/>
  <c r="O252" i="1"/>
  <c r="K252" i="1"/>
  <c r="F203" i="1"/>
  <c r="H217" i="1"/>
  <c r="H203" i="1" s="1"/>
  <c r="O187" i="1"/>
  <c r="K187" i="1"/>
  <c r="O186" i="1"/>
  <c r="K186" i="1"/>
  <c r="F186" i="1"/>
  <c r="H163" i="1"/>
  <c r="F154" i="1"/>
  <c r="F88" i="1"/>
  <c r="O89" i="1"/>
  <c r="K89" i="1"/>
  <c r="F89" i="1"/>
  <c r="G76" i="1"/>
  <c r="F48" i="1"/>
  <c r="H40" i="1"/>
  <c r="O21" i="1"/>
  <c r="N19" i="3" s="1"/>
  <c r="K21" i="1"/>
  <c r="J19" i="3" s="1"/>
  <c r="O139" i="1"/>
  <c r="K139" i="1"/>
  <c r="O246" i="1"/>
  <c r="P84" i="1" l="1"/>
  <c r="E65" i="1"/>
  <c r="J65" i="1"/>
  <c r="H18" i="1"/>
  <c r="L266" i="1"/>
  <c r="O233" i="1"/>
  <c r="L233" i="1"/>
  <c r="L203" i="1" s="1"/>
  <c r="N180" i="3"/>
  <c r="M180" i="3"/>
  <c r="L180" i="3"/>
  <c r="K180" i="3"/>
  <c r="J180" i="3"/>
  <c r="H180" i="3"/>
  <c r="G180" i="3"/>
  <c r="F180" i="3"/>
  <c r="E180" i="3"/>
  <c r="N181" i="3"/>
  <c r="N172" i="3" s="1"/>
  <c r="M181" i="3"/>
  <c r="M172" i="3" s="1"/>
  <c r="L181" i="3"/>
  <c r="L172" i="3" s="1"/>
  <c r="K181" i="3"/>
  <c r="K172" i="3" s="1"/>
  <c r="J181" i="3"/>
  <c r="J172" i="3" s="1"/>
  <c r="H181" i="3"/>
  <c r="H172" i="3" s="1"/>
  <c r="G181" i="3"/>
  <c r="G172" i="3" s="1"/>
  <c r="F181" i="3"/>
  <c r="F172" i="3" s="1"/>
  <c r="E181" i="3"/>
  <c r="E172" i="3" s="1"/>
  <c r="N52" i="3"/>
  <c r="M52" i="3"/>
  <c r="L52" i="3"/>
  <c r="K52" i="3"/>
  <c r="J52" i="3"/>
  <c r="H52" i="3"/>
  <c r="G52" i="3"/>
  <c r="F52" i="3"/>
  <c r="E52" i="3"/>
  <c r="N53" i="3"/>
  <c r="M53" i="3"/>
  <c r="L53" i="3"/>
  <c r="K53" i="3"/>
  <c r="J53" i="3"/>
  <c r="H53" i="3"/>
  <c r="G53" i="3"/>
  <c r="F53" i="3"/>
  <c r="E53" i="3"/>
  <c r="N70" i="1"/>
  <c r="M70" i="1"/>
  <c r="L70" i="1"/>
  <c r="I70" i="1"/>
  <c r="H70" i="1"/>
  <c r="G70" i="1"/>
  <c r="J110" i="1"/>
  <c r="J109" i="1"/>
  <c r="E110" i="1"/>
  <c r="P110" i="1" s="1"/>
  <c r="E109" i="1"/>
  <c r="P109" i="1" s="1"/>
  <c r="J87" i="1"/>
  <c r="I53" i="3" s="1"/>
  <c r="J86" i="1"/>
  <c r="I52" i="3" s="1"/>
  <c r="E87" i="1"/>
  <c r="P87" i="1" s="1"/>
  <c r="O53" i="3" s="1"/>
  <c r="E86" i="1"/>
  <c r="P86" i="1" s="1"/>
  <c r="O52" i="3" s="1"/>
  <c r="O70" i="1"/>
  <c r="O292" i="1" s="1"/>
  <c r="K70" i="1"/>
  <c r="K292" i="1" s="1"/>
  <c r="D221" i="3" l="1"/>
  <c r="D219" i="3" s="1"/>
  <c r="D215" i="3" s="1"/>
  <c r="D53" i="3"/>
  <c r="O50" i="3"/>
  <c r="O26" i="3" s="1"/>
  <c r="P65" i="1"/>
  <c r="D52" i="3"/>
  <c r="D220" i="3"/>
  <c r="D218" i="3" s="1"/>
  <c r="F63" i="1"/>
  <c r="O143" i="1" l="1"/>
  <c r="K143" i="1"/>
  <c r="J152" i="1" l="1"/>
  <c r="O147" i="1" l="1"/>
  <c r="N147" i="1"/>
  <c r="M147" i="1"/>
  <c r="L147" i="1"/>
  <c r="K147" i="1"/>
  <c r="I147" i="1"/>
  <c r="H147" i="1"/>
  <c r="G147" i="1"/>
  <c r="E152" i="1"/>
  <c r="P152" i="1" s="1"/>
  <c r="F151" i="1"/>
  <c r="F147" i="1" s="1"/>
  <c r="O142" i="1"/>
  <c r="K142" i="1"/>
  <c r="F121" i="1"/>
  <c r="E19" i="3" s="1"/>
  <c r="F108" i="1"/>
  <c r="O18" i="1"/>
  <c r="K18" i="1"/>
  <c r="F36" i="1"/>
  <c r="F18" i="1"/>
  <c r="K113" i="1" l="1"/>
  <c r="N51" i="3"/>
  <c r="N32" i="3" s="1"/>
  <c r="M51" i="3"/>
  <c r="M32" i="3" s="1"/>
  <c r="L51" i="3"/>
  <c r="L32" i="3" s="1"/>
  <c r="K51" i="3"/>
  <c r="K32" i="3" s="1"/>
  <c r="J51" i="3"/>
  <c r="J32" i="3" s="1"/>
  <c r="H51" i="3"/>
  <c r="H32" i="3" s="1"/>
  <c r="G51" i="3"/>
  <c r="G32" i="3" s="1"/>
  <c r="F51" i="3"/>
  <c r="F32" i="3" s="1"/>
  <c r="E51" i="3"/>
  <c r="E32" i="3" s="1"/>
  <c r="J85" i="1"/>
  <c r="J70" i="1" s="1"/>
  <c r="J292" i="1" s="1"/>
  <c r="E85" i="1"/>
  <c r="E70" i="1" s="1"/>
  <c r="E292" i="1" s="1"/>
  <c r="P85" i="1" l="1"/>
  <c r="P70" i="1" s="1"/>
  <c r="P292" i="1" s="1"/>
  <c r="D51" i="3"/>
  <c r="D32" i="3" s="1"/>
  <c r="I51" i="3"/>
  <c r="I32" i="3" s="1"/>
  <c r="O221" i="1"/>
  <c r="K221" i="1"/>
  <c r="O51" i="3" l="1"/>
  <c r="O32" i="3" s="1"/>
  <c r="F180" i="1"/>
  <c r="G55" i="1" l="1"/>
  <c r="G18" i="1" s="1"/>
  <c r="O203" i="1" l="1"/>
  <c r="K203" i="1"/>
  <c r="H194" i="1"/>
  <c r="I213" i="1"/>
  <c r="I203" i="1" s="1"/>
  <c r="F288" i="1"/>
  <c r="F277" i="1"/>
  <c r="F273" i="1"/>
  <c r="H196" i="1"/>
  <c r="N157" i="3" l="1"/>
  <c r="M157" i="3"/>
  <c r="L157" i="3"/>
  <c r="K157" i="3"/>
  <c r="J157" i="3"/>
  <c r="H157" i="3"/>
  <c r="G157" i="3"/>
  <c r="F157" i="3"/>
  <c r="E157" i="3"/>
  <c r="K242" i="1"/>
  <c r="F242" i="1"/>
  <c r="K118" i="1" l="1"/>
  <c r="N49" i="3" l="1"/>
  <c r="M49" i="3"/>
  <c r="L49" i="3"/>
  <c r="K49" i="3"/>
  <c r="J49" i="3"/>
  <c r="H49" i="3"/>
  <c r="G49" i="3"/>
  <c r="F49" i="3"/>
  <c r="E49" i="3"/>
  <c r="J83" i="1"/>
  <c r="I49" i="3" s="1"/>
  <c r="E83" i="1"/>
  <c r="O242" i="1"/>
  <c r="N242" i="1"/>
  <c r="M242" i="1"/>
  <c r="L242" i="1"/>
  <c r="I242" i="1"/>
  <c r="H242" i="1"/>
  <c r="G242" i="1"/>
  <c r="J259" i="1"/>
  <c r="E259" i="1"/>
  <c r="D223" i="3" s="1"/>
  <c r="D49" i="3" l="1"/>
  <c r="P259" i="1"/>
  <c r="P83" i="1"/>
  <c r="O49" i="3" s="1"/>
  <c r="J111" i="1"/>
  <c r="E111" i="1" l="1"/>
  <c r="N65" i="3"/>
  <c r="N31" i="3" s="1"/>
  <c r="M65" i="3"/>
  <c r="M31" i="3" s="1"/>
  <c r="L65" i="3"/>
  <c r="L31" i="3" s="1"/>
  <c r="K65" i="3"/>
  <c r="K31" i="3" s="1"/>
  <c r="J65" i="3"/>
  <c r="J31" i="3" s="1"/>
  <c r="H65" i="3"/>
  <c r="H31" i="3" s="1"/>
  <c r="G65" i="3"/>
  <c r="G31" i="3" s="1"/>
  <c r="F65" i="3"/>
  <c r="F31" i="3" s="1"/>
  <c r="E65" i="3"/>
  <c r="E31" i="3" s="1"/>
  <c r="N64" i="3"/>
  <c r="M64" i="3"/>
  <c r="L64" i="3"/>
  <c r="K64" i="3"/>
  <c r="J64" i="3"/>
  <c r="H64" i="3"/>
  <c r="G64" i="3"/>
  <c r="F64" i="3"/>
  <c r="E64" i="3"/>
  <c r="O69" i="1"/>
  <c r="N69" i="1"/>
  <c r="M69" i="1"/>
  <c r="L69" i="1"/>
  <c r="K69" i="1"/>
  <c r="I69" i="1"/>
  <c r="H69" i="1"/>
  <c r="G69" i="1"/>
  <c r="F69" i="1"/>
  <c r="J98" i="1"/>
  <c r="I65" i="3" s="1"/>
  <c r="I31" i="3" s="1"/>
  <c r="J97" i="1"/>
  <c r="I64" i="3" s="1"/>
  <c r="E98" i="1"/>
  <c r="P98" i="1" s="1"/>
  <c r="O65" i="3" s="1"/>
  <c r="O31" i="3" s="1"/>
  <c r="E97" i="1"/>
  <c r="P97" i="1" s="1"/>
  <c r="O64" i="3" s="1"/>
  <c r="D65" i="3" l="1"/>
  <c r="D31" i="3" s="1"/>
  <c r="E69" i="1"/>
  <c r="P111" i="1"/>
  <c r="D64" i="3"/>
  <c r="J69" i="1"/>
  <c r="P69" i="1"/>
  <c r="N209" i="3" l="1"/>
  <c r="M209" i="3"/>
  <c r="L209" i="3"/>
  <c r="K209" i="3"/>
  <c r="J209" i="3"/>
  <c r="H209" i="3"/>
  <c r="G209" i="3"/>
  <c r="F209" i="3"/>
  <c r="E209" i="3"/>
  <c r="M187" i="3"/>
  <c r="L187" i="3"/>
  <c r="K187" i="3"/>
  <c r="H187" i="3"/>
  <c r="G187" i="3"/>
  <c r="F187" i="3"/>
  <c r="N55" i="3"/>
  <c r="M55" i="3"/>
  <c r="L55" i="3"/>
  <c r="K55" i="3"/>
  <c r="J55" i="3"/>
  <c r="H55" i="3"/>
  <c r="G55" i="3"/>
  <c r="F55" i="3"/>
  <c r="E55" i="3"/>
  <c r="E194" i="1"/>
  <c r="J194" i="1"/>
  <c r="I55" i="3" s="1"/>
  <c r="D55" i="3" l="1"/>
  <c r="P194" i="1"/>
  <c r="O55" i="3" s="1"/>
  <c r="N197" i="3" l="1"/>
  <c r="M197" i="3"/>
  <c r="L197" i="3"/>
  <c r="K197" i="3"/>
  <c r="J197" i="3"/>
  <c r="H197" i="3"/>
  <c r="G197" i="3"/>
  <c r="F197" i="3"/>
  <c r="E197" i="3"/>
  <c r="E106" i="1"/>
  <c r="D197" i="3" s="1"/>
  <c r="J106" i="1"/>
  <c r="I197" i="3" s="1"/>
  <c r="N132" i="3"/>
  <c r="M132" i="3"/>
  <c r="L132" i="3"/>
  <c r="K132" i="3"/>
  <c r="J132" i="3"/>
  <c r="H132" i="3"/>
  <c r="G132" i="3"/>
  <c r="F132" i="3"/>
  <c r="E132" i="3"/>
  <c r="N122" i="3"/>
  <c r="M122" i="3"/>
  <c r="L122" i="3"/>
  <c r="K122" i="3"/>
  <c r="J122" i="3"/>
  <c r="H122" i="3"/>
  <c r="G122" i="3"/>
  <c r="F122" i="3"/>
  <c r="N106" i="3"/>
  <c r="M106" i="3"/>
  <c r="L106" i="3"/>
  <c r="K106" i="3"/>
  <c r="J106" i="3"/>
  <c r="H106" i="3"/>
  <c r="G106" i="3"/>
  <c r="F106" i="3"/>
  <c r="E106" i="3"/>
  <c r="N63" i="3"/>
  <c r="N29" i="3" s="1"/>
  <c r="M63" i="3"/>
  <c r="M29" i="3" s="1"/>
  <c r="L63" i="3"/>
  <c r="L29" i="3" s="1"/>
  <c r="K63" i="3"/>
  <c r="K29" i="3" s="1"/>
  <c r="J63" i="3"/>
  <c r="J29" i="3" s="1"/>
  <c r="H63" i="3"/>
  <c r="H29" i="3" s="1"/>
  <c r="G63" i="3"/>
  <c r="G29" i="3" s="1"/>
  <c r="F63" i="3"/>
  <c r="F29" i="3" s="1"/>
  <c r="E63" i="3"/>
  <c r="E29" i="3" s="1"/>
  <c r="N62" i="3"/>
  <c r="M62" i="3"/>
  <c r="L62" i="3"/>
  <c r="K62" i="3"/>
  <c r="J62" i="3"/>
  <c r="H62" i="3"/>
  <c r="G62" i="3"/>
  <c r="F62" i="3"/>
  <c r="E62" i="3"/>
  <c r="N61" i="3"/>
  <c r="M61" i="3"/>
  <c r="L61" i="3"/>
  <c r="K61" i="3"/>
  <c r="J61" i="3"/>
  <c r="H61" i="3"/>
  <c r="G61" i="3"/>
  <c r="F61" i="3"/>
  <c r="E61" i="3"/>
  <c r="B61" i="3"/>
  <c r="N60" i="3"/>
  <c r="M60" i="3"/>
  <c r="L60" i="3"/>
  <c r="K60" i="3"/>
  <c r="J60" i="3"/>
  <c r="H60" i="3"/>
  <c r="G60" i="3"/>
  <c r="F60" i="3"/>
  <c r="E60" i="3"/>
  <c r="N59" i="3"/>
  <c r="M59" i="3"/>
  <c r="L59" i="3"/>
  <c r="K59" i="3"/>
  <c r="J59" i="3"/>
  <c r="H59" i="3"/>
  <c r="G59" i="3"/>
  <c r="F59" i="3"/>
  <c r="E59" i="3"/>
  <c r="N58" i="3"/>
  <c r="M58" i="3"/>
  <c r="L58" i="3"/>
  <c r="K58" i="3"/>
  <c r="J58" i="3"/>
  <c r="H58" i="3"/>
  <c r="G58" i="3"/>
  <c r="F58" i="3"/>
  <c r="E58" i="3"/>
  <c r="N57" i="3"/>
  <c r="M57" i="3"/>
  <c r="L57" i="3"/>
  <c r="K57" i="3"/>
  <c r="J57" i="3"/>
  <c r="H57" i="3"/>
  <c r="G57" i="3"/>
  <c r="F57" i="3"/>
  <c r="E57" i="3"/>
  <c r="N56" i="3"/>
  <c r="M56" i="3"/>
  <c r="L56" i="3"/>
  <c r="K56" i="3"/>
  <c r="J56" i="3"/>
  <c r="H56" i="3"/>
  <c r="G56" i="3"/>
  <c r="F56" i="3"/>
  <c r="E56" i="3"/>
  <c r="N54" i="3"/>
  <c r="M54" i="3"/>
  <c r="L54" i="3"/>
  <c r="K54" i="3"/>
  <c r="J54" i="3"/>
  <c r="H54" i="3"/>
  <c r="G54" i="3"/>
  <c r="F54" i="3"/>
  <c r="E54" i="3"/>
  <c r="N48" i="3"/>
  <c r="M48" i="3"/>
  <c r="L48" i="3"/>
  <c r="K48" i="3"/>
  <c r="J48" i="3"/>
  <c r="H48" i="3"/>
  <c r="G48" i="3"/>
  <c r="F48" i="3"/>
  <c r="E48" i="3"/>
  <c r="N47" i="3"/>
  <c r="M47" i="3"/>
  <c r="L47" i="3"/>
  <c r="K47" i="3"/>
  <c r="J47" i="3"/>
  <c r="H47" i="3"/>
  <c r="G47" i="3"/>
  <c r="F47" i="3"/>
  <c r="E47" i="3"/>
  <c r="N46" i="3"/>
  <c r="N27" i="3" s="1"/>
  <c r="M46" i="3"/>
  <c r="M27" i="3" s="1"/>
  <c r="L46" i="3"/>
  <c r="L27" i="3" s="1"/>
  <c r="K46" i="3"/>
  <c r="K27" i="3" s="1"/>
  <c r="J46" i="3"/>
  <c r="J27" i="3" s="1"/>
  <c r="H46" i="3"/>
  <c r="H27" i="3" s="1"/>
  <c r="G46" i="3"/>
  <c r="G27" i="3" s="1"/>
  <c r="F46" i="3"/>
  <c r="F27" i="3" s="1"/>
  <c r="E46" i="3"/>
  <c r="E27" i="3" s="1"/>
  <c r="N45" i="3"/>
  <c r="M45" i="3"/>
  <c r="L45" i="3"/>
  <c r="K45" i="3"/>
  <c r="J45" i="3"/>
  <c r="H45" i="3"/>
  <c r="G45" i="3"/>
  <c r="F45" i="3"/>
  <c r="E45" i="3"/>
  <c r="N44" i="3"/>
  <c r="M44" i="3"/>
  <c r="L44" i="3"/>
  <c r="K44" i="3"/>
  <c r="J44" i="3"/>
  <c r="H44" i="3"/>
  <c r="G44" i="3"/>
  <c r="F44" i="3"/>
  <c r="E44" i="3"/>
  <c r="N42" i="3"/>
  <c r="M42" i="3"/>
  <c r="L42" i="3"/>
  <c r="K42" i="3"/>
  <c r="J42" i="3"/>
  <c r="H42" i="3"/>
  <c r="G42" i="3"/>
  <c r="F42" i="3"/>
  <c r="E42" i="3"/>
  <c r="N35" i="3"/>
  <c r="M35" i="3"/>
  <c r="L35" i="3"/>
  <c r="K35" i="3"/>
  <c r="J35" i="3"/>
  <c r="H35" i="3"/>
  <c r="G35" i="3"/>
  <c r="F35" i="3"/>
  <c r="E35" i="3"/>
  <c r="N33" i="3"/>
  <c r="M33" i="3"/>
  <c r="L33" i="3"/>
  <c r="K33" i="3"/>
  <c r="J33" i="3"/>
  <c r="H33" i="3"/>
  <c r="G33" i="3"/>
  <c r="F33" i="3"/>
  <c r="E33" i="3"/>
  <c r="F24" i="3" l="1"/>
  <c r="H24" i="3"/>
  <c r="K24" i="3"/>
  <c r="M24" i="3"/>
  <c r="E24" i="3"/>
  <c r="G24" i="3"/>
  <c r="J24" i="3"/>
  <c r="L24" i="3"/>
  <c r="N24" i="3"/>
  <c r="N187" i="3"/>
  <c r="E25" i="3"/>
  <c r="G25" i="3"/>
  <c r="F25" i="3"/>
  <c r="H25" i="3"/>
  <c r="P106" i="1"/>
  <c r="O197" i="3" s="1"/>
  <c r="J25" i="3"/>
  <c r="N25" i="3"/>
  <c r="K25" i="3"/>
  <c r="M25" i="3"/>
  <c r="L25" i="3"/>
  <c r="J108" i="1"/>
  <c r="J107" i="1"/>
  <c r="J105" i="1"/>
  <c r="J102" i="1"/>
  <c r="J101" i="1"/>
  <c r="J100" i="1"/>
  <c r="J99" i="1"/>
  <c r="E108" i="1"/>
  <c r="E107" i="1"/>
  <c r="E105" i="1"/>
  <c r="E102" i="1"/>
  <c r="E101" i="1"/>
  <c r="E100" i="1"/>
  <c r="E99" i="1"/>
  <c r="P99" i="1" l="1"/>
  <c r="P101" i="1"/>
  <c r="P105" i="1"/>
  <c r="P108" i="1"/>
  <c r="P102" i="1"/>
  <c r="P107" i="1"/>
  <c r="P100" i="1"/>
  <c r="O68" i="1"/>
  <c r="N68" i="1"/>
  <c r="M68" i="1"/>
  <c r="L68" i="1"/>
  <c r="K68" i="1"/>
  <c r="I68" i="1"/>
  <c r="H68" i="1"/>
  <c r="G68" i="1"/>
  <c r="F68" i="1"/>
  <c r="O66" i="1"/>
  <c r="N66" i="1"/>
  <c r="M66" i="1"/>
  <c r="L66" i="1"/>
  <c r="K66" i="1"/>
  <c r="I66" i="1"/>
  <c r="H66" i="1"/>
  <c r="G66" i="1"/>
  <c r="F66" i="1"/>
  <c r="O63" i="1"/>
  <c r="N63" i="1"/>
  <c r="M63" i="1"/>
  <c r="L63" i="1"/>
  <c r="K63" i="1"/>
  <c r="I63" i="1"/>
  <c r="H63" i="1"/>
  <c r="G63" i="1"/>
  <c r="J93" i="1"/>
  <c r="I60" i="3" s="1"/>
  <c r="E93" i="1"/>
  <c r="D60" i="3" s="1"/>
  <c r="J82" i="1"/>
  <c r="I48" i="3" s="1"/>
  <c r="E82" i="1"/>
  <c r="D48" i="3" s="1"/>
  <c r="P93" i="1" l="1"/>
  <c r="O60" i="3" s="1"/>
  <c r="P82" i="1"/>
  <c r="O48" i="3" s="1"/>
  <c r="J187" i="3" l="1"/>
  <c r="O144" i="1"/>
  <c r="E122" i="3" l="1"/>
  <c r="D196" i="1" l="1"/>
  <c r="E187" i="3" l="1"/>
  <c r="D55" i="1" l="1"/>
  <c r="N194" i="3" l="1"/>
  <c r="M194" i="3"/>
  <c r="L194" i="3"/>
  <c r="K194" i="3"/>
  <c r="J194" i="3"/>
  <c r="H194" i="3"/>
  <c r="G194" i="3"/>
  <c r="F194" i="3"/>
  <c r="E194" i="3"/>
  <c r="N161" i="3"/>
  <c r="N164" i="3"/>
  <c r="M164" i="3"/>
  <c r="L164" i="3"/>
  <c r="K164" i="3"/>
  <c r="J164" i="3"/>
  <c r="H164" i="3"/>
  <c r="G164" i="3"/>
  <c r="F164" i="3"/>
  <c r="E164" i="3"/>
  <c r="N160" i="3"/>
  <c r="M160" i="3"/>
  <c r="L160" i="3"/>
  <c r="K160" i="3"/>
  <c r="J160" i="3"/>
  <c r="H160" i="3"/>
  <c r="G160" i="3"/>
  <c r="F160" i="3"/>
  <c r="E160" i="3"/>
  <c r="O192" i="1"/>
  <c r="N192" i="1"/>
  <c r="M192" i="1"/>
  <c r="L192" i="1"/>
  <c r="K192" i="1"/>
  <c r="I192" i="1"/>
  <c r="H192" i="1"/>
  <c r="G192" i="1"/>
  <c r="F192" i="1"/>
  <c r="N192" i="3"/>
  <c r="M192" i="3"/>
  <c r="L192" i="3"/>
  <c r="K192" i="3"/>
  <c r="J192" i="3"/>
  <c r="H192" i="3"/>
  <c r="G192" i="3"/>
  <c r="F192" i="3"/>
  <c r="E192" i="3"/>
  <c r="O208" i="1"/>
  <c r="N208" i="1"/>
  <c r="M208" i="1"/>
  <c r="L208" i="1"/>
  <c r="K208" i="1"/>
  <c r="I208" i="1"/>
  <c r="H208" i="1"/>
  <c r="G208" i="1"/>
  <c r="F208" i="1"/>
  <c r="J264" i="1"/>
  <c r="E264" i="1"/>
  <c r="E232" i="1"/>
  <c r="D192" i="3" s="1"/>
  <c r="J232" i="1"/>
  <c r="I192" i="3" s="1"/>
  <c r="E199" i="1"/>
  <c r="J199" i="1"/>
  <c r="I160" i="3" s="1"/>
  <c r="D164" i="3" l="1"/>
  <c r="E261" i="1"/>
  <c r="I164" i="3"/>
  <c r="J261" i="1"/>
  <c r="P199" i="1"/>
  <c r="O160" i="3" s="1"/>
  <c r="P232" i="1"/>
  <c r="E208" i="1"/>
  <c r="P264" i="1"/>
  <c r="J208" i="1"/>
  <c r="D160" i="3"/>
  <c r="E20" i="3"/>
  <c r="F20" i="3"/>
  <c r="G20" i="3"/>
  <c r="H20" i="3"/>
  <c r="J20" i="3"/>
  <c r="K20" i="3"/>
  <c r="L20" i="3"/>
  <c r="M20" i="3"/>
  <c r="N20" i="3"/>
  <c r="O164" i="3" l="1"/>
  <c r="P261" i="1"/>
  <c r="O192" i="3"/>
  <c r="P208" i="1"/>
  <c r="N179" i="3"/>
  <c r="M179" i="3"/>
  <c r="L179" i="3"/>
  <c r="K179" i="3"/>
  <c r="J179" i="3"/>
  <c r="H179" i="3"/>
  <c r="G179" i="3"/>
  <c r="F179" i="3"/>
  <c r="E179" i="3"/>
  <c r="J47" i="1" l="1"/>
  <c r="I179" i="3" s="1"/>
  <c r="E47" i="1"/>
  <c r="J22" i="1"/>
  <c r="I20" i="3" s="1"/>
  <c r="E22" i="1"/>
  <c r="D179" i="3" l="1"/>
  <c r="P47" i="1"/>
  <c r="O179" i="3" s="1"/>
  <c r="P22" i="1"/>
  <c r="O20" i="3" s="1"/>
  <c r="D20" i="3"/>
  <c r="F185" i="1" l="1"/>
  <c r="G185" i="1"/>
  <c r="H185" i="1"/>
  <c r="I185" i="1"/>
  <c r="K185" i="1"/>
  <c r="L185" i="1"/>
  <c r="M185" i="1"/>
  <c r="N185" i="1"/>
  <c r="O185" i="1"/>
  <c r="E75" i="3" l="1"/>
  <c r="F75" i="3"/>
  <c r="G75" i="3"/>
  <c r="H75" i="3"/>
  <c r="J75" i="3"/>
  <c r="K75" i="3"/>
  <c r="L75" i="3"/>
  <c r="M75" i="3"/>
  <c r="N75" i="3"/>
  <c r="F113" i="1" l="1"/>
  <c r="G113" i="1"/>
  <c r="H113" i="1"/>
  <c r="I113" i="1"/>
  <c r="L113" i="1"/>
  <c r="M113" i="1"/>
  <c r="N113" i="1"/>
  <c r="O113" i="1"/>
  <c r="E126" i="1"/>
  <c r="J126" i="1"/>
  <c r="I75" i="3" s="1"/>
  <c r="D126" i="1"/>
  <c r="P126" i="1" l="1"/>
  <c r="O75" i="3" s="1"/>
  <c r="D75" i="3"/>
  <c r="E178" i="3"/>
  <c r="F178" i="3"/>
  <c r="G178" i="3"/>
  <c r="H178" i="3"/>
  <c r="J178" i="3"/>
  <c r="K178" i="3"/>
  <c r="L178" i="3"/>
  <c r="M178" i="3"/>
  <c r="N178" i="3"/>
  <c r="E228" i="1"/>
  <c r="J228" i="1"/>
  <c r="F206" i="1"/>
  <c r="G206" i="1"/>
  <c r="H206" i="1"/>
  <c r="I206" i="1"/>
  <c r="K206" i="1"/>
  <c r="L206" i="1"/>
  <c r="M206" i="1"/>
  <c r="N206" i="1"/>
  <c r="O206" i="1"/>
  <c r="D178" i="3" l="1"/>
  <c r="D181" i="3"/>
  <c r="D172" i="3" s="1"/>
  <c r="J206" i="1"/>
  <c r="I181" i="3"/>
  <c r="I172" i="3" s="1"/>
  <c r="E206" i="1"/>
  <c r="P228" i="1"/>
  <c r="O181" i="3" s="1"/>
  <c r="O172" i="3" s="1"/>
  <c r="I178" i="3"/>
  <c r="E190" i="1"/>
  <c r="E185" i="1" s="1"/>
  <c r="J190" i="1"/>
  <c r="L148" i="1"/>
  <c r="E117" i="3"/>
  <c r="F117" i="3"/>
  <c r="G117" i="3"/>
  <c r="H117" i="3"/>
  <c r="J117" i="3"/>
  <c r="K117" i="3"/>
  <c r="L117" i="3"/>
  <c r="M117" i="3"/>
  <c r="N117" i="3"/>
  <c r="E118" i="3"/>
  <c r="E88" i="3" s="1"/>
  <c r="F118" i="3"/>
  <c r="F88" i="3" s="1"/>
  <c r="G118" i="3"/>
  <c r="G88" i="3" s="1"/>
  <c r="H118" i="3"/>
  <c r="H88" i="3" s="1"/>
  <c r="J118" i="3"/>
  <c r="J88" i="3" s="1"/>
  <c r="K118" i="3"/>
  <c r="K88" i="3" s="1"/>
  <c r="L118" i="3"/>
  <c r="L88" i="3" s="1"/>
  <c r="M118" i="3"/>
  <c r="M88" i="3" s="1"/>
  <c r="N118" i="3"/>
  <c r="N88" i="3" s="1"/>
  <c r="E119" i="3"/>
  <c r="F119" i="3"/>
  <c r="G119" i="3"/>
  <c r="H119" i="3"/>
  <c r="J119" i="3"/>
  <c r="K119" i="3"/>
  <c r="L119" i="3"/>
  <c r="M119" i="3"/>
  <c r="N119" i="3"/>
  <c r="E120" i="3"/>
  <c r="E89" i="3" s="1"/>
  <c r="F120" i="3"/>
  <c r="F89" i="3" s="1"/>
  <c r="G120" i="3"/>
  <c r="G89" i="3" s="1"/>
  <c r="H120" i="3"/>
  <c r="H89" i="3" s="1"/>
  <c r="J120" i="3"/>
  <c r="J89" i="3" s="1"/>
  <c r="K120" i="3"/>
  <c r="K89" i="3" s="1"/>
  <c r="L120" i="3"/>
  <c r="L89" i="3" s="1"/>
  <c r="M120" i="3"/>
  <c r="M89" i="3" s="1"/>
  <c r="N120" i="3"/>
  <c r="N89" i="3" s="1"/>
  <c r="E175" i="1"/>
  <c r="D118" i="3" s="1"/>
  <c r="E174" i="1"/>
  <c r="D117" i="3" s="1"/>
  <c r="J175" i="1"/>
  <c r="J174" i="1"/>
  <c r="I117" i="3" s="1"/>
  <c r="E145" i="3"/>
  <c r="F145" i="3"/>
  <c r="F137" i="3" s="1"/>
  <c r="G145" i="3"/>
  <c r="G137" i="3" s="1"/>
  <c r="H145" i="3"/>
  <c r="H137" i="3" s="1"/>
  <c r="J145" i="3"/>
  <c r="J137" i="3" s="1"/>
  <c r="K145" i="3"/>
  <c r="K137" i="3" s="1"/>
  <c r="L145" i="3"/>
  <c r="L137" i="3" s="1"/>
  <c r="M145" i="3"/>
  <c r="N145" i="3"/>
  <c r="N137" i="3" s="1"/>
  <c r="D145" i="3"/>
  <c r="D137" i="3" s="1"/>
  <c r="E137" i="3"/>
  <c r="M137" i="3"/>
  <c r="J176" i="1"/>
  <c r="I119" i="3" s="1"/>
  <c r="J177" i="1"/>
  <c r="J149" i="1" s="1"/>
  <c r="E176" i="1"/>
  <c r="D119" i="3" s="1"/>
  <c r="E177" i="1"/>
  <c r="F149" i="1"/>
  <c r="G149" i="1"/>
  <c r="H149" i="1"/>
  <c r="I149" i="1"/>
  <c r="K149" i="1"/>
  <c r="L149" i="1"/>
  <c r="M149" i="1"/>
  <c r="N149" i="1"/>
  <c r="O149" i="1"/>
  <c r="F148" i="1"/>
  <c r="G148" i="1"/>
  <c r="H148" i="1"/>
  <c r="I148" i="1"/>
  <c r="K148" i="1"/>
  <c r="M148" i="1"/>
  <c r="N148" i="1"/>
  <c r="O148" i="1"/>
  <c r="D148" i="1"/>
  <c r="D175" i="1"/>
  <c r="D177" i="1"/>
  <c r="D149" i="1"/>
  <c r="D176" i="1"/>
  <c r="D174" i="1"/>
  <c r="J23" i="1"/>
  <c r="I21" i="3" s="1"/>
  <c r="J24" i="1"/>
  <c r="J25" i="1"/>
  <c r="J20" i="1" s="1"/>
  <c r="E25" i="1"/>
  <c r="D23" i="3" s="1"/>
  <c r="D18" i="3" s="1"/>
  <c r="D20" i="1"/>
  <c r="D25" i="1"/>
  <c r="E23" i="3"/>
  <c r="E18" i="3" s="1"/>
  <c r="F23" i="3"/>
  <c r="F18" i="3" s="1"/>
  <c r="G23" i="3"/>
  <c r="G18" i="3" s="1"/>
  <c r="H23" i="3"/>
  <c r="H18" i="3" s="1"/>
  <c r="I23" i="3"/>
  <c r="I18" i="3" s="1"/>
  <c r="J23" i="3"/>
  <c r="J18" i="3" s="1"/>
  <c r="K23" i="3"/>
  <c r="K18" i="3" s="1"/>
  <c r="L23" i="3"/>
  <c r="L18" i="3" s="1"/>
  <c r="M23" i="3"/>
  <c r="M18" i="3" s="1"/>
  <c r="N23" i="3"/>
  <c r="N18" i="3" s="1"/>
  <c r="F20" i="1"/>
  <c r="G20" i="1"/>
  <c r="H20" i="1"/>
  <c r="I20" i="1"/>
  <c r="K20" i="1"/>
  <c r="L20" i="1"/>
  <c r="M20" i="1"/>
  <c r="N20" i="1"/>
  <c r="O20" i="1"/>
  <c r="P206" i="1" l="1"/>
  <c r="O178" i="3"/>
  <c r="P190" i="1"/>
  <c r="P185" i="1" s="1"/>
  <c r="J185" i="1"/>
  <c r="P175" i="1"/>
  <c r="O118" i="3" s="1"/>
  <c r="O88" i="3" s="1"/>
  <c r="I145" i="3"/>
  <c r="I137" i="3" s="1"/>
  <c r="D120" i="3"/>
  <c r="D89" i="3" s="1"/>
  <c r="I118" i="3"/>
  <c r="I88" i="3" s="1"/>
  <c r="J148" i="1"/>
  <c r="I120" i="3"/>
  <c r="I89" i="3" s="1"/>
  <c r="O145" i="3"/>
  <c r="O137" i="3" s="1"/>
  <c r="P174" i="1"/>
  <c r="P176" i="1"/>
  <c r="O119" i="3" s="1"/>
  <c r="E148" i="1"/>
  <c r="D88" i="3"/>
  <c r="P177" i="1"/>
  <c r="E149" i="1"/>
  <c r="P25" i="1"/>
  <c r="P20" i="1" s="1"/>
  <c r="E20" i="1"/>
  <c r="P148" i="1" l="1"/>
  <c r="O117" i="3"/>
  <c r="P149" i="1"/>
  <c r="O120" i="3"/>
  <c r="O89" i="3" s="1"/>
  <c r="O23" i="3"/>
  <c r="O18" i="3" s="1"/>
  <c r="N144" i="3" l="1"/>
  <c r="M144" i="3"/>
  <c r="L144" i="3"/>
  <c r="K144" i="3"/>
  <c r="J144" i="3"/>
  <c r="H144" i="3"/>
  <c r="G144" i="3"/>
  <c r="F144" i="3"/>
  <c r="E144" i="3"/>
  <c r="O184" i="1"/>
  <c r="N184" i="1"/>
  <c r="M184" i="1"/>
  <c r="L184" i="1"/>
  <c r="I184" i="1"/>
  <c r="H184" i="1"/>
  <c r="J189" i="1"/>
  <c r="I144" i="3" s="1"/>
  <c r="E189" i="1"/>
  <c r="D144" i="3" s="1"/>
  <c r="E257" i="1"/>
  <c r="E255" i="1"/>
  <c r="N43" i="3"/>
  <c r="M43" i="3"/>
  <c r="L43" i="3"/>
  <c r="K43" i="3"/>
  <c r="J43" i="3"/>
  <c r="H43" i="3"/>
  <c r="G43" i="3"/>
  <c r="F43" i="3"/>
  <c r="E43" i="3"/>
  <c r="I43" i="3"/>
  <c r="N22" i="3"/>
  <c r="M22" i="3"/>
  <c r="L22" i="3"/>
  <c r="K22" i="3"/>
  <c r="J22" i="3"/>
  <c r="H22" i="3"/>
  <c r="G22" i="3"/>
  <c r="F22" i="3"/>
  <c r="E22" i="3"/>
  <c r="I22" i="3"/>
  <c r="E24" i="1"/>
  <c r="O43" i="3" l="1"/>
  <c r="P189" i="1"/>
  <c r="O144" i="3" s="1"/>
  <c r="D43" i="3"/>
  <c r="P24" i="1"/>
  <c r="D22" i="3"/>
  <c r="J145" i="1"/>
  <c r="E145" i="1"/>
  <c r="O22" i="3" l="1"/>
  <c r="P145" i="1"/>
  <c r="J255" i="1" l="1"/>
  <c r="P255" i="1" l="1"/>
  <c r="N67" i="1" l="1"/>
  <c r="M67" i="1"/>
  <c r="L67" i="1"/>
  <c r="I67" i="1"/>
  <c r="H67" i="1"/>
  <c r="G67" i="1"/>
  <c r="J90" i="1"/>
  <c r="I57" i="3" s="1"/>
  <c r="E90" i="1"/>
  <c r="D57" i="3" s="1"/>
  <c r="P90" i="1" l="1"/>
  <c r="O57" i="3" s="1"/>
  <c r="J280" i="1"/>
  <c r="M183" i="3" l="1"/>
  <c r="M182" i="3" s="1"/>
  <c r="L183" i="3"/>
  <c r="L182" i="3" s="1"/>
  <c r="K183" i="3"/>
  <c r="K182" i="3" s="1"/>
  <c r="H183" i="3"/>
  <c r="H182" i="3" s="1"/>
  <c r="G183" i="3"/>
  <c r="G182" i="3" s="1"/>
  <c r="F183" i="3"/>
  <c r="F182" i="3" s="1"/>
  <c r="J229" i="1" l="1"/>
  <c r="E229" i="1"/>
  <c r="P229" i="1" l="1"/>
  <c r="N163" i="3" l="1"/>
  <c r="M163" i="3"/>
  <c r="L163" i="3"/>
  <c r="K163" i="3"/>
  <c r="J163" i="3"/>
  <c r="H163" i="3"/>
  <c r="G163" i="3"/>
  <c r="F163" i="3"/>
  <c r="E163" i="3"/>
  <c r="J252" i="1"/>
  <c r="E252" i="1"/>
  <c r="E250" i="1"/>
  <c r="O279" i="1"/>
  <c r="O278" i="1" s="1"/>
  <c r="N279" i="1"/>
  <c r="N278" i="1" s="1"/>
  <c r="M279" i="1"/>
  <c r="M278" i="1" s="1"/>
  <c r="L279" i="1"/>
  <c r="L278" i="1" s="1"/>
  <c r="K279" i="1"/>
  <c r="K278" i="1" s="1"/>
  <c r="J279" i="1"/>
  <c r="J278" i="1" s="1"/>
  <c r="I279" i="1"/>
  <c r="I278" i="1" s="1"/>
  <c r="H279" i="1"/>
  <c r="H278" i="1" s="1"/>
  <c r="G279" i="1"/>
  <c r="G278" i="1" s="1"/>
  <c r="F279" i="1"/>
  <c r="F278" i="1" s="1"/>
  <c r="E280" i="1"/>
  <c r="P280" i="1" s="1"/>
  <c r="P279" i="1" s="1"/>
  <c r="P278" i="1" s="1"/>
  <c r="N183" i="3"/>
  <c r="N182" i="3" s="1"/>
  <c r="J183" i="3"/>
  <c r="J182" i="3" s="1"/>
  <c r="E279" i="1" l="1"/>
  <c r="E278" i="1" s="1"/>
  <c r="P252" i="1"/>
  <c r="O67" i="1"/>
  <c r="K67" i="1"/>
  <c r="F67" i="1"/>
  <c r="O115" i="1" l="1"/>
  <c r="N115" i="1"/>
  <c r="M115" i="1"/>
  <c r="L115" i="1"/>
  <c r="K115" i="1"/>
  <c r="I115" i="1"/>
  <c r="H115" i="1"/>
  <c r="G115" i="1"/>
  <c r="F115" i="1"/>
  <c r="J140" i="1"/>
  <c r="I167" i="3" s="1"/>
  <c r="J141" i="1"/>
  <c r="E140" i="1"/>
  <c r="D167" i="3" s="1"/>
  <c r="E141" i="1"/>
  <c r="D168" i="3" s="1"/>
  <c r="J119" i="1" l="1"/>
  <c r="I168" i="3"/>
  <c r="E115" i="1"/>
  <c r="E119" i="1"/>
  <c r="P141" i="1"/>
  <c r="O168" i="3" s="1"/>
  <c r="P140" i="1"/>
  <c r="O167" i="3" s="1"/>
  <c r="J115" i="1"/>
  <c r="P115" i="1" l="1"/>
  <c r="P119" i="1"/>
  <c r="D221" i="1"/>
  <c r="N188" i="3" l="1"/>
  <c r="M188" i="3"/>
  <c r="L188" i="3"/>
  <c r="K188" i="3"/>
  <c r="J188" i="3"/>
  <c r="H188" i="3"/>
  <c r="G188" i="3"/>
  <c r="F188" i="3"/>
  <c r="E188" i="3"/>
  <c r="F185" i="3" l="1"/>
  <c r="F151" i="3" s="1"/>
  <c r="H185" i="3"/>
  <c r="H151" i="3" s="1"/>
  <c r="K185" i="3"/>
  <c r="K151" i="3" s="1"/>
  <c r="M185" i="3"/>
  <c r="M151" i="3" s="1"/>
  <c r="E185" i="3"/>
  <c r="E151" i="3" s="1"/>
  <c r="G185" i="3"/>
  <c r="G151" i="3" s="1"/>
  <c r="L185" i="3"/>
  <c r="L151" i="3" s="1"/>
  <c r="N185" i="3"/>
  <c r="N151" i="3" s="1"/>
  <c r="J185" i="3"/>
  <c r="J151" i="3" s="1"/>
  <c r="O120" i="1"/>
  <c r="N120" i="1"/>
  <c r="M120" i="1"/>
  <c r="L120" i="1"/>
  <c r="K120" i="1"/>
  <c r="I120" i="1"/>
  <c r="H120" i="1"/>
  <c r="G120" i="1"/>
  <c r="F120" i="1"/>
  <c r="O243" i="1"/>
  <c r="N243" i="1"/>
  <c r="M243" i="1"/>
  <c r="L243" i="1"/>
  <c r="K243" i="1"/>
  <c r="I243" i="1"/>
  <c r="H243" i="1"/>
  <c r="G243" i="1"/>
  <c r="F243" i="1"/>
  <c r="E243" i="1"/>
  <c r="F294" i="1" l="1"/>
  <c r="H294" i="1"/>
  <c r="K294" i="1"/>
  <c r="M294" i="1"/>
  <c r="O294" i="1"/>
  <c r="G294" i="1"/>
  <c r="I294" i="1"/>
  <c r="L294" i="1"/>
  <c r="N294" i="1"/>
  <c r="E183" i="3" l="1"/>
  <c r="E182" i="3" s="1"/>
  <c r="M161" i="3" l="1"/>
  <c r="L161" i="3"/>
  <c r="K161" i="3"/>
  <c r="H161" i="3"/>
  <c r="G161" i="3"/>
  <c r="F161" i="3"/>
  <c r="E161" i="3"/>
  <c r="N159" i="3" l="1"/>
  <c r="M159" i="3"/>
  <c r="L159" i="3"/>
  <c r="K159" i="3"/>
  <c r="J159" i="3"/>
  <c r="H159" i="3"/>
  <c r="G159" i="3"/>
  <c r="F159" i="3"/>
  <c r="E159" i="3"/>
  <c r="M158" i="3"/>
  <c r="L158" i="3"/>
  <c r="K158" i="3"/>
  <c r="H158" i="3"/>
  <c r="G158" i="3"/>
  <c r="F158" i="3"/>
  <c r="E158" i="3"/>
  <c r="M162" i="3"/>
  <c r="L162" i="3"/>
  <c r="K162" i="3"/>
  <c r="H162" i="3"/>
  <c r="G162" i="3"/>
  <c r="F162" i="3"/>
  <c r="E162" i="3"/>
  <c r="J181" i="1" l="1"/>
  <c r="E181" i="1"/>
  <c r="D159" i="3" s="1"/>
  <c r="J138" i="1"/>
  <c r="E138" i="1"/>
  <c r="E43" i="1"/>
  <c r="E42" i="1"/>
  <c r="D161" i="3" s="1"/>
  <c r="J43" i="1"/>
  <c r="P43" i="1" s="1"/>
  <c r="J42" i="1"/>
  <c r="P42" i="1" l="1"/>
  <c r="P138" i="1"/>
  <c r="P181" i="1"/>
  <c r="O159" i="3" s="1"/>
  <c r="I159" i="3"/>
  <c r="N162" i="3"/>
  <c r="J162" i="3"/>
  <c r="E143" i="1" l="1"/>
  <c r="J143" i="1"/>
  <c r="J120" i="1" l="1"/>
  <c r="D188" i="3"/>
  <c r="E120" i="1"/>
  <c r="E294" i="1" s="1"/>
  <c r="P143" i="1"/>
  <c r="J257" i="1"/>
  <c r="J243" i="1" s="1"/>
  <c r="J294" i="1" l="1"/>
  <c r="D185" i="3"/>
  <c r="I188" i="3"/>
  <c r="P120" i="1"/>
  <c r="P257" i="1"/>
  <c r="P243" i="1" s="1"/>
  <c r="N177" i="3"/>
  <c r="M177" i="3"/>
  <c r="L177" i="3"/>
  <c r="K177" i="3"/>
  <c r="J177" i="3"/>
  <c r="H177" i="3"/>
  <c r="G177" i="3"/>
  <c r="F177" i="3"/>
  <c r="E177" i="3"/>
  <c r="N123" i="3"/>
  <c r="M123" i="3"/>
  <c r="L123" i="3"/>
  <c r="K123" i="3"/>
  <c r="J123" i="3"/>
  <c r="H123" i="3"/>
  <c r="G123" i="3"/>
  <c r="F123" i="3"/>
  <c r="N111" i="3"/>
  <c r="M111" i="3"/>
  <c r="L111" i="3"/>
  <c r="K111" i="3"/>
  <c r="J111" i="3"/>
  <c r="H111" i="3"/>
  <c r="G111" i="3"/>
  <c r="F111" i="3"/>
  <c r="E111" i="3"/>
  <c r="N109" i="3"/>
  <c r="M109" i="3"/>
  <c r="L109" i="3"/>
  <c r="K109" i="3"/>
  <c r="J109" i="3"/>
  <c r="H109" i="3"/>
  <c r="G109" i="3"/>
  <c r="F109" i="3"/>
  <c r="E109" i="3"/>
  <c r="N100" i="3"/>
  <c r="M100" i="3"/>
  <c r="L100" i="3"/>
  <c r="K100" i="3"/>
  <c r="J100" i="3"/>
  <c r="H100" i="3"/>
  <c r="G100" i="3"/>
  <c r="F100" i="3"/>
  <c r="E100" i="3"/>
  <c r="N98" i="3"/>
  <c r="M98" i="3"/>
  <c r="L98" i="3"/>
  <c r="K98" i="3"/>
  <c r="J98" i="3"/>
  <c r="H98" i="3"/>
  <c r="G98" i="3"/>
  <c r="F98" i="3"/>
  <c r="E98" i="3"/>
  <c r="N94" i="3"/>
  <c r="M94" i="3"/>
  <c r="L94" i="3"/>
  <c r="K94" i="3"/>
  <c r="J94" i="3"/>
  <c r="H94" i="3"/>
  <c r="G94" i="3"/>
  <c r="F94" i="3"/>
  <c r="N84" i="3"/>
  <c r="M84" i="3"/>
  <c r="L84" i="3"/>
  <c r="K84" i="3"/>
  <c r="J84" i="3"/>
  <c r="H84" i="3"/>
  <c r="G84" i="3"/>
  <c r="F84" i="3"/>
  <c r="E84" i="3"/>
  <c r="N83" i="3"/>
  <c r="M83" i="3"/>
  <c r="L83" i="3"/>
  <c r="K83" i="3"/>
  <c r="J83" i="3"/>
  <c r="H83" i="3"/>
  <c r="G83" i="3"/>
  <c r="F83" i="3"/>
  <c r="E83" i="3"/>
  <c r="N81" i="3"/>
  <c r="M81" i="3"/>
  <c r="L81" i="3"/>
  <c r="K81" i="3"/>
  <c r="J81" i="3"/>
  <c r="H81" i="3"/>
  <c r="G81" i="3"/>
  <c r="F81" i="3"/>
  <c r="E81" i="3"/>
  <c r="N79" i="3"/>
  <c r="M79" i="3"/>
  <c r="L79" i="3"/>
  <c r="K79" i="3"/>
  <c r="J79" i="3"/>
  <c r="H79" i="3"/>
  <c r="G79" i="3"/>
  <c r="F79" i="3"/>
  <c r="E79" i="3"/>
  <c r="N77" i="3"/>
  <c r="M77" i="3"/>
  <c r="L77" i="3"/>
  <c r="K77" i="3"/>
  <c r="J77" i="3"/>
  <c r="I77" i="3"/>
  <c r="H77" i="3"/>
  <c r="G77" i="3"/>
  <c r="F77" i="3"/>
  <c r="E77" i="3"/>
  <c r="N74" i="3"/>
  <c r="M74" i="3"/>
  <c r="L74" i="3"/>
  <c r="K74" i="3"/>
  <c r="J74" i="3"/>
  <c r="H74" i="3"/>
  <c r="G74" i="3"/>
  <c r="F74" i="3"/>
  <c r="E74" i="3"/>
  <c r="N73" i="3"/>
  <c r="M73" i="3"/>
  <c r="L73" i="3"/>
  <c r="K73" i="3"/>
  <c r="J73" i="3"/>
  <c r="H73" i="3"/>
  <c r="G73" i="3"/>
  <c r="F73" i="3"/>
  <c r="N72" i="3"/>
  <c r="M72" i="3"/>
  <c r="L72" i="3"/>
  <c r="K72" i="3"/>
  <c r="J72" i="3"/>
  <c r="H72" i="3"/>
  <c r="G72" i="3"/>
  <c r="F72" i="3"/>
  <c r="E72" i="3"/>
  <c r="J67" i="1"/>
  <c r="E67" i="1"/>
  <c r="O204" i="1"/>
  <c r="N204" i="1"/>
  <c r="M204" i="1"/>
  <c r="L204" i="1"/>
  <c r="K204" i="1"/>
  <c r="I204" i="1"/>
  <c r="H204" i="1"/>
  <c r="G204" i="1"/>
  <c r="F204" i="1"/>
  <c r="O114" i="1"/>
  <c r="N114" i="1"/>
  <c r="M114" i="1"/>
  <c r="L114" i="1"/>
  <c r="K114" i="1"/>
  <c r="I114" i="1"/>
  <c r="H114" i="1"/>
  <c r="G114" i="1"/>
  <c r="F114" i="1"/>
  <c r="D151" i="3" l="1"/>
  <c r="D229" i="3" s="1"/>
  <c r="P294" i="1"/>
  <c r="I185" i="3"/>
  <c r="I151" i="3" s="1"/>
  <c r="O188" i="3"/>
  <c r="P67" i="1"/>
  <c r="O185" i="3" l="1"/>
  <c r="O151" i="3" s="1"/>
  <c r="O205" i="1"/>
  <c r="N205" i="1"/>
  <c r="M205" i="1"/>
  <c r="L205" i="1"/>
  <c r="K205" i="1"/>
  <c r="I205" i="1"/>
  <c r="H205" i="1"/>
  <c r="G205" i="1"/>
  <c r="F205" i="1"/>
  <c r="O117" i="1" l="1"/>
  <c r="N117" i="1"/>
  <c r="M117" i="1"/>
  <c r="L117" i="1"/>
  <c r="K117" i="1"/>
  <c r="I117" i="1"/>
  <c r="H117" i="1"/>
  <c r="G117" i="1"/>
  <c r="F117" i="1"/>
  <c r="O116" i="1"/>
  <c r="N116" i="1"/>
  <c r="M116" i="1"/>
  <c r="L116" i="1"/>
  <c r="K116" i="1"/>
  <c r="I116" i="1"/>
  <c r="H116" i="1"/>
  <c r="G116" i="1"/>
  <c r="O150" i="1" l="1"/>
  <c r="N150" i="1"/>
  <c r="M150" i="1"/>
  <c r="L150" i="1"/>
  <c r="K150" i="1"/>
  <c r="I150" i="1"/>
  <c r="H150" i="1"/>
  <c r="G150" i="1"/>
  <c r="O118" i="1"/>
  <c r="N118" i="1"/>
  <c r="M118" i="1"/>
  <c r="L118" i="1"/>
  <c r="I118" i="1"/>
  <c r="H118" i="1"/>
  <c r="G118" i="1"/>
  <c r="F118" i="1"/>
  <c r="J125" i="1"/>
  <c r="E125" i="1"/>
  <c r="J124" i="1"/>
  <c r="I73" i="3" s="1"/>
  <c r="J123" i="1"/>
  <c r="I72" i="3" s="1"/>
  <c r="E123" i="1"/>
  <c r="D72" i="3" s="1"/>
  <c r="J130" i="1"/>
  <c r="I79" i="3" s="1"/>
  <c r="E130" i="1"/>
  <c r="D79" i="3" s="1"/>
  <c r="E128" i="1"/>
  <c r="F116" i="1" l="1"/>
  <c r="E73" i="3"/>
  <c r="P128" i="1"/>
  <c r="O77" i="3" s="1"/>
  <c r="D77" i="3"/>
  <c r="J117" i="1"/>
  <c r="I74" i="3"/>
  <c r="E117" i="1"/>
  <c r="D74" i="3"/>
  <c r="E114" i="1"/>
  <c r="J114" i="1"/>
  <c r="E124" i="1"/>
  <c r="P130" i="1"/>
  <c r="O79" i="3" s="1"/>
  <c r="P123" i="1"/>
  <c r="O72" i="3" s="1"/>
  <c r="P125" i="1"/>
  <c r="P117" i="1" l="1"/>
  <c r="O74" i="3"/>
  <c r="P124" i="1"/>
  <c r="O73" i="3" s="1"/>
  <c r="D73" i="3"/>
  <c r="P114" i="1"/>
  <c r="N171" i="3"/>
  <c r="N150" i="3" s="1"/>
  <c r="M171" i="3"/>
  <c r="M150" i="3" s="1"/>
  <c r="L171" i="3"/>
  <c r="L150" i="3" s="1"/>
  <c r="K171" i="3"/>
  <c r="K150" i="3" s="1"/>
  <c r="J171" i="3"/>
  <c r="J150" i="3" s="1"/>
  <c r="H171" i="3"/>
  <c r="H150" i="3" s="1"/>
  <c r="G171" i="3"/>
  <c r="G150" i="3" s="1"/>
  <c r="F171" i="3"/>
  <c r="F150" i="3" s="1"/>
  <c r="E171" i="3"/>
  <c r="E150" i="3" s="1"/>
  <c r="N155" i="3"/>
  <c r="N149" i="3" s="1"/>
  <c r="M155" i="3"/>
  <c r="M149" i="3" s="1"/>
  <c r="L155" i="3"/>
  <c r="L149" i="3" s="1"/>
  <c r="K155" i="3"/>
  <c r="K149" i="3" s="1"/>
  <c r="J155" i="3"/>
  <c r="J149" i="3" s="1"/>
  <c r="H155" i="3"/>
  <c r="H149" i="3" s="1"/>
  <c r="G155" i="3"/>
  <c r="G149" i="3" s="1"/>
  <c r="F155" i="3"/>
  <c r="F149" i="3" s="1"/>
  <c r="E155" i="3"/>
  <c r="E149" i="3" s="1"/>
  <c r="N69" i="3"/>
  <c r="M69" i="3"/>
  <c r="L69" i="3"/>
  <c r="K69" i="3"/>
  <c r="J69" i="3"/>
  <c r="H69" i="3"/>
  <c r="G69" i="3"/>
  <c r="F69" i="3"/>
  <c r="E69" i="3"/>
  <c r="N70" i="3"/>
  <c r="M70" i="3"/>
  <c r="L70" i="3"/>
  <c r="K70" i="3"/>
  <c r="J70" i="3"/>
  <c r="H70" i="3"/>
  <c r="G70" i="3"/>
  <c r="F70" i="3"/>
  <c r="E70" i="3"/>
  <c r="N68" i="3"/>
  <c r="M68" i="3"/>
  <c r="L68" i="3"/>
  <c r="K68" i="3"/>
  <c r="J68" i="3"/>
  <c r="H68" i="3"/>
  <c r="G68" i="3"/>
  <c r="F68" i="3"/>
  <c r="H67" i="3"/>
  <c r="G67" i="3"/>
  <c r="F67" i="3"/>
  <c r="E67" i="3"/>
  <c r="F90" i="3" l="1"/>
  <c r="H90" i="3"/>
  <c r="M90" i="3"/>
  <c r="K90" i="3"/>
  <c r="K67" i="3"/>
  <c r="M67" i="3"/>
  <c r="G90" i="3"/>
  <c r="J90" i="3"/>
  <c r="L90" i="3"/>
  <c r="N90" i="3"/>
  <c r="J67" i="3"/>
  <c r="L67" i="3"/>
  <c r="N67" i="3"/>
  <c r="J227" i="1"/>
  <c r="E227" i="1"/>
  <c r="D177" i="3" s="1"/>
  <c r="J225" i="1"/>
  <c r="J204" i="1" s="1"/>
  <c r="E225" i="1"/>
  <c r="E204" i="1" s="1"/>
  <c r="J180" i="1"/>
  <c r="I123" i="3" s="1"/>
  <c r="J168" i="1"/>
  <c r="I111" i="3" s="1"/>
  <c r="E168" i="1"/>
  <c r="D111" i="3" s="1"/>
  <c r="J166" i="1"/>
  <c r="I109" i="3" s="1"/>
  <c r="E166" i="1"/>
  <c r="D109" i="3" s="1"/>
  <c r="J162" i="1"/>
  <c r="I100" i="3" s="1"/>
  <c r="E162" i="1"/>
  <c r="D100" i="3" s="1"/>
  <c r="J160" i="1"/>
  <c r="I98" i="3" s="1"/>
  <c r="E160" i="1"/>
  <c r="D98" i="3" s="1"/>
  <c r="J156" i="1"/>
  <c r="J135" i="1"/>
  <c r="I84" i="3" s="1"/>
  <c r="E135" i="1"/>
  <c r="J134" i="1"/>
  <c r="E134" i="1"/>
  <c r="J132" i="1"/>
  <c r="I81" i="3" s="1"/>
  <c r="E132" i="1"/>
  <c r="J96" i="1"/>
  <c r="E96" i="1"/>
  <c r="J89" i="1"/>
  <c r="I56" i="3" s="1"/>
  <c r="E89" i="1"/>
  <c r="D56" i="3" s="1"/>
  <c r="J80" i="1"/>
  <c r="I46" i="3" s="1"/>
  <c r="I27" i="3" s="1"/>
  <c r="E80" i="1"/>
  <c r="D46" i="3" s="1"/>
  <c r="D27" i="3" s="1"/>
  <c r="J79" i="1"/>
  <c r="I45" i="3" s="1"/>
  <c r="I25" i="3" s="1"/>
  <c r="E79" i="1"/>
  <c r="D45" i="3" s="1"/>
  <c r="D25" i="3" s="1"/>
  <c r="D227" i="3" s="1"/>
  <c r="J77" i="1"/>
  <c r="I42" i="3" s="1"/>
  <c r="D84" i="3" l="1"/>
  <c r="E118" i="1"/>
  <c r="D81" i="3"/>
  <c r="D69" i="3" s="1"/>
  <c r="J68" i="1"/>
  <c r="I63" i="3"/>
  <c r="I29" i="3" s="1"/>
  <c r="E68" i="1"/>
  <c r="D63" i="3"/>
  <c r="D29" i="3" s="1"/>
  <c r="J63" i="1"/>
  <c r="J66" i="1"/>
  <c r="E63" i="1"/>
  <c r="E66" i="1"/>
  <c r="D155" i="3"/>
  <c r="E156" i="1"/>
  <c r="D94" i="3" s="1"/>
  <c r="E94" i="3"/>
  <c r="E180" i="1"/>
  <c r="E123" i="3"/>
  <c r="J150" i="1"/>
  <c r="I94" i="3"/>
  <c r="J205" i="1"/>
  <c r="I177" i="3"/>
  <c r="E116" i="1"/>
  <c r="D83" i="3"/>
  <c r="J116" i="1"/>
  <c r="I83" i="3"/>
  <c r="P227" i="1"/>
  <c r="E205" i="1"/>
  <c r="P225" i="1"/>
  <c r="P204" i="1" s="1"/>
  <c r="J118" i="1"/>
  <c r="E77" i="1"/>
  <c r="F150" i="1"/>
  <c r="P160" i="1"/>
  <c r="O98" i="3" s="1"/>
  <c r="P162" i="1"/>
  <c r="O100" i="3" s="1"/>
  <c r="P166" i="1"/>
  <c r="O109" i="3" s="1"/>
  <c r="P168" i="1"/>
  <c r="O111" i="3" s="1"/>
  <c r="P132" i="1"/>
  <c r="O81" i="3" s="1"/>
  <c r="P134" i="1"/>
  <c r="P135" i="1"/>
  <c r="O84" i="3" s="1"/>
  <c r="P79" i="1"/>
  <c r="O45" i="3" s="1"/>
  <c r="O25" i="3" s="1"/>
  <c r="P80" i="1"/>
  <c r="O46" i="3" s="1"/>
  <c r="O27" i="3" s="1"/>
  <c r="P89" i="1"/>
  <c r="O56" i="3" s="1"/>
  <c r="P96" i="1"/>
  <c r="P180" i="1" l="1"/>
  <c r="O123" i="3" s="1"/>
  <c r="E150" i="1"/>
  <c r="P68" i="1"/>
  <c r="O63" i="3"/>
  <c r="O29" i="3" s="1"/>
  <c r="D42" i="3"/>
  <c r="P66" i="1"/>
  <c r="P63" i="1"/>
  <c r="D123" i="3"/>
  <c r="D90" i="3" s="1"/>
  <c r="P156" i="1"/>
  <c r="O94" i="3" s="1"/>
  <c r="P205" i="1"/>
  <c r="O177" i="3"/>
  <c r="P116" i="1"/>
  <c r="O83" i="3"/>
  <c r="P77" i="1"/>
  <c r="P118" i="1"/>
  <c r="O42" i="3" l="1"/>
  <c r="P150" i="1"/>
  <c r="C201" i="3"/>
  <c r="N204" i="3"/>
  <c r="M204" i="3"/>
  <c r="L204" i="3"/>
  <c r="K204" i="3"/>
  <c r="J204" i="3"/>
  <c r="H204" i="3"/>
  <c r="G204" i="3"/>
  <c r="F204" i="3"/>
  <c r="E204" i="3"/>
  <c r="E201" i="3" s="1"/>
  <c r="E199" i="3" s="1"/>
  <c r="D56" i="1"/>
  <c r="O19" i="1"/>
  <c r="O293" i="1" s="1"/>
  <c r="N19" i="1"/>
  <c r="N293" i="1" s="1"/>
  <c r="M19" i="1"/>
  <c r="M293" i="1" s="1"/>
  <c r="L19" i="1"/>
  <c r="L293" i="1" s="1"/>
  <c r="K19" i="1"/>
  <c r="K293" i="1" s="1"/>
  <c r="I19" i="1"/>
  <c r="I293" i="1" s="1"/>
  <c r="H19" i="1"/>
  <c r="H293" i="1" s="1"/>
  <c r="G19" i="1"/>
  <c r="G293" i="1" s="1"/>
  <c r="F19" i="1"/>
  <c r="F293" i="1" s="1"/>
  <c r="J56" i="1"/>
  <c r="J19" i="1" s="1"/>
  <c r="J293" i="1" s="1"/>
  <c r="E56" i="1"/>
  <c r="E19" i="1" s="1"/>
  <c r="E293" i="1" s="1"/>
  <c r="F201" i="3" l="1"/>
  <c r="F199" i="3" s="1"/>
  <c r="K201" i="3"/>
  <c r="K199" i="3" s="1"/>
  <c r="M201" i="3"/>
  <c r="M199" i="3" s="1"/>
  <c r="H201" i="3"/>
  <c r="H199" i="3" s="1"/>
  <c r="G201" i="3"/>
  <c r="G199" i="3" s="1"/>
  <c r="J201" i="3"/>
  <c r="J199" i="3" s="1"/>
  <c r="L201" i="3"/>
  <c r="L199" i="3" s="1"/>
  <c r="N201" i="3"/>
  <c r="N199" i="3" s="1"/>
  <c r="I204" i="3"/>
  <c r="I201" i="3" s="1"/>
  <c r="I199" i="3" s="1"/>
  <c r="P56" i="1"/>
  <c r="D204" i="3"/>
  <c r="D228" i="3" s="1"/>
  <c r="D201" i="3" l="1"/>
  <c r="D199" i="3" s="1"/>
  <c r="P19" i="1"/>
  <c r="P293" i="1" s="1"/>
  <c r="O204" i="3"/>
  <c r="O201" i="3" s="1"/>
  <c r="O199" i="3" s="1"/>
  <c r="E137" i="1" l="1"/>
  <c r="J60" i="1"/>
  <c r="E60" i="1"/>
  <c r="D225" i="3" s="1"/>
  <c r="P60" i="1" l="1"/>
  <c r="J221" i="1" l="1"/>
  <c r="I163" i="3" s="1"/>
  <c r="E221" i="1"/>
  <c r="D163" i="3" s="1"/>
  <c r="C221" i="1"/>
  <c r="P221" i="1" l="1"/>
  <c r="O163" i="3" s="1"/>
  <c r="J161" i="3" l="1"/>
  <c r="G184" i="1"/>
  <c r="F184" i="1" l="1"/>
  <c r="E202" i="3" l="1"/>
  <c r="F202" i="3"/>
  <c r="G202" i="3"/>
  <c r="H202" i="3"/>
  <c r="J202" i="3"/>
  <c r="K202" i="3"/>
  <c r="L202" i="3"/>
  <c r="M202" i="3"/>
  <c r="N202" i="3"/>
  <c r="J234" i="1"/>
  <c r="E234" i="1"/>
  <c r="C234" i="1"/>
  <c r="D234" i="1"/>
  <c r="B234" i="1"/>
  <c r="P234" i="1" l="1"/>
  <c r="E206" i="3" l="1"/>
  <c r="F206" i="3"/>
  <c r="G206" i="3"/>
  <c r="H206" i="3"/>
  <c r="J206" i="3"/>
  <c r="K206" i="3"/>
  <c r="L206" i="3"/>
  <c r="M206" i="3"/>
  <c r="N206" i="3"/>
  <c r="J235" i="1"/>
  <c r="E235" i="1"/>
  <c r="C235" i="1"/>
  <c r="D235" i="1"/>
  <c r="B235" i="1"/>
  <c r="P235" i="1" l="1"/>
  <c r="E174" i="3" l="1"/>
  <c r="F174" i="3"/>
  <c r="G174" i="3"/>
  <c r="H174" i="3"/>
  <c r="J174" i="3"/>
  <c r="K174" i="3"/>
  <c r="L174" i="3"/>
  <c r="M174" i="3"/>
  <c r="N174" i="3"/>
  <c r="E175" i="3"/>
  <c r="F175" i="3"/>
  <c r="G175" i="3"/>
  <c r="H175" i="3"/>
  <c r="J175" i="3"/>
  <c r="K175" i="3"/>
  <c r="L175" i="3"/>
  <c r="M175" i="3"/>
  <c r="N175" i="3"/>
  <c r="E45" i="1"/>
  <c r="E46" i="1"/>
  <c r="J44" i="1"/>
  <c r="J45" i="1"/>
  <c r="I174" i="3" s="1"/>
  <c r="J46" i="1"/>
  <c r="I175" i="3" s="1"/>
  <c r="C45" i="1"/>
  <c r="D45" i="1"/>
  <c r="D46" i="1"/>
  <c r="B46" i="1"/>
  <c r="B45" i="1"/>
  <c r="D175" i="3" l="1"/>
  <c r="P46" i="1"/>
  <c r="O175" i="3" s="1"/>
  <c r="P45" i="1"/>
  <c r="O174" i="3" s="1"/>
  <c r="D174" i="3"/>
  <c r="N158" i="3" l="1"/>
  <c r="J158" i="3" l="1"/>
  <c r="E176" i="3" l="1"/>
  <c r="F176" i="3"/>
  <c r="G176" i="3"/>
  <c r="H176" i="3"/>
  <c r="J176" i="3"/>
  <c r="K176" i="3"/>
  <c r="L176" i="3"/>
  <c r="M176" i="3"/>
  <c r="N176" i="3"/>
  <c r="J226" i="1"/>
  <c r="E226" i="1"/>
  <c r="D180" i="3" s="1"/>
  <c r="B226" i="1"/>
  <c r="I176" i="3" l="1"/>
  <c r="I180" i="3"/>
  <c r="P226" i="1"/>
  <c r="D176" i="3"/>
  <c r="N165" i="3"/>
  <c r="M165" i="3"/>
  <c r="L165" i="3"/>
  <c r="K165" i="3"/>
  <c r="J165" i="3"/>
  <c r="H165" i="3"/>
  <c r="G165" i="3"/>
  <c r="F165" i="3"/>
  <c r="E165" i="3"/>
  <c r="J139" i="1"/>
  <c r="E139" i="1"/>
  <c r="D139" i="1"/>
  <c r="C139" i="1"/>
  <c r="B139" i="1"/>
  <c r="D253" i="1"/>
  <c r="C253" i="1"/>
  <c r="B253" i="1"/>
  <c r="D222" i="1"/>
  <c r="C222" i="1"/>
  <c r="B222" i="1"/>
  <c r="O176" i="3" l="1"/>
  <c r="O180" i="3"/>
  <c r="P139" i="1"/>
  <c r="J253" i="1"/>
  <c r="E253" i="1"/>
  <c r="J222" i="1"/>
  <c r="E222" i="1"/>
  <c r="D165" i="3" l="1"/>
  <c r="P253" i="1"/>
  <c r="I165" i="3"/>
  <c r="P222" i="1"/>
  <c r="O165" i="3" l="1"/>
  <c r="K271" i="1"/>
  <c r="J258" i="1" l="1"/>
  <c r="E258" i="1"/>
  <c r="E224" i="1"/>
  <c r="J224" i="1" l="1"/>
  <c r="P224" i="1" s="1"/>
  <c r="P258" i="1"/>
  <c r="J254" i="1" l="1"/>
  <c r="E254" i="1"/>
  <c r="P254" i="1" l="1"/>
  <c r="N196" i="3" l="1"/>
  <c r="M196" i="3"/>
  <c r="L196" i="3"/>
  <c r="K196" i="3"/>
  <c r="J196" i="3"/>
  <c r="H196" i="3"/>
  <c r="G196" i="3"/>
  <c r="F196" i="3"/>
  <c r="E196" i="3"/>
  <c r="J144" i="1"/>
  <c r="I196" i="3" s="1"/>
  <c r="E144" i="1"/>
  <c r="D196" i="3" s="1"/>
  <c r="P144" i="1" l="1"/>
  <c r="D154" i="1"/>
  <c r="O196" i="3" l="1"/>
  <c r="B250" i="1" l="1"/>
  <c r="J250" i="1"/>
  <c r="I161" i="3" s="1"/>
  <c r="P250" i="1" l="1"/>
  <c r="O161" i="3" s="1"/>
  <c r="D182" i="1" l="1"/>
  <c r="F195" i="3"/>
  <c r="G195" i="3"/>
  <c r="H195" i="3"/>
  <c r="J195" i="3"/>
  <c r="K195" i="3"/>
  <c r="L195" i="3"/>
  <c r="M195" i="3"/>
  <c r="N195" i="3"/>
  <c r="F147" i="3"/>
  <c r="G147" i="3"/>
  <c r="H147" i="3"/>
  <c r="J147" i="3"/>
  <c r="K147" i="3"/>
  <c r="L147" i="3"/>
  <c r="M147" i="3"/>
  <c r="N147" i="3"/>
  <c r="G282" i="1"/>
  <c r="H282" i="1"/>
  <c r="I282" i="1"/>
  <c r="K282" i="1"/>
  <c r="L282" i="1"/>
  <c r="M282" i="1"/>
  <c r="N282" i="1"/>
  <c r="O282" i="1"/>
  <c r="G271" i="1"/>
  <c r="H271" i="1"/>
  <c r="L271" i="1"/>
  <c r="M271" i="1"/>
  <c r="N271" i="1"/>
  <c r="O271" i="1"/>
  <c r="G112" i="1"/>
  <c r="H112" i="1"/>
  <c r="I112" i="1"/>
  <c r="L112" i="1"/>
  <c r="M112" i="1"/>
  <c r="N112" i="1"/>
  <c r="I271" i="1" l="1"/>
  <c r="E195" i="3" l="1"/>
  <c r="F271" i="1" l="1"/>
  <c r="F112" i="1"/>
  <c r="D237" i="1" l="1"/>
  <c r="F282" i="1" l="1"/>
  <c r="O112" i="1" l="1"/>
  <c r="K112" i="1"/>
  <c r="J201" i="1"/>
  <c r="E201" i="1"/>
  <c r="C201" i="1"/>
  <c r="D201" i="1"/>
  <c r="B201" i="1"/>
  <c r="P201" i="1" l="1"/>
  <c r="E17" i="3"/>
  <c r="F17" i="3"/>
  <c r="G17" i="3"/>
  <c r="H17" i="3"/>
  <c r="J17" i="3"/>
  <c r="K17" i="3"/>
  <c r="L17" i="3"/>
  <c r="M17" i="3"/>
  <c r="N17" i="3"/>
  <c r="E71" i="3"/>
  <c r="F71" i="3"/>
  <c r="G71" i="3"/>
  <c r="H71" i="3"/>
  <c r="J71" i="3"/>
  <c r="K71" i="3"/>
  <c r="L71" i="3"/>
  <c r="M71" i="3"/>
  <c r="N71" i="3"/>
  <c r="E76" i="3"/>
  <c r="F76" i="3"/>
  <c r="G76" i="3"/>
  <c r="H76" i="3"/>
  <c r="J76" i="3"/>
  <c r="K76" i="3"/>
  <c r="L76" i="3"/>
  <c r="M76" i="3"/>
  <c r="N76" i="3"/>
  <c r="E78" i="3"/>
  <c r="F78" i="3"/>
  <c r="G78" i="3"/>
  <c r="H78" i="3"/>
  <c r="J78" i="3"/>
  <c r="K78" i="3"/>
  <c r="L78" i="3"/>
  <c r="M78" i="3"/>
  <c r="N78" i="3"/>
  <c r="E80" i="3"/>
  <c r="F80" i="3"/>
  <c r="G80" i="3"/>
  <c r="H80" i="3"/>
  <c r="J80" i="3"/>
  <c r="K80" i="3"/>
  <c r="L80" i="3"/>
  <c r="M80" i="3"/>
  <c r="N80" i="3"/>
  <c r="E82" i="3"/>
  <c r="F82" i="3"/>
  <c r="G82" i="3"/>
  <c r="H82" i="3"/>
  <c r="J82" i="3"/>
  <c r="K82" i="3"/>
  <c r="L82" i="3"/>
  <c r="M82" i="3"/>
  <c r="N82" i="3"/>
  <c r="E85" i="3"/>
  <c r="F85" i="3"/>
  <c r="G85" i="3"/>
  <c r="H85" i="3"/>
  <c r="J85" i="3"/>
  <c r="K85" i="3"/>
  <c r="L85" i="3"/>
  <c r="M85" i="3"/>
  <c r="N85" i="3"/>
  <c r="E86" i="3"/>
  <c r="F86" i="3"/>
  <c r="G86" i="3"/>
  <c r="H86" i="3"/>
  <c r="J86" i="3"/>
  <c r="K86" i="3"/>
  <c r="L86" i="3"/>
  <c r="M86" i="3"/>
  <c r="N86" i="3"/>
  <c r="E91" i="3"/>
  <c r="F91" i="3"/>
  <c r="G91" i="3"/>
  <c r="H91" i="3"/>
  <c r="K91" i="3"/>
  <c r="L91" i="3"/>
  <c r="M91" i="3"/>
  <c r="E92" i="3"/>
  <c r="F92" i="3"/>
  <c r="G92" i="3"/>
  <c r="H92" i="3"/>
  <c r="J92" i="3"/>
  <c r="K92" i="3"/>
  <c r="L92" i="3"/>
  <c r="M92" i="3"/>
  <c r="N92" i="3"/>
  <c r="E93" i="3"/>
  <c r="F93" i="3"/>
  <c r="G93" i="3"/>
  <c r="H93" i="3"/>
  <c r="J93" i="3"/>
  <c r="K93" i="3"/>
  <c r="L93" i="3"/>
  <c r="M93" i="3"/>
  <c r="N93" i="3"/>
  <c r="E95" i="3"/>
  <c r="F95" i="3"/>
  <c r="G95" i="3"/>
  <c r="H95" i="3"/>
  <c r="J95" i="3"/>
  <c r="K95" i="3"/>
  <c r="L95" i="3"/>
  <c r="M95" i="3"/>
  <c r="N95" i="3"/>
  <c r="E96" i="3"/>
  <c r="F96" i="3"/>
  <c r="G96" i="3"/>
  <c r="H96" i="3"/>
  <c r="J96" i="3"/>
  <c r="K96" i="3"/>
  <c r="L96" i="3"/>
  <c r="M96" i="3"/>
  <c r="N96" i="3"/>
  <c r="E97" i="3"/>
  <c r="F97" i="3"/>
  <c r="G97" i="3"/>
  <c r="H97" i="3"/>
  <c r="J97" i="3"/>
  <c r="K97" i="3"/>
  <c r="L97" i="3"/>
  <c r="M97" i="3"/>
  <c r="N97" i="3"/>
  <c r="E99" i="3"/>
  <c r="F99" i="3"/>
  <c r="G99" i="3"/>
  <c r="H99" i="3"/>
  <c r="J99" i="3"/>
  <c r="K99" i="3"/>
  <c r="L99" i="3"/>
  <c r="M99" i="3"/>
  <c r="N99" i="3"/>
  <c r="E101" i="3"/>
  <c r="F101" i="3"/>
  <c r="G101" i="3"/>
  <c r="H101" i="3"/>
  <c r="J101" i="3"/>
  <c r="K101" i="3"/>
  <c r="L101" i="3"/>
  <c r="M101" i="3"/>
  <c r="N101" i="3"/>
  <c r="E102" i="3"/>
  <c r="F102" i="3"/>
  <c r="G102" i="3"/>
  <c r="H102" i="3"/>
  <c r="J102" i="3"/>
  <c r="K102" i="3"/>
  <c r="L102" i="3"/>
  <c r="M102" i="3"/>
  <c r="N102" i="3"/>
  <c r="E103" i="3"/>
  <c r="F103" i="3"/>
  <c r="G103" i="3"/>
  <c r="H103" i="3"/>
  <c r="J103" i="3"/>
  <c r="K103" i="3"/>
  <c r="L103" i="3"/>
  <c r="M103" i="3"/>
  <c r="N103" i="3"/>
  <c r="E104" i="3"/>
  <c r="F104" i="3"/>
  <c r="G104" i="3"/>
  <c r="H104" i="3"/>
  <c r="J104" i="3"/>
  <c r="K104" i="3"/>
  <c r="L104" i="3"/>
  <c r="M104" i="3"/>
  <c r="N104" i="3"/>
  <c r="E105" i="3"/>
  <c r="F105" i="3"/>
  <c r="G105" i="3"/>
  <c r="H105" i="3"/>
  <c r="J105" i="3"/>
  <c r="K105" i="3"/>
  <c r="L105" i="3"/>
  <c r="M105" i="3"/>
  <c r="N105" i="3"/>
  <c r="E107" i="3"/>
  <c r="F107" i="3"/>
  <c r="G107" i="3"/>
  <c r="H107" i="3"/>
  <c r="J107" i="3"/>
  <c r="K107" i="3"/>
  <c r="L107" i="3"/>
  <c r="M107" i="3"/>
  <c r="N107" i="3"/>
  <c r="E108" i="3"/>
  <c r="F108" i="3"/>
  <c r="G108" i="3"/>
  <c r="H108" i="3"/>
  <c r="J108" i="3"/>
  <c r="K108" i="3"/>
  <c r="L108" i="3"/>
  <c r="M108" i="3"/>
  <c r="N108" i="3"/>
  <c r="E110" i="3"/>
  <c r="F110" i="3"/>
  <c r="G110" i="3"/>
  <c r="H110" i="3"/>
  <c r="J110" i="3"/>
  <c r="K110" i="3"/>
  <c r="L110" i="3"/>
  <c r="M110" i="3"/>
  <c r="N110" i="3"/>
  <c r="F112" i="3"/>
  <c r="G112" i="3"/>
  <c r="H112" i="3"/>
  <c r="J112" i="3"/>
  <c r="K112" i="3"/>
  <c r="L112" i="3"/>
  <c r="M112" i="3"/>
  <c r="N112" i="3"/>
  <c r="E113" i="3"/>
  <c r="F113" i="3"/>
  <c r="G113" i="3"/>
  <c r="H113" i="3"/>
  <c r="J113" i="3"/>
  <c r="K113" i="3"/>
  <c r="L113" i="3"/>
  <c r="M113" i="3"/>
  <c r="N113" i="3"/>
  <c r="E114" i="3"/>
  <c r="F114" i="3"/>
  <c r="G114" i="3"/>
  <c r="H114" i="3"/>
  <c r="J114" i="3"/>
  <c r="K114" i="3"/>
  <c r="L114" i="3"/>
  <c r="M114" i="3"/>
  <c r="N114" i="3"/>
  <c r="E115" i="3"/>
  <c r="F115" i="3"/>
  <c r="G115" i="3"/>
  <c r="H115" i="3"/>
  <c r="J115" i="3"/>
  <c r="K115" i="3"/>
  <c r="L115" i="3"/>
  <c r="M115" i="3"/>
  <c r="N115" i="3"/>
  <c r="E116" i="3"/>
  <c r="F116" i="3"/>
  <c r="G116" i="3"/>
  <c r="H116" i="3"/>
  <c r="J116" i="3"/>
  <c r="K116" i="3"/>
  <c r="L116" i="3"/>
  <c r="M116" i="3"/>
  <c r="N116" i="3"/>
  <c r="E121" i="3"/>
  <c r="F121" i="3"/>
  <c r="G121" i="3"/>
  <c r="H121" i="3"/>
  <c r="J121" i="3"/>
  <c r="K121" i="3"/>
  <c r="L121" i="3"/>
  <c r="M121" i="3"/>
  <c r="N121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3" i="3"/>
  <c r="F133" i="3"/>
  <c r="G133" i="3"/>
  <c r="H133" i="3"/>
  <c r="J133" i="3"/>
  <c r="K133" i="3"/>
  <c r="L133" i="3"/>
  <c r="M133" i="3"/>
  <c r="N133" i="3"/>
  <c r="F134" i="3"/>
  <c r="G134" i="3"/>
  <c r="H134" i="3"/>
  <c r="J134" i="3"/>
  <c r="K134" i="3"/>
  <c r="L134" i="3"/>
  <c r="M134" i="3"/>
  <c r="N134" i="3"/>
  <c r="E135" i="3"/>
  <c r="F135" i="3"/>
  <c r="G135" i="3"/>
  <c r="H135" i="3"/>
  <c r="J135" i="3"/>
  <c r="K135" i="3"/>
  <c r="L135" i="3"/>
  <c r="M135" i="3"/>
  <c r="N135" i="3"/>
  <c r="E138" i="3"/>
  <c r="F138" i="3"/>
  <c r="G138" i="3"/>
  <c r="H138" i="3"/>
  <c r="J138" i="3"/>
  <c r="K138" i="3"/>
  <c r="L138" i="3"/>
  <c r="M138" i="3"/>
  <c r="N138" i="3"/>
  <c r="E139" i="3"/>
  <c r="F139" i="3"/>
  <c r="G139" i="3"/>
  <c r="H139" i="3"/>
  <c r="J139" i="3"/>
  <c r="K139" i="3"/>
  <c r="L139" i="3"/>
  <c r="M139" i="3"/>
  <c r="N139" i="3"/>
  <c r="E140" i="3"/>
  <c r="F140" i="3"/>
  <c r="G140" i="3"/>
  <c r="H140" i="3"/>
  <c r="J140" i="3"/>
  <c r="K140" i="3"/>
  <c r="L140" i="3"/>
  <c r="M140" i="3"/>
  <c r="N140" i="3"/>
  <c r="E141" i="3"/>
  <c r="F141" i="3"/>
  <c r="G141" i="3"/>
  <c r="H141" i="3"/>
  <c r="J141" i="3"/>
  <c r="K141" i="3"/>
  <c r="L141" i="3"/>
  <c r="M141" i="3"/>
  <c r="N141" i="3"/>
  <c r="E142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6" i="3"/>
  <c r="F146" i="3"/>
  <c r="G146" i="3"/>
  <c r="H146" i="3"/>
  <c r="J146" i="3"/>
  <c r="K146" i="3"/>
  <c r="L146" i="3"/>
  <c r="M146" i="3"/>
  <c r="N146" i="3"/>
  <c r="E153" i="3"/>
  <c r="E152" i="3" s="1"/>
  <c r="F153" i="3"/>
  <c r="F152" i="3" s="1"/>
  <c r="G153" i="3"/>
  <c r="G152" i="3" s="1"/>
  <c r="H153" i="3"/>
  <c r="H152" i="3" s="1"/>
  <c r="J153" i="3"/>
  <c r="J152" i="3" s="1"/>
  <c r="K153" i="3"/>
  <c r="K152" i="3" s="1"/>
  <c r="L153" i="3"/>
  <c r="L152" i="3" s="1"/>
  <c r="M153" i="3"/>
  <c r="M152" i="3" s="1"/>
  <c r="N153" i="3"/>
  <c r="N152" i="3" s="1"/>
  <c r="E156" i="3"/>
  <c r="E154" i="3" s="1"/>
  <c r="F156" i="3"/>
  <c r="F154" i="3" s="1"/>
  <c r="G156" i="3"/>
  <c r="G154" i="3" s="1"/>
  <c r="H156" i="3"/>
  <c r="H154" i="3" s="1"/>
  <c r="J156" i="3"/>
  <c r="J154" i="3" s="1"/>
  <c r="K156" i="3"/>
  <c r="K154" i="3" s="1"/>
  <c r="L156" i="3"/>
  <c r="L154" i="3" s="1"/>
  <c r="M156" i="3"/>
  <c r="M154" i="3" s="1"/>
  <c r="N156" i="3"/>
  <c r="N154" i="3" s="1"/>
  <c r="E166" i="3"/>
  <c r="F166" i="3"/>
  <c r="G166" i="3"/>
  <c r="H166" i="3"/>
  <c r="J166" i="3"/>
  <c r="K166" i="3"/>
  <c r="L166" i="3"/>
  <c r="M166" i="3"/>
  <c r="N166" i="3"/>
  <c r="E173" i="3"/>
  <c r="E170" i="3" s="1"/>
  <c r="F173" i="3"/>
  <c r="F170" i="3" s="1"/>
  <c r="G173" i="3"/>
  <c r="G170" i="3" s="1"/>
  <c r="H173" i="3"/>
  <c r="H170" i="3" s="1"/>
  <c r="J173" i="3"/>
  <c r="J170" i="3" s="1"/>
  <c r="K173" i="3"/>
  <c r="K170" i="3" s="1"/>
  <c r="L173" i="3"/>
  <c r="L170" i="3" s="1"/>
  <c r="M173" i="3"/>
  <c r="M170" i="3" s="1"/>
  <c r="N173" i="3"/>
  <c r="N170" i="3" s="1"/>
  <c r="E186" i="3"/>
  <c r="F186" i="3"/>
  <c r="G186" i="3"/>
  <c r="H186" i="3"/>
  <c r="J186" i="3"/>
  <c r="K186" i="3"/>
  <c r="L186" i="3"/>
  <c r="M186" i="3"/>
  <c r="N186" i="3"/>
  <c r="E189" i="3"/>
  <c r="F189" i="3"/>
  <c r="G189" i="3"/>
  <c r="H189" i="3"/>
  <c r="J189" i="3"/>
  <c r="K189" i="3"/>
  <c r="L189" i="3"/>
  <c r="M189" i="3"/>
  <c r="N189" i="3"/>
  <c r="E190" i="3"/>
  <c r="F190" i="3"/>
  <c r="G190" i="3"/>
  <c r="H190" i="3"/>
  <c r="J190" i="3"/>
  <c r="K190" i="3"/>
  <c r="L190" i="3"/>
  <c r="M190" i="3"/>
  <c r="N190" i="3"/>
  <c r="E191" i="3"/>
  <c r="F191" i="3"/>
  <c r="G191" i="3"/>
  <c r="H191" i="3"/>
  <c r="J191" i="3"/>
  <c r="K191" i="3"/>
  <c r="L191" i="3"/>
  <c r="M191" i="3"/>
  <c r="N191" i="3"/>
  <c r="F193" i="3"/>
  <c r="G193" i="3"/>
  <c r="H193" i="3"/>
  <c r="J193" i="3"/>
  <c r="K193" i="3"/>
  <c r="L193" i="3"/>
  <c r="M193" i="3"/>
  <c r="N193" i="3"/>
  <c r="E203" i="3"/>
  <c r="F203" i="3"/>
  <c r="G203" i="3"/>
  <c r="H203" i="3"/>
  <c r="J203" i="3"/>
  <c r="K203" i="3"/>
  <c r="L203" i="3"/>
  <c r="M203" i="3"/>
  <c r="N203" i="3"/>
  <c r="E205" i="3"/>
  <c r="F205" i="3"/>
  <c r="G205" i="3"/>
  <c r="H205" i="3"/>
  <c r="J205" i="3"/>
  <c r="K205" i="3"/>
  <c r="L205" i="3"/>
  <c r="M205" i="3"/>
  <c r="N205" i="3"/>
  <c r="E208" i="3"/>
  <c r="E207" i="3" s="1"/>
  <c r="F208" i="3"/>
  <c r="F207" i="3" s="1"/>
  <c r="G208" i="3"/>
  <c r="H208" i="3"/>
  <c r="J208" i="3"/>
  <c r="K208" i="3"/>
  <c r="K207" i="3" s="1"/>
  <c r="L208" i="3"/>
  <c r="M208" i="3"/>
  <c r="M207" i="3" s="1"/>
  <c r="N208" i="3"/>
  <c r="E211" i="3"/>
  <c r="E210" i="3" s="1"/>
  <c r="F211" i="3"/>
  <c r="F210" i="3" s="1"/>
  <c r="G211" i="3"/>
  <c r="G210" i="3" s="1"/>
  <c r="H211" i="3"/>
  <c r="H210" i="3" s="1"/>
  <c r="J211" i="3"/>
  <c r="J210" i="3" s="1"/>
  <c r="K211" i="3"/>
  <c r="K210" i="3" s="1"/>
  <c r="L211" i="3"/>
  <c r="L210" i="3" s="1"/>
  <c r="M211" i="3"/>
  <c r="M210" i="3" s="1"/>
  <c r="N211" i="3"/>
  <c r="N210" i="3" s="1"/>
  <c r="E212" i="3"/>
  <c r="F212" i="3"/>
  <c r="G212" i="3"/>
  <c r="H212" i="3"/>
  <c r="J212" i="3"/>
  <c r="K212" i="3"/>
  <c r="L212" i="3"/>
  <c r="M212" i="3"/>
  <c r="N212" i="3"/>
  <c r="D213" i="3"/>
  <c r="E213" i="3"/>
  <c r="F213" i="3"/>
  <c r="G213" i="3"/>
  <c r="H213" i="3"/>
  <c r="J213" i="3"/>
  <c r="K213" i="3"/>
  <c r="L213" i="3"/>
  <c r="M213" i="3"/>
  <c r="N213" i="3"/>
  <c r="J75" i="1"/>
  <c r="J284" i="1"/>
  <c r="J285" i="1"/>
  <c r="J286" i="1"/>
  <c r="I208" i="3" s="1"/>
  <c r="J287" i="1"/>
  <c r="J288" i="1"/>
  <c r="I212" i="3" s="1"/>
  <c r="J289" i="1"/>
  <c r="I213" i="3" s="1"/>
  <c r="J290" i="1"/>
  <c r="J283" i="1"/>
  <c r="J273" i="1"/>
  <c r="I153" i="3" s="1"/>
  <c r="I152" i="3" s="1"/>
  <c r="J274" i="1"/>
  <c r="J275" i="1"/>
  <c r="I189" i="3" s="1"/>
  <c r="J276" i="1"/>
  <c r="I190" i="3" s="1"/>
  <c r="J277" i="1"/>
  <c r="J272" i="1"/>
  <c r="J269" i="1"/>
  <c r="J245" i="1"/>
  <c r="J246" i="1"/>
  <c r="I146" i="3" s="1"/>
  <c r="J247" i="1"/>
  <c r="J248" i="1"/>
  <c r="I157" i="3" s="1"/>
  <c r="J249" i="1"/>
  <c r="I158" i="3" s="1"/>
  <c r="J251" i="1"/>
  <c r="J262" i="1"/>
  <c r="J263" i="1"/>
  <c r="J266" i="1"/>
  <c r="J244" i="1"/>
  <c r="J240" i="1"/>
  <c r="J211" i="1"/>
  <c r="J212" i="1"/>
  <c r="J213" i="1"/>
  <c r="I139" i="3" s="1"/>
  <c r="J214" i="1"/>
  <c r="I140" i="3" s="1"/>
  <c r="J215" i="1"/>
  <c r="I141" i="3" s="1"/>
  <c r="J216" i="1"/>
  <c r="J217" i="1"/>
  <c r="J218" i="1"/>
  <c r="J219" i="1"/>
  <c r="J220" i="1"/>
  <c r="J223" i="1"/>
  <c r="I166" i="3" s="1"/>
  <c r="J230" i="1"/>
  <c r="J231" i="1"/>
  <c r="J236" i="1"/>
  <c r="J237" i="1"/>
  <c r="J209" i="1"/>
  <c r="J195" i="1"/>
  <c r="I125" i="3" s="1"/>
  <c r="J196" i="1"/>
  <c r="J197" i="1"/>
  <c r="J198" i="1"/>
  <c r="J200" i="1"/>
  <c r="J193" i="1"/>
  <c r="J187" i="1"/>
  <c r="I102" i="3" s="1"/>
  <c r="J188" i="1"/>
  <c r="I103" i="3" s="1"/>
  <c r="J186" i="1"/>
  <c r="J154" i="1"/>
  <c r="J155" i="1"/>
  <c r="J157" i="1"/>
  <c r="I95" i="3" s="1"/>
  <c r="J158" i="1"/>
  <c r="J159" i="1"/>
  <c r="I97" i="3" s="1"/>
  <c r="J161" i="1"/>
  <c r="I99" i="3" s="1"/>
  <c r="J163" i="1"/>
  <c r="I101" i="3" s="1"/>
  <c r="J164" i="1"/>
  <c r="I107" i="3" s="1"/>
  <c r="J165" i="1"/>
  <c r="I108" i="3" s="1"/>
  <c r="J167" i="1"/>
  <c r="I110" i="3" s="1"/>
  <c r="J169" i="1"/>
  <c r="I112" i="3" s="1"/>
  <c r="J170" i="1"/>
  <c r="I113" i="3" s="1"/>
  <c r="J171" i="1"/>
  <c r="I114" i="3" s="1"/>
  <c r="J172" i="1"/>
  <c r="I115" i="3" s="1"/>
  <c r="J173" i="1"/>
  <c r="J178" i="1"/>
  <c r="J179" i="1"/>
  <c r="J182" i="1"/>
  <c r="J151" i="1"/>
  <c r="J122" i="1"/>
  <c r="J127" i="1"/>
  <c r="J129" i="1"/>
  <c r="I78" i="3" s="1"/>
  <c r="J131" i="1"/>
  <c r="I80" i="3" s="1"/>
  <c r="J133" i="1"/>
  <c r="I82" i="3" s="1"/>
  <c r="J136" i="1"/>
  <c r="I85" i="3" s="1"/>
  <c r="J137" i="1"/>
  <c r="I86" i="3" s="1"/>
  <c r="J121" i="1"/>
  <c r="J78" i="1"/>
  <c r="I44" i="3" s="1"/>
  <c r="J81" i="1"/>
  <c r="I47" i="3" s="1"/>
  <c r="J88" i="1"/>
  <c r="I54" i="3" s="1"/>
  <c r="J91" i="1"/>
  <c r="I58" i="3" s="1"/>
  <c r="J92" i="1"/>
  <c r="I59" i="3" s="1"/>
  <c r="J94" i="1"/>
  <c r="I61" i="3" s="1"/>
  <c r="J95" i="1"/>
  <c r="I62" i="3" s="1"/>
  <c r="J74" i="1"/>
  <c r="J26" i="1"/>
  <c r="J27" i="1"/>
  <c r="J28" i="1"/>
  <c r="I104" i="3" s="1"/>
  <c r="J29" i="1"/>
  <c r="I105" i="3" s="1"/>
  <c r="J30" i="1"/>
  <c r="I106" i="3" s="1"/>
  <c r="J31" i="1"/>
  <c r="J32" i="1"/>
  <c r="J33" i="1"/>
  <c r="J34" i="1"/>
  <c r="J35" i="1"/>
  <c r="J36" i="1"/>
  <c r="I130" i="3" s="1"/>
  <c r="J37" i="1"/>
  <c r="I131" i="3" s="1"/>
  <c r="J38" i="1"/>
  <c r="I132" i="3" s="1"/>
  <c r="J39" i="1"/>
  <c r="I133" i="3" s="1"/>
  <c r="J40" i="1"/>
  <c r="I134" i="3" s="1"/>
  <c r="J41" i="1"/>
  <c r="I135" i="3" s="1"/>
  <c r="I173" i="3"/>
  <c r="I170" i="3" s="1"/>
  <c r="J48" i="1"/>
  <c r="J49" i="1"/>
  <c r="J50" i="1"/>
  <c r="J51" i="1"/>
  <c r="I193" i="3" s="1"/>
  <c r="J52" i="1"/>
  <c r="J53" i="1"/>
  <c r="J54" i="1"/>
  <c r="I202" i="3" s="1"/>
  <c r="J55" i="1"/>
  <c r="I203" i="3" s="1"/>
  <c r="J57" i="1"/>
  <c r="J58" i="1"/>
  <c r="J59" i="1"/>
  <c r="I211" i="3" s="1"/>
  <c r="I210" i="3" s="1"/>
  <c r="J21" i="1"/>
  <c r="N136" i="3" l="1"/>
  <c r="L136" i="3"/>
  <c r="J136" i="3"/>
  <c r="G136" i="3"/>
  <c r="M136" i="3"/>
  <c r="K136" i="3"/>
  <c r="H136" i="3"/>
  <c r="F136" i="3"/>
  <c r="I19" i="3"/>
  <c r="J18" i="1"/>
  <c r="I33" i="3"/>
  <c r="I209" i="3"/>
  <c r="I207" i="3" s="1"/>
  <c r="I122" i="3"/>
  <c r="M184" i="3"/>
  <c r="M148" i="3" s="1"/>
  <c r="K184" i="3"/>
  <c r="K148" i="3" s="1"/>
  <c r="H184" i="3"/>
  <c r="H148" i="3" s="1"/>
  <c r="F184" i="3"/>
  <c r="F148" i="3" s="1"/>
  <c r="M87" i="3"/>
  <c r="K87" i="3"/>
  <c r="G87" i="3"/>
  <c r="N184" i="3"/>
  <c r="N148" i="3" s="1"/>
  <c r="L184" i="3"/>
  <c r="L148" i="3" s="1"/>
  <c r="J184" i="3"/>
  <c r="J148" i="3" s="1"/>
  <c r="G184" i="3"/>
  <c r="G148" i="3" s="1"/>
  <c r="L87" i="3"/>
  <c r="H87" i="3"/>
  <c r="F87" i="3"/>
  <c r="J260" i="1"/>
  <c r="H66" i="3"/>
  <c r="M66" i="3"/>
  <c r="K66" i="3"/>
  <c r="L66" i="3"/>
  <c r="F66" i="3"/>
  <c r="G66" i="3"/>
  <c r="E66" i="3"/>
  <c r="N66" i="3"/>
  <c r="J66" i="3"/>
  <c r="J184" i="1"/>
  <c r="I183" i="3"/>
  <c r="I182" i="3" s="1"/>
  <c r="I162" i="3"/>
  <c r="I71" i="3"/>
  <c r="I92" i="3"/>
  <c r="I76" i="3"/>
  <c r="I206" i="3"/>
  <c r="I205" i="3" s="1"/>
  <c r="I142" i="3"/>
  <c r="I138" i="3"/>
  <c r="I147" i="3"/>
  <c r="J282" i="1"/>
  <c r="I195" i="3"/>
  <c r="J271" i="1"/>
  <c r="J256" i="1"/>
  <c r="J242" i="1" s="1"/>
  <c r="I128" i="3"/>
  <c r="I126" i="3"/>
  <c r="I191" i="3"/>
  <c r="I127" i="3"/>
  <c r="E134" i="3"/>
  <c r="E129" i="3" s="1"/>
  <c r="I156" i="3"/>
  <c r="L200" i="3"/>
  <c r="J200" i="3"/>
  <c r="G200" i="3"/>
  <c r="I93" i="3"/>
  <c r="I186" i="3"/>
  <c r="I129" i="3"/>
  <c r="I116" i="3"/>
  <c r="N200" i="3"/>
  <c r="H200" i="3"/>
  <c r="M200" i="3"/>
  <c r="M198" i="3" s="1"/>
  <c r="K200" i="3"/>
  <c r="K198" i="3" s="1"/>
  <c r="F200" i="3"/>
  <c r="F198" i="3" s="1"/>
  <c r="E200" i="3"/>
  <c r="E198" i="3" s="1"/>
  <c r="I143" i="3"/>
  <c r="I200" i="3"/>
  <c r="M129" i="3"/>
  <c r="F129" i="3"/>
  <c r="I121" i="3"/>
  <c r="I96" i="3"/>
  <c r="N207" i="3"/>
  <c r="L207" i="3"/>
  <c r="J207" i="3"/>
  <c r="H207" i="3"/>
  <c r="G207" i="3"/>
  <c r="K129" i="3"/>
  <c r="L124" i="3"/>
  <c r="H124" i="3"/>
  <c r="N124" i="3"/>
  <c r="J124" i="3"/>
  <c r="G124" i="3"/>
  <c r="M124" i="3"/>
  <c r="K124" i="3"/>
  <c r="F124" i="3"/>
  <c r="E124" i="3"/>
  <c r="N129" i="3"/>
  <c r="L129" i="3"/>
  <c r="J129" i="3"/>
  <c r="H129" i="3"/>
  <c r="G129" i="3"/>
  <c r="J233" i="1"/>
  <c r="J203" i="1" s="1"/>
  <c r="I136" i="3" l="1"/>
  <c r="I154" i="3"/>
  <c r="I194" i="3"/>
  <c r="I17" i="3"/>
  <c r="I66" i="3"/>
  <c r="I124" i="3"/>
  <c r="L198" i="3"/>
  <c r="G198" i="3"/>
  <c r="N198" i="3"/>
  <c r="J198" i="3"/>
  <c r="I198" i="3"/>
  <c r="H198" i="3"/>
  <c r="E286" i="1"/>
  <c r="D208" i="3" s="1"/>
  <c r="D286" i="1"/>
  <c r="B286" i="1"/>
  <c r="E147" i="3" l="1"/>
  <c r="E136" i="3" s="1"/>
  <c r="E193" i="3"/>
  <c r="J142" i="1"/>
  <c r="P286" i="1"/>
  <c r="O208" i="3" s="1"/>
  <c r="J113" i="1" l="1"/>
  <c r="J112" i="1" s="1"/>
  <c r="I187" i="3"/>
  <c r="I184" i="3" s="1"/>
  <c r="I148" i="3" s="1"/>
  <c r="E184" i="3"/>
  <c r="E148" i="3" s="1"/>
  <c r="E223" i="1" l="1"/>
  <c r="C223" i="1"/>
  <c r="D223" i="1"/>
  <c r="B223" i="1"/>
  <c r="D166" i="3" l="1"/>
  <c r="P223" i="1"/>
  <c r="O166" i="3" s="1"/>
  <c r="E112" i="3" l="1"/>
  <c r="E87" i="3" s="1"/>
  <c r="J76" i="1" l="1"/>
  <c r="J62" i="1" s="1"/>
  <c r="I35" i="3" l="1"/>
  <c r="I24" i="3" s="1"/>
  <c r="J192" i="1"/>
  <c r="D52" i="1"/>
  <c r="D266" i="1"/>
  <c r="D233" i="1"/>
  <c r="C196" i="1"/>
  <c r="B196" i="1"/>
  <c r="D187" i="1"/>
  <c r="P289" i="1"/>
  <c r="O213" i="3" s="1"/>
  <c r="E284" i="1"/>
  <c r="E285" i="1"/>
  <c r="E287" i="1"/>
  <c r="E288" i="1"/>
  <c r="D212" i="3" s="1"/>
  <c r="E290" i="1"/>
  <c r="D217" i="3" s="1"/>
  <c r="D216" i="3" s="1"/>
  <c r="E283" i="1"/>
  <c r="K281" i="1"/>
  <c r="L281" i="1"/>
  <c r="M281" i="1"/>
  <c r="N281" i="1"/>
  <c r="O281" i="1"/>
  <c r="F281" i="1"/>
  <c r="G281" i="1"/>
  <c r="H281" i="1"/>
  <c r="I281" i="1"/>
  <c r="E273" i="1"/>
  <c r="D153" i="3" s="1"/>
  <c r="D152" i="3" s="1"/>
  <c r="E274" i="1"/>
  <c r="E275" i="1"/>
  <c r="D189" i="3" s="1"/>
  <c r="E276" i="1"/>
  <c r="D190" i="3" s="1"/>
  <c r="E277" i="1"/>
  <c r="E272" i="1"/>
  <c r="K270" i="1"/>
  <c r="L270" i="1"/>
  <c r="M270" i="1"/>
  <c r="N270" i="1"/>
  <c r="O270" i="1"/>
  <c r="F270" i="1"/>
  <c r="G270" i="1"/>
  <c r="H270" i="1"/>
  <c r="I270" i="1"/>
  <c r="J268" i="1"/>
  <c r="J267" i="1" s="1"/>
  <c r="E269" i="1"/>
  <c r="E268" i="1" s="1"/>
  <c r="E267" i="1" s="1"/>
  <c r="K268" i="1"/>
  <c r="K267" i="1" s="1"/>
  <c r="L268" i="1"/>
  <c r="L267" i="1" s="1"/>
  <c r="M268" i="1"/>
  <c r="M267" i="1" s="1"/>
  <c r="N268" i="1"/>
  <c r="N267" i="1" s="1"/>
  <c r="O268" i="1"/>
  <c r="O267" i="1" s="1"/>
  <c r="F268" i="1"/>
  <c r="F267" i="1" s="1"/>
  <c r="G268" i="1"/>
  <c r="G267" i="1" s="1"/>
  <c r="H268" i="1"/>
  <c r="H267" i="1" s="1"/>
  <c r="I268" i="1"/>
  <c r="I267" i="1" s="1"/>
  <c r="E263" i="1"/>
  <c r="E266" i="1"/>
  <c r="E262" i="1"/>
  <c r="K260" i="1"/>
  <c r="L260" i="1"/>
  <c r="M260" i="1"/>
  <c r="N260" i="1"/>
  <c r="O260" i="1"/>
  <c r="F260" i="1"/>
  <c r="G260" i="1"/>
  <c r="H260" i="1"/>
  <c r="I260" i="1"/>
  <c r="E245" i="1"/>
  <c r="E246" i="1"/>
  <c r="D146" i="3" s="1"/>
  <c r="E247" i="1"/>
  <c r="E248" i="1"/>
  <c r="D157" i="3" s="1"/>
  <c r="E249" i="1"/>
  <c r="D158" i="3" s="1"/>
  <c r="E251" i="1"/>
  <c r="E256" i="1"/>
  <c r="E244" i="1"/>
  <c r="K241" i="1"/>
  <c r="M241" i="1"/>
  <c r="N241" i="1"/>
  <c r="O241" i="1"/>
  <c r="F241" i="1"/>
  <c r="G241" i="1"/>
  <c r="H241" i="1"/>
  <c r="I241" i="1"/>
  <c r="J239" i="1"/>
  <c r="J238" i="1" s="1"/>
  <c r="E240" i="1"/>
  <c r="E239" i="1" s="1"/>
  <c r="E238" i="1" s="1"/>
  <c r="K239" i="1"/>
  <c r="K238" i="1" s="1"/>
  <c r="L239" i="1"/>
  <c r="L238" i="1" s="1"/>
  <c r="M239" i="1"/>
  <c r="M238" i="1" s="1"/>
  <c r="N239" i="1"/>
  <c r="N238" i="1" s="1"/>
  <c r="O239" i="1"/>
  <c r="O238" i="1" s="1"/>
  <c r="F239" i="1"/>
  <c r="F238" i="1" s="1"/>
  <c r="G239" i="1"/>
  <c r="G238" i="1" s="1"/>
  <c r="H239" i="1"/>
  <c r="H238" i="1" s="1"/>
  <c r="I239" i="1"/>
  <c r="I238" i="1" s="1"/>
  <c r="E211" i="1"/>
  <c r="E212" i="1"/>
  <c r="D138" i="3" s="1"/>
  <c r="E213" i="1"/>
  <c r="E214" i="1"/>
  <c r="D140" i="3" s="1"/>
  <c r="E215" i="1"/>
  <c r="E216" i="1"/>
  <c r="E217" i="1"/>
  <c r="E218" i="1"/>
  <c r="E219" i="1"/>
  <c r="E220" i="1"/>
  <c r="P220" i="1" s="1"/>
  <c r="E230" i="1"/>
  <c r="E231" i="1"/>
  <c r="P231" i="1" s="1"/>
  <c r="E233" i="1"/>
  <c r="P233" i="1" s="1"/>
  <c r="E236" i="1"/>
  <c r="P236" i="1" s="1"/>
  <c r="E237" i="1"/>
  <c r="E209" i="1"/>
  <c r="K202" i="1"/>
  <c r="L202" i="1"/>
  <c r="M202" i="1"/>
  <c r="N202" i="1"/>
  <c r="O202" i="1"/>
  <c r="F202" i="1"/>
  <c r="G202" i="1"/>
  <c r="H202" i="1"/>
  <c r="I202" i="1"/>
  <c r="E195" i="1"/>
  <c r="E196" i="1"/>
  <c r="E197" i="1"/>
  <c r="E198" i="1"/>
  <c r="E200" i="1"/>
  <c r="E193" i="1"/>
  <c r="K191" i="1"/>
  <c r="L191" i="1"/>
  <c r="M191" i="1"/>
  <c r="N191" i="1"/>
  <c r="F191" i="1"/>
  <c r="G191" i="1"/>
  <c r="H191" i="1"/>
  <c r="I191" i="1"/>
  <c r="E187" i="1"/>
  <c r="D102" i="3" s="1"/>
  <c r="E188" i="1"/>
  <c r="D103" i="3" s="1"/>
  <c r="E186" i="1"/>
  <c r="K183" i="1"/>
  <c r="L183" i="1"/>
  <c r="M183" i="1"/>
  <c r="N183" i="1"/>
  <c r="O183" i="1"/>
  <c r="F183" i="1"/>
  <c r="G183" i="1"/>
  <c r="H183" i="1"/>
  <c r="I183" i="1"/>
  <c r="E153" i="1"/>
  <c r="D91" i="3" s="1"/>
  <c r="E154" i="1"/>
  <c r="E155" i="1"/>
  <c r="E157" i="1"/>
  <c r="D95" i="3" s="1"/>
  <c r="E158" i="1"/>
  <c r="E159" i="1"/>
  <c r="D97" i="3" s="1"/>
  <c r="E161" i="1"/>
  <c r="D99" i="3" s="1"/>
  <c r="E163" i="1"/>
  <c r="E164" i="1"/>
  <c r="D107" i="3" s="1"/>
  <c r="E165" i="1"/>
  <c r="E167" i="1"/>
  <c r="D110" i="3" s="1"/>
  <c r="E169" i="1"/>
  <c r="D112" i="3" s="1"/>
  <c r="E170" i="1"/>
  <c r="D113" i="3" s="1"/>
  <c r="E171" i="1"/>
  <c r="D114" i="3" s="1"/>
  <c r="E172" i="1"/>
  <c r="D115" i="3" s="1"/>
  <c r="E173" i="1"/>
  <c r="E178" i="1"/>
  <c r="E179" i="1"/>
  <c r="E182" i="1"/>
  <c r="E151" i="1"/>
  <c r="L146" i="1"/>
  <c r="M146" i="1"/>
  <c r="N146" i="1"/>
  <c r="F146" i="1"/>
  <c r="G146" i="1"/>
  <c r="H146" i="1"/>
  <c r="I146" i="1"/>
  <c r="E122" i="1"/>
  <c r="E127" i="1"/>
  <c r="E129" i="1"/>
  <c r="D78" i="3" s="1"/>
  <c r="E131" i="1"/>
  <c r="D80" i="3" s="1"/>
  <c r="E133" i="1"/>
  <c r="D82" i="3" s="1"/>
  <c r="E136" i="1"/>
  <c r="D85" i="3" s="1"/>
  <c r="D86" i="3"/>
  <c r="E142" i="1"/>
  <c r="E121" i="1"/>
  <c r="K61" i="1"/>
  <c r="L61" i="1"/>
  <c r="M61" i="1"/>
  <c r="N61" i="1"/>
  <c r="O61" i="1"/>
  <c r="F61" i="1"/>
  <c r="G61" i="1"/>
  <c r="H61" i="1"/>
  <c r="I61" i="1"/>
  <c r="E75" i="1"/>
  <c r="D33" i="3" s="1"/>
  <c r="E76" i="1"/>
  <c r="E78" i="1"/>
  <c r="D44" i="3" s="1"/>
  <c r="E81" i="1"/>
  <c r="D47" i="3" s="1"/>
  <c r="E88" i="1"/>
  <c r="D54" i="3" s="1"/>
  <c r="E91" i="1"/>
  <c r="D58" i="3" s="1"/>
  <c r="E92" i="1"/>
  <c r="D59" i="3" s="1"/>
  <c r="E94" i="1"/>
  <c r="D61" i="3" s="1"/>
  <c r="E95" i="1"/>
  <c r="D62" i="3" s="1"/>
  <c r="E74" i="1"/>
  <c r="E23" i="1"/>
  <c r="D21" i="3" s="1"/>
  <c r="E26" i="1"/>
  <c r="E27" i="1"/>
  <c r="E28" i="1"/>
  <c r="D104" i="3" s="1"/>
  <c r="E29" i="1"/>
  <c r="D105" i="3" s="1"/>
  <c r="E30" i="1"/>
  <c r="D106" i="3" s="1"/>
  <c r="E31" i="1"/>
  <c r="E32" i="1"/>
  <c r="E33" i="1"/>
  <c r="E34" i="1"/>
  <c r="E35" i="1"/>
  <c r="E36" i="1"/>
  <c r="D130" i="3" s="1"/>
  <c r="E37" i="1"/>
  <c r="D131" i="3" s="1"/>
  <c r="E38" i="1"/>
  <c r="E39" i="1"/>
  <c r="D133" i="3" s="1"/>
  <c r="E40" i="1"/>
  <c r="E41" i="1"/>
  <c r="D135" i="3" s="1"/>
  <c r="E44" i="1"/>
  <c r="D173" i="3" s="1"/>
  <c r="D170" i="3" s="1"/>
  <c r="E48" i="1"/>
  <c r="E49" i="1"/>
  <c r="E50" i="1"/>
  <c r="E51" i="1"/>
  <c r="D193" i="3" s="1"/>
  <c r="E52" i="1"/>
  <c r="E53" i="1"/>
  <c r="E54" i="1"/>
  <c r="D202" i="3" s="1"/>
  <c r="E55" i="1"/>
  <c r="D203" i="3" s="1"/>
  <c r="E57" i="1"/>
  <c r="E58" i="1"/>
  <c r="E59" i="1"/>
  <c r="D211" i="3" s="1"/>
  <c r="D210" i="3" s="1"/>
  <c r="E21" i="1"/>
  <c r="K17" i="1"/>
  <c r="M17" i="1"/>
  <c r="N17" i="1"/>
  <c r="O17" i="1"/>
  <c r="F17" i="1"/>
  <c r="G17" i="1"/>
  <c r="H17" i="1"/>
  <c r="I17" i="1"/>
  <c r="L17" i="1"/>
  <c r="D132" i="3" l="1"/>
  <c r="E18" i="1"/>
  <c r="E203" i="1"/>
  <c r="E202" i="1" s="1"/>
  <c r="E113" i="1"/>
  <c r="E62" i="1"/>
  <c r="E61" i="1" s="1"/>
  <c r="D125" i="3"/>
  <c r="E192" i="1"/>
  <c r="E191" i="1" s="1"/>
  <c r="I291" i="1"/>
  <c r="G291" i="1"/>
  <c r="M291" i="1"/>
  <c r="D19" i="3"/>
  <c r="D17" i="3" s="1"/>
  <c r="E17" i="1"/>
  <c r="H291" i="1"/>
  <c r="N291" i="1"/>
  <c r="F291" i="1"/>
  <c r="D224" i="3"/>
  <c r="D222" i="3" s="1"/>
  <c r="D214" i="3" s="1"/>
  <c r="D101" i="3"/>
  <c r="E147" i="1"/>
  <c r="E146" i="1" s="1"/>
  <c r="E242" i="1"/>
  <c r="E112" i="1"/>
  <c r="D35" i="3"/>
  <c r="D24" i="3" s="1"/>
  <c r="D209" i="3"/>
  <c r="D207" i="3" s="1"/>
  <c r="D187" i="3"/>
  <c r="D122" i="3"/>
  <c r="D194" i="3"/>
  <c r="E260" i="1"/>
  <c r="D134" i="3"/>
  <c r="E184" i="1"/>
  <c r="E183" i="1" s="1"/>
  <c r="E241" i="1"/>
  <c r="D183" i="3"/>
  <c r="D182" i="3" s="1"/>
  <c r="D162" i="3"/>
  <c r="P179" i="1"/>
  <c r="D71" i="3"/>
  <c r="P211" i="1"/>
  <c r="D92" i="3"/>
  <c r="D76" i="3"/>
  <c r="D141" i="3"/>
  <c r="D206" i="3"/>
  <c r="D205" i="3" s="1"/>
  <c r="D142" i="3"/>
  <c r="D147" i="3"/>
  <c r="E282" i="1"/>
  <c r="E281" i="1" s="1"/>
  <c r="D195" i="3"/>
  <c r="P237" i="1"/>
  <c r="D139" i="3"/>
  <c r="E271" i="1"/>
  <c r="E270" i="1" s="1"/>
  <c r="D143" i="3"/>
  <c r="D191" i="3"/>
  <c r="D108" i="3"/>
  <c r="D186" i="3"/>
  <c r="P209" i="1"/>
  <c r="O191" i="1"/>
  <c r="D127" i="3"/>
  <c r="D116" i="3"/>
  <c r="D156" i="3"/>
  <c r="D154" i="3" s="1"/>
  <c r="D128" i="3"/>
  <c r="D126" i="3"/>
  <c r="J191" i="1"/>
  <c r="D200" i="3"/>
  <c r="D198" i="3" s="1"/>
  <c r="P182" i="1"/>
  <c r="D121" i="3"/>
  <c r="D96" i="3"/>
  <c r="D93" i="3"/>
  <c r="P21" i="1"/>
  <c r="P58" i="1"/>
  <c r="P55" i="1"/>
  <c r="O203" i="3" s="1"/>
  <c r="P53" i="1"/>
  <c r="P51" i="1"/>
  <c r="O193" i="3" s="1"/>
  <c r="P49" i="1"/>
  <c r="P95" i="1"/>
  <c r="O62" i="3" s="1"/>
  <c r="P94" i="1"/>
  <c r="O61" i="3" s="1"/>
  <c r="P92" i="1"/>
  <c r="O59" i="3" s="1"/>
  <c r="P81" i="1"/>
  <c r="O47" i="3" s="1"/>
  <c r="P78" i="1"/>
  <c r="O44" i="3" s="1"/>
  <c r="P76" i="1"/>
  <c r="P121" i="1"/>
  <c r="P172" i="1"/>
  <c r="O115" i="3" s="1"/>
  <c r="P170" i="1"/>
  <c r="O113" i="3" s="1"/>
  <c r="P167" i="1"/>
  <c r="O110" i="3" s="1"/>
  <c r="P164" i="1"/>
  <c r="O107" i="3" s="1"/>
  <c r="P161" i="1"/>
  <c r="O99" i="3" s="1"/>
  <c r="P158" i="1"/>
  <c r="P155" i="1"/>
  <c r="P218" i="1"/>
  <c r="P216" i="1"/>
  <c r="P213" i="1"/>
  <c r="O139" i="3" s="1"/>
  <c r="P248" i="1"/>
  <c r="O157" i="3" s="1"/>
  <c r="P290" i="1"/>
  <c r="P59" i="1"/>
  <c r="O211" i="3" s="1"/>
  <c r="O210" i="3" s="1"/>
  <c r="P57" i="1"/>
  <c r="P54" i="1"/>
  <c r="O202" i="3" s="1"/>
  <c r="P52" i="1"/>
  <c r="P50" i="1"/>
  <c r="O191" i="3" s="1"/>
  <c r="P48" i="1"/>
  <c r="P91" i="1"/>
  <c r="O58" i="3" s="1"/>
  <c r="P88" i="1"/>
  <c r="O54" i="3" s="1"/>
  <c r="P151" i="1"/>
  <c r="P173" i="1"/>
  <c r="P171" i="1"/>
  <c r="O114" i="3" s="1"/>
  <c r="P169" i="1"/>
  <c r="O112" i="3" s="1"/>
  <c r="P165" i="1"/>
  <c r="O108" i="3" s="1"/>
  <c r="P163" i="1"/>
  <c r="O101" i="3" s="1"/>
  <c r="P159" i="1"/>
  <c r="O97" i="3" s="1"/>
  <c r="P157" i="1"/>
  <c r="O95" i="3" s="1"/>
  <c r="P154" i="1"/>
  <c r="P217" i="1"/>
  <c r="P215" i="1"/>
  <c r="P214" i="1"/>
  <c r="O140" i="3" s="1"/>
  <c r="P249" i="1"/>
  <c r="O158" i="3" s="1"/>
  <c r="P283" i="1"/>
  <c r="J202" i="1"/>
  <c r="P230" i="1"/>
  <c r="P262" i="1"/>
  <c r="P263" i="1"/>
  <c r="P275" i="1"/>
  <c r="O189" i="3" s="1"/>
  <c r="J270" i="1"/>
  <c r="P287" i="1"/>
  <c r="P284" i="1"/>
  <c r="P188" i="1"/>
  <c r="O103" i="3" s="1"/>
  <c r="P187" i="1"/>
  <c r="O102" i="3" s="1"/>
  <c r="P44" i="1"/>
  <c r="O173" i="3" s="1"/>
  <c r="O170" i="3" s="1"/>
  <c r="P38" i="1"/>
  <c r="O132" i="3" s="1"/>
  <c r="P36" i="1"/>
  <c r="O130" i="3" s="1"/>
  <c r="P34" i="1"/>
  <c r="P32" i="1"/>
  <c r="P30" i="1"/>
  <c r="O106" i="3" s="1"/>
  <c r="P28" i="1"/>
  <c r="O104" i="3" s="1"/>
  <c r="P26" i="1"/>
  <c r="P193" i="1"/>
  <c r="P256" i="1"/>
  <c r="P269" i="1"/>
  <c r="P268" i="1" s="1"/>
  <c r="P267" i="1" s="1"/>
  <c r="P276" i="1"/>
  <c r="O190" i="3" s="1"/>
  <c r="P274" i="1"/>
  <c r="P273" i="1"/>
  <c r="O153" i="3" s="1"/>
  <c r="O152" i="3" s="1"/>
  <c r="P277" i="1"/>
  <c r="P219" i="1"/>
  <c r="P41" i="1"/>
  <c r="O135" i="3" s="1"/>
  <c r="P39" i="1"/>
  <c r="O133" i="3" s="1"/>
  <c r="P37" i="1"/>
  <c r="O131" i="3" s="1"/>
  <c r="P35" i="1"/>
  <c r="P31" i="1"/>
  <c r="P29" i="1"/>
  <c r="O105" i="3" s="1"/>
  <c r="P27" i="1"/>
  <c r="P142" i="1"/>
  <c r="P137" i="1"/>
  <c r="O86" i="3" s="1"/>
  <c r="P136" i="1"/>
  <c r="O85" i="3" s="1"/>
  <c r="P133" i="1"/>
  <c r="O82" i="3" s="1"/>
  <c r="P131" i="1"/>
  <c r="O80" i="3" s="1"/>
  <c r="P129" i="1"/>
  <c r="O78" i="3" s="1"/>
  <c r="P127" i="1"/>
  <c r="P122" i="1"/>
  <c r="J183" i="1"/>
  <c r="P198" i="1"/>
  <c r="P200" i="1"/>
  <c r="P195" i="1"/>
  <c r="P251" i="1"/>
  <c r="O162" i="3" s="1"/>
  <c r="P247" i="1"/>
  <c r="P23" i="1"/>
  <c r="O21" i="3" s="1"/>
  <c r="P33" i="1"/>
  <c r="P212" i="1"/>
  <c r="O138" i="3" s="1"/>
  <c r="P266" i="1"/>
  <c r="P40" i="1"/>
  <c r="O134" i="3" s="1"/>
  <c r="P75" i="1"/>
  <c r="O33" i="3" s="1"/>
  <c r="P186" i="1"/>
  <c r="P197" i="1"/>
  <c r="P196" i="1"/>
  <c r="P285" i="1"/>
  <c r="P244" i="1"/>
  <c r="P245" i="1"/>
  <c r="P288" i="1"/>
  <c r="O212" i="3" s="1"/>
  <c r="J281" i="1"/>
  <c r="J61" i="1"/>
  <c r="P272" i="1"/>
  <c r="P240" i="1"/>
  <c r="P239" i="1" s="1"/>
  <c r="P238" i="1" s="1"/>
  <c r="P74" i="1"/>
  <c r="J17" i="1"/>
  <c r="P178" i="1"/>
  <c r="D136" i="3" l="1"/>
  <c r="P62" i="1"/>
  <c r="P61" i="1" s="1"/>
  <c r="E291" i="1"/>
  <c r="O19" i="3"/>
  <c r="O17" i="3" s="1"/>
  <c r="P18" i="1"/>
  <c r="P203" i="1"/>
  <c r="O122" i="3"/>
  <c r="O35" i="3"/>
  <c r="O24" i="3" s="1"/>
  <c r="D66" i="3"/>
  <c r="O187" i="3"/>
  <c r="O209" i="3"/>
  <c r="O207" i="3" s="1"/>
  <c r="D87" i="3"/>
  <c r="D184" i="3"/>
  <c r="P192" i="1"/>
  <c r="O194" i="3"/>
  <c r="D129" i="3"/>
  <c r="P113" i="1"/>
  <c r="P112" i="1" s="1"/>
  <c r="P184" i="1"/>
  <c r="O183" i="3"/>
  <c r="O182" i="3" s="1"/>
  <c r="O125" i="3"/>
  <c r="O116" i="3"/>
  <c r="O71" i="3"/>
  <c r="O92" i="3"/>
  <c r="O76" i="3"/>
  <c r="O141" i="3"/>
  <c r="O206" i="3"/>
  <c r="O205" i="3" s="1"/>
  <c r="O142" i="3"/>
  <c r="O195" i="3"/>
  <c r="O147" i="3"/>
  <c r="P282" i="1"/>
  <c r="P271" i="1"/>
  <c r="O156" i="3"/>
  <c r="O154" i="3" s="1"/>
  <c r="O121" i="3"/>
  <c r="D124" i="3"/>
  <c r="O186" i="3"/>
  <c r="O200" i="3"/>
  <c r="O143" i="3"/>
  <c r="O128" i="3"/>
  <c r="O127" i="3"/>
  <c r="O96" i="3"/>
  <c r="O129" i="3"/>
  <c r="O126" i="3"/>
  <c r="O93" i="3"/>
  <c r="L241" i="1"/>
  <c r="L291" i="1" s="1"/>
  <c r="D148" i="3" l="1"/>
  <c r="D226" i="3" s="1"/>
  <c r="O184" i="3"/>
  <c r="O148" i="3" s="1"/>
  <c r="O66" i="3"/>
  <c r="O198" i="3"/>
  <c r="O124" i="3"/>
  <c r="P246" i="1"/>
  <c r="P242" i="1" s="1"/>
  <c r="J241" i="1"/>
  <c r="O146" i="3" l="1"/>
  <c r="O136" i="3" s="1"/>
  <c r="J91" i="3" l="1"/>
  <c r="J87" i="3" s="1"/>
  <c r="K146" i="1"/>
  <c r="K291" i="1" s="1"/>
  <c r="N91" i="3"/>
  <c r="N87" i="3" s="1"/>
  <c r="O146" i="1"/>
  <c r="O291" i="1" s="1"/>
  <c r="J153" i="1"/>
  <c r="J147" i="1" s="1"/>
  <c r="I91" i="3" l="1"/>
  <c r="I87" i="3" s="1"/>
  <c r="P153" i="1"/>
  <c r="P147" i="1" s="1"/>
  <c r="P17" i="1"/>
  <c r="P260" i="1"/>
  <c r="P281" i="1"/>
  <c r="O91" i="3" l="1"/>
  <c r="O87" i="3" s="1"/>
  <c r="P146" i="1"/>
  <c r="J146" i="1"/>
  <c r="J291" i="1" s="1"/>
  <c r="P270" i="1"/>
  <c r="P241" i="1"/>
  <c r="P202" i="1"/>
  <c r="P191" i="1"/>
  <c r="P183" i="1"/>
  <c r="P291" i="1" l="1"/>
  <c r="C55" i="1"/>
  <c r="C285" i="1" l="1"/>
  <c r="D285" i="1"/>
  <c r="B285" i="1"/>
  <c r="C231" i="1"/>
  <c r="D231" i="1"/>
  <c r="B231" i="1"/>
  <c r="C157" i="1" l="1"/>
  <c r="D157" i="1"/>
  <c r="B157" i="1"/>
  <c r="C33" i="1"/>
  <c r="D33" i="1"/>
  <c r="B33" i="1"/>
  <c r="B133" i="1"/>
  <c r="C133" i="1"/>
  <c r="D133" i="1"/>
  <c r="B165" i="1"/>
  <c r="C165" i="1"/>
  <c r="D165" i="1"/>
  <c r="B167" i="1"/>
  <c r="C167" i="1"/>
  <c r="C161" i="1"/>
  <c r="D161" i="1"/>
  <c r="B161" i="1"/>
  <c r="C266" i="1"/>
  <c r="B266" i="1"/>
  <c r="C263" i="1"/>
  <c r="D263" i="1"/>
  <c r="B263" i="1"/>
  <c r="D137" i="1"/>
  <c r="C137" i="1"/>
  <c r="B137" i="1"/>
  <c r="C136" i="1"/>
  <c r="D136" i="1"/>
  <c r="B136" i="1"/>
  <c r="C52" i="1"/>
  <c r="B52" i="1"/>
  <c r="C182" i="1"/>
  <c r="B182" i="1"/>
  <c r="C178" i="1"/>
  <c r="D178" i="1"/>
  <c r="C179" i="1"/>
  <c r="B179" i="1"/>
  <c r="B178" i="1"/>
  <c r="C173" i="1"/>
  <c r="D173" i="1"/>
  <c r="B173" i="1"/>
  <c r="C172" i="1"/>
  <c r="D172" i="1"/>
  <c r="B172" i="1"/>
  <c r="C171" i="1"/>
  <c r="B171" i="1"/>
  <c r="C170" i="1"/>
  <c r="D170" i="1"/>
  <c r="B170" i="1"/>
  <c r="C169" i="1"/>
  <c r="D169" i="1"/>
  <c r="B169" i="1"/>
  <c r="C164" i="1"/>
  <c r="D164" i="1"/>
  <c r="B164" i="1"/>
  <c r="C163" i="1"/>
  <c r="D163" i="1"/>
  <c r="B163" i="1"/>
  <c r="C159" i="1"/>
  <c r="D159" i="1"/>
  <c r="B159" i="1"/>
  <c r="C158" i="1"/>
  <c r="D158" i="1"/>
  <c r="B158" i="1"/>
  <c r="C155" i="1"/>
  <c r="D155" i="1"/>
  <c r="B155" i="1"/>
  <c r="C154" i="1"/>
  <c r="B154" i="1"/>
  <c r="C153" i="1"/>
  <c r="D153" i="1"/>
  <c r="B153" i="1"/>
  <c r="C142" i="1"/>
  <c r="B142" i="1"/>
  <c r="C131" i="1"/>
  <c r="D131" i="1"/>
  <c r="B131" i="1"/>
  <c r="C129" i="1"/>
  <c r="D129" i="1"/>
  <c r="B129" i="1"/>
  <c r="C127" i="1"/>
  <c r="B127" i="1"/>
  <c r="C122" i="1"/>
  <c r="B122" i="1"/>
  <c r="C92" i="1"/>
  <c r="C94" i="1"/>
  <c r="C76" i="1"/>
  <c r="B76" i="1"/>
  <c r="C75" i="1"/>
  <c r="B75" i="1"/>
  <c r="C59" i="1"/>
  <c r="D59" i="1"/>
  <c r="B59" i="1"/>
  <c r="C58" i="1"/>
  <c r="D58" i="1"/>
  <c r="B58" i="1"/>
  <c r="C57" i="1"/>
  <c r="D57" i="1"/>
  <c r="B57" i="1"/>
  <c r="B55" i="1"/>
  <c r="C54" i="1"/>
  <c r="D54" i="1"/>
  <c r="B54" i="1"/>
  <c r="C53" i="1"/>
  <c r="D53" i="1"/>
  <c r="B53" i="1"/>
  <c r="C51" i="1"/>
  <c r="D51" i="1"/>
  <c r="B51" i="1"/>
  <c r="C50" i="1"/>
  <c r="B50" i="1"/>
  <c r="C49" i="1"/>
  <c r="D49" i="1"/>
  <c r="B49" i="1"/>
  <c r="C48" i="1"/>
  <c r="B48" i="1"/>
  <c r="C44" i="1"/>
  <c r="D44" i="1"/>
  <c r="B44" i="1"/>
  <c r="C31" i="1"/>
  <c r="D31" i="1"/>
  <c r="C32" i="1"/>
  <c r="B32" i="1"/>
  <c r="B31" i="1"/>
  <c r="C34" i="1"/>
  <c r="D34" i="1"/>
  <c r="C35" i="1"/>
  <c r="D35" i="1"/>
  <c r="B35" i="1"/>
  <c r="B34" i="1"/>
  <c r="C41" i="1"/>
  <c r="D41" i="1"/>
  <c r="B41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0" i="1"/>
  <c r="B30" i="1"/>
  <c r="C29" i="1"/>
  <c r="D29" i="1"/>
  <c r="B29" i="1"/>
  <c r="C28" i="1"/>
  <c r="B28" i="1"/>
  <c r="C27" i="1"/>
  <c r="D27" i="1"/>
  <c r="B27" i="1"/>
  <c r="C26" i="1"/>
  <c r="B26" i="1"/>
  <c r="C23" i="1"/>
  <c r="D23" i="1"/>
  <c r="B23" i="1"/>
  <c r="D188" i="1"/>
  <c r="C188" i="1"/>
  <c r="B188" i="1"/>
  <c r="C195" i="1"/>
  <c r="D195" i="1"/>
  <c r="B195" i="1"/>
  <c r="C197" i="1"/>
  <c r="D197" i="1"/>
  <c r="C198" i="1"/>
  <c r="D198" i="1"/>
  <c r="B198" i="1"/>
  <c r="B197" i="1"/>
  <c r="C200" i="1"/>
  <c r="B200" i="1"/>
  <c r="C211" i="1"/>
  <c r="D211" i="1"/>
  <c r="B211" i="1"/>
  <c r="C215" i="1"/>
  <c r="D215" i="1"/>
  <c r="B215" i="1"/>
  <c r="C214" i="1"/>
  <c r="D214" i="1"/>
  <c r="B214" i="1"/>
  <c r="C213" i="1"/>
  <c r="D213" i="1"/>
  <c r="B213" i="1"/>
  <c r="C212" i="1"/>
  <c r="D212" i="1"/>
  <c r="B212" i="1"/>
  <c r="C216" i="1"/>
  <c r="D216" i="1"/>
  <c r="B216" i="1"/>
  <c r="C217" i="1"/>
  <c r="D217" i="1"/>
  <c r="B217" i="1"/>
  <c r="C218" i="1"/>
  <c r="D218" i="1"/>
  <c r="B218" i="1"/>
  <c r="C219" i="1"/>
  <c r="B219" i="1"/>
  <c r="C220" i="1"/>
  <c r="B220" i="1"/>
  <c r="C230" i="1"/>
  <c r="B230" i="1"/>
  <c r="C236" i="1"/>
  <c r="D236" i="1"/>
  <c r="B236" i="1"/>
  <c r="C237" i="1"/>
  <c r="B237" i="1"/>
  <c r="C245" i="1"/>
  <c r="D245" i="1"/>
  <c r="B245" i="1"/>
  <c r="C246" i="1"/>
  <c r="B246" i="1"/>
  <c r="C247" i="1"/>
  <c r="D247" i="1"/>
  <c r="B247" i="1"/>
  <c r="C249" i="1"/>
  <c r="B249" i="1"/>
  <c r="C248" i="1"/>
  <c r="B248" i="1"/>
  <c r="C251" i="1"/>
  <c r="B251" i="1"/>
  <c r="C256" i="1"/>
  <c r="B256" i="1"/>
  <c r="C273" i="1"/>
  <c r="D273" i="1"/>
  <c r="B273" i="1"/>
  <c r="C274" i="1"/>
  <c r="D274" i="1"/>
  <c r="B274" i="1"/>
  <c r="C275" i="1"/>
  <c r="D275" i="1"/>
  <c r="B275" i="1"/>
  <c r="C276" i="1"/>
  <c r="D276" i="1"/>
  <c r="B276" i="1"/>
  <c r="C277" i="1"/>
  <c r="D277" i="1"/>
  <c r="B277" i="1"/>
  <c r="C284" i="1"/>
  <c r="B284" i="1"/>
  <c r="C287" i="1"/>
  <c r="D287" i="1"/>
  <c r="B287" i="1"/>
  <c r="C288" i="1"/>
  <c r="D288" i="1"/>
  <c r="B288" i="1"/>
  <c r="C289" i="1"/>
  <c r="D289" i="1"/>
  <c r="C290" i="1"/>
  <c r="D290" i="1"/>
  <c r="B290" i="1"/>
  <c r="C283" i="1"/>
  <c r="B283" i="1"/>
  <c r="C272" i="1"/>
  <c r="B272" i="1"/>
  <c r="C269" i="1"/>
  <c r="B269" i="1"/>
  <c r="C262" i="1"/>
  <c r="B262" i="1"/>
  <c r="C244" i="1"/>
  <c r="B244" i="1"/>
  <c r="C240" i="1"/>
  <c r="B240" i="1"/>
  <c r="C209" i="1"/>
  <c r="B209" i="1"/>
  <c r="C193" i="1"/>
  <c r="B193" i="1"/>
  <c r="C186" i="1"/>
  <c r="B186" i="1"/>
  <c r="C151" i="1"/>
  <c r="B151" i="1"/>
  <c r="C121" i="1"/>
  <c r="B121" i="1"/>
  <c r="C74" i="1"/>
  <c r="B74" i="1"/>
  <c r="C21" i="1"/>
  <c r="B21" i="1"/>
  <c r="E68" i="3" l="1"/>
  <c r="E90" i="3" l="1"/>
  <c r="D68" i="3" l="1"/>
  <c r="I68" i="3"/>
  <c r="O68" i="3" l="1"/>
  <c r="D70" i="3" l="1"/>
  <c r="D67" i="3" l="1"/>
  <c r="I70" i="3"/>
  <c r="I69" i="3"/>
  <c r="O70" i="3"/>
  <c r="O69" i="3" l="1"/>
  <c r="I67" i="3"/>
  <c r="O67" i="3" l="1"/>
  <c r="I90" i="3"/>
  <c r="O90" i="3" l="1"/>
  <c r="I171" i="3"/>
  <c r="I150" i="3" s="1"/>
  <c r="D171" i="3"/>
  <c r="D150" i="3" s="1"/>
  <c r="O171" i="3" l="1"/>
  <c r="O150" i="3" s="1"/>
  <c r="D149" i="3" l="1"/>
  <c r="I155" i="3" l="1"/>
  <c r="I149" i="3" s="1"/>
  <c r="O155" i="3"/>
  <c r="O149" i="3" s="1"/>
</calcChain>
</file>

<file path=xl/sharedStrings.xml><?xml version="1.0" encoding="utf-8"?>
<sst xmlns="http://schemas.openxmlformats.org/spreadsheetml/2006/main" count="956" uniqueCount="586">
  <si>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</si>
  <si>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</si>
  <si>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</si>
  <si>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</si>
  <si>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</si>
  <si>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</si>
  <si>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</si>
  <si>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</si>
  <si>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</si>
  <si>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</si>
  <si>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</si>
  <si>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</si>
  <si>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</si>
  <si>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</si>
  <si>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</si>
  <si>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</si>
  <si>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</si>
  <si>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</si>
  <si>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</si>
  <si>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</si>
  <si>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</si>
  <si>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</si>
  <si>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</si>
  <si>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</si>
  <si>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</si>
  <si>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</si>
  <si>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</si>
  <si>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</si>
  <si>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</si>
  <si>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</si>
  <si>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</si>
  <si>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</si>
  <si>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</si>
  <si>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</si>
  <si>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</si>
  <si>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</si>
  <si>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</si>
  <si>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</si>
  <si>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</si>
  <si>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</si>
  <si>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</si>
  <si>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</si>
  <si>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</si>
  <si>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</si>
  <si>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</si>
  <si>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</si>
  <si>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</si>
  <si>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</si>
  <si>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</si>
  <si>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</si>
  <si>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</si>
  <si>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</si>
  <si>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</si>
  <si>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</si>
  <si>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</si>
  <si>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</si>
  <si>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</si>
  <si>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</si>
  <si>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</si>
  <si>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</si>
  <si>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</si>
  <si>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</si>
  <si>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</si>
  <si>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</si>
  <si>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</si>
  <si>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</si>
  <si>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</si>
  <si>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</si>
  <si>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</si>
  <si>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</si>
  <si>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</si>
  <si>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</si>
  <si>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</si>
  <si>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</si>
  <si>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</si>
  <si>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</si>
  <si>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</si>
  <si>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</si>
  <si>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</si>
  <si>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</si>
  <si>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</si>
  <si>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</si>
  <si>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</si>
  <si>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</si>
  <si>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</si>
  <si>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</si>
  <si>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</si>
  <si>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</si>
  <si>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</si>
  <si>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</si>
  <si>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</si>
  <si>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</si>
  <si>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</si>
  <si>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</si>
  <si>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</si>
  <si>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</si>
  <si>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</si>
  <si>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</si>
  <si>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</si>
  <si>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</si>
  <si>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</si>
  <si>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</si>
  <si>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</si>
  <si>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</si>
  <si>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</si>
  <si>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</si>
  <si>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</si>
  <si>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</si>
  <si>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</si>
  <si>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</si>
  <si>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</si>
  <si>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</si>
  <si>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</si>
  <si>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</si>
  <si>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</si>
  <si>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</si>
  <si>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</si>
  <si>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</si>
  <si>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</si>
  <si>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</si>
  <si>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</si>
  <si>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</si>
  <si>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</si>
  <si>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</si>
  <si>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</si>
  <si>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</si>
  <si>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</si>
  <si>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</si>
  <si>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</si>
  <si>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</si>
  <si>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</si>
  <si>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</si>
  <si>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</si>
  <si>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</si>
  <si>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</si>
  <si>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</si>
  <si>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</si>
  <si>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</si>
  <si>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</si>
  <si>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</si>
  <si>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</si>
  <si>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</si>
  <si>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</si>
  <si>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</si>
  <si>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</si>
  <si>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</si>
  <si>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</si>
  <si>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</si>
  <si>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</si>
  <si>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</si>
  <si>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</si>
  <si>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</si>
  <si>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</si>
  <si>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</si>
  <si>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</si>
  <si>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</si>
  <si>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</si>
  <si>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</si>
  <si>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</si>
  <si>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</si>
  <si>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</si>
  <si>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</si>
  <si>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</si>
  <si>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</si>
  <si>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</si>
  <si>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</si>
  <si>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</si>
  <si>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</si>
  <si>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</si>
  <si>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</si>
  <si>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</si>
  <si>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</si>
  <si>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</si>
  <si>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</si>
  <si>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</si>
  <si>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</si>
  <si>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</si>
  <si>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</si>
  <si>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</si>
  <si>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</si>
  <si>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</si>
  <si>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</si>
  <si>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</si>
  <si>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</si>
  <si>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</si>
  <si>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</si>
  <si>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</si>
  <si>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</si>
  <si>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</si>
  <si>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</si>
  <si>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</si>
  <si>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</si>
  <si>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</si>
  <si>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</si>
  <si>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</si>
  <si>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</si>
  <si>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</si>
  <si>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</si>
  <si>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</si>
  <si>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</si>
  <si>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</si>
  <si>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</si>
  <si>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</si>
  <si>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</si>
  <si>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</si>
  <si>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</si>
  <si>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</si>
  <si>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</si>
  <si>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</si>
  <si>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</si>
  <si>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</si>
  <si>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</si>
  <si>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</si>
  <si>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</si>
  <si>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</si>
  <si>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</si>
  <si>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</si>
  <si>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</si>
  <si>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</si>
  <si>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</si>
  <si>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</si>
  <si>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</si>
  <si>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</si>
  <si>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</si>
  <si>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</si>
  <si>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</si>
  <si>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</si>
  <si>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</si>
  <si>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</si>
  <si>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</si>
  <si>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</si>
  <si>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</si>
  <si>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</si>
  <si>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</si>
  <si>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</si>
  <si>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</si>
  <si>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</si>
  <si>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</si>
  <si>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</si>
  <si>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</si>
  <si>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</si>
  <si>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</si>
  <si>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</si>
  <si>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</si>
  <si>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</si>
  <si>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</si>
  <si>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</si>
  <si>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</si>
  <si>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</si>
  <si>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</si>
  <si>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</si>
  <si>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</si>
  <si>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</si>
  <si>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</si>
  <si>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</si>
  <si>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</si>
  <si>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</si>
  <si>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</si>
  <si>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</si>
  <si>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</si>
  <si>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</si>
  <si>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</si>
  <si>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</si>
  <si>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</si>
  <si>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</si>
  <si>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</si>
  <si>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</si>
  <si>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</si>
  <si>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</si>
  <si>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</si>
  <si>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</si>
  <si>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</si>
  <si>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</si>
  <si>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</si>
  <si>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</si>
  <si>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</si>
  <si>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</si>
  <si>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</si>
  <si>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</si>
  <si>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</si>
  <si>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</si>
  <si>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</si>
  <si>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</si>
  <si>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</si>
  <si>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</si>
  <si>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</si>
  <si>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</si>
  <si>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</si>
  <si>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</si>
  <si>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</si>
  <si>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</si>
  <si>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</si>
  <si>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</si>
  <si>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</si>
  <si>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</si>
  <si>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</si>
  <si>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</si>
  <si>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</si>
  <si>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</si>
  <si>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</si>
  <si>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</si>
  <si>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</si>
  <si>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</si>
  <si>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</si>
  <si>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</si>
  <si>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</si>
  <si>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</si>
  <si>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</si>
  <si>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</si>
  <si>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</si>
  <si>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</si>
  <si>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</si>
  <si>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</si>
  <si>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</si>
  <si>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</si>
  <si>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</si>
  <si>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</si>
  <si>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</si>
  <si>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</si>
  <si>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</si>
  <si>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</si>
  <si>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</si>
  <si>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</si>
  <si>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</si>
  <si>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</si>
  <si>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</si>
  <si>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</si>
  <si>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</si>
  <si>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</si>
  <si>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</si>
  <si>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</si>
  <si>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</si>
  <si>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</si>
  <si>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</si>
  <si>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</si>
  <si>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</si>
  <si>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</si>
  <si>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</si>
  <si>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</si>
  <si>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</si>
  <si>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</si>
  <si>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</si>
  <si>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</si>
  <si>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</si>
  <si>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</si>
  <si>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</si>
  <si>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</si>
  <si>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</si>
  <si>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</si>
  <si>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</si>
  <si>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</si>
  <si>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</si>
  <si>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</si>
  <si>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</si>
  <si>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</si>
  <si>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</si>
  <si>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</si>
  <si>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</si>
  <si>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</si>
  <si>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</si>
  <si>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</si>
  <si>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</si>
  <si>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</si>
  <si>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</si>
  <si>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</si>
  <si>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</si>
  <si>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</si>
  <si>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</si>
  <si>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</si>
  <si>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</si>
  <si>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</si>
  <si>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</si>
  <si>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</si>
  <si>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</si>
  <si>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</si>
  <si>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</si>
  <si>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</si>
  <si>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</si>
  <si>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</si>
  <si>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</si>
  <si>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</si>
  <si>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</si>
  <si>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</si>
  <si>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</si>
  <si>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</si>
  <si>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</si>
  <si>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</si>
  <si>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</si>
  <si>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</si>
  <si>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</si>
  <si>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</si>
  <si>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</si>
  <si>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</si>
  <si>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</si>
  <si>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</si>
  <si>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</si>
  <si>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</si>
  <si>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</si>
  <si>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</si>
  <si>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</si>
  <si>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</si>
  <si>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</si>
  <si>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</si>
  <si>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</si>
  <si>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</si>
  <si>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</si>
  <si>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</si>
  <si>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</si>
  <si>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</si>
  <si>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</si>
  <si>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</si>
  <si>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</si>
  <si>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</si>
  <si>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</si>
  <si>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</si>
  <si>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</si>
  <si>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</si>
  <si>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</si>
  <si>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</si>
  <si>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</si>
  <si>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</si>
  <si>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</si>
  <si>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</si>
  <si>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</si>
  <si>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</si>
  <si>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</si>
  <si>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</si>
  <si>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</si>
  <si>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</si>
  <si>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</si>
  <si>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</si>
  <si>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</si>
  <si>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</si>
  <si>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</si>
  <si>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</si>
  <si>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</si>
  <si>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</si>
  <si>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</si>
  <si>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</si>
  <si>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</si>
  <si>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</si>
  <si>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</si>
  <si>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</si>
  <si>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</si>
  <si>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</si>
  <si>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</si>
  <si>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</si>
  <si>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</si>
  <si>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</si>
  <si>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</si>
  <si>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</si>
  <si>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</si>
  <si>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</si>
  <si>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РОЗПОДІЛ
видатків бюджету Сумської міської територіальної громади на 2021 рік за головними розпорядниками бюджетних коштів </t>
  </si>
  <si>
    <t>РОЗПОДІЛ
видатків бюджету Сумської міської територіальної громади на 2021 рік за програмною класифікацією видатків та кредитування місцевого бюджету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</si>
  <si>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</si>
  <si>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</si>
  <si>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</si>
  <si>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</si>
  <si>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</si>
  <si>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</si>
  <si>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</si>
  <si>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</si>
  <si>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</si>
  <si>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</si>
  <si>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</si>
  <si>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</si>
  <si>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</si>
  <si>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</si>
  <si>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</si>
  <si>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</si>
  <si>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</si>
  <si>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Будівництво та регіональний розвиток</t>
  </si>
  <si>
    <t>Транспорт та транспортна інфраструктура, дорожнє господарство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</si>
  <si>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</si>
  <si>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</si>
  <si>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</si>
  <si>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Сумський міський голова</t>
  </si>
  <si>
    <t>О.М. Лисенко</t>
  </si>
  <si>
    <t>Виконавець: Липова С.А.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</si>
  <si>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</si>
  <si>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</si>
  <si>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</si>
  <si>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</si>
  <si>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</si>
  <si>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</si>
  <si>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</si>
  <si>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</si>
  <si>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</si>
  <si>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</si>
  <si>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</si>
  <si>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</si>
  <si>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</si>
  <si>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</si>
  <si>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</si>
  <si>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</si>
  <si>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</si>
  <si>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</si>
  <si>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</si>
  <si>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</si>
  <si>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</si>
  <si>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</si>
  <si>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</si>
  <si>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</si>
  <si>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</si>
  <si>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</si>
  <si>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</si>
  <si>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</si>
  <si>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</si>
  <si>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</si>
  <si>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</si>
  <si>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</si>
  <si>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</si>
  <si>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</si>
  <si>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</si>
  <si>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</si>
  <si>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</si>
  <si>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</si>
  <si>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</si>
  <si>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</si>
  <si>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</si>
  <si>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</si>
  <si>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</si>
  <si>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</si>
  <si>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</si>
  <si>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</si>
  <si>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</si>
  <si>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</si>
  <si>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</si>
  <si>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r>
      <rPr>
        <sz val="18"/>
        <rFont val="Times New Roman"/>
        <family val="1"/>
        <charset val="204"/>
      </rPr>
      <t xml:space="preserve">       </t>
    </r>
    <r>
      <rPr>
        <u/>
        <sz val="18"/>
        <rFont val="Times New Roman"/>
        <family val="1"/>
        <charset val="204"/>
      </rPr>
      <t>18531000000</t>
    </r>
  </si>
  <si>
    <t xml:space="preserve">            (код бюджету)</t>
  </si>
  <si>
    <r>
      <rPr>
        <sz val="18"/>
        <rFont val="Times New Roman"/>
        <family val="1"/>
        <charset val="204"/>
      </rPr>
      <t xml:space="preserve">      </t>
    </r>
    <r>
      <rPr>
        <u/>
        <sz val="18"/>
        <rFont val="Times New Roman"/>
        <family val="1"/>
        <charset val="204"/>
      </rPr>
      <t>18531000000</t>
    </r>
  </si>
  <si>
    <t xml:space="preserve">          (код бюджету)</t>
  </si>
  <si>
    <t>«Про         внесення        змін        до          рішення</t>
  </si>
  <si>
    <t xml:space="preserve">Сумської  міської  ради  від  24  грудня  2020  року </t>
  </si>
  <si>
    <t>до         рішення      Сумської      міської          ради</t>
  </si>
  <si>
    <t>Заходи з організації рятування на водах, у т.ч. за рахунок:</t>
  </si>
  <si>
    <t>Інша діяльність, пов’язана з експлуатацією об’єктів житлово-комунального господарства, у т.ч. за рахунок:</t>
  </si>
  <si>
    <t>Виконавчий комітет Сумської міської ради, у т.ч. за рахунок:</t>
  </si>
  <si>
    <t xml:space="preserve">                               Додаток 3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</si>
  <si>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</si>
  <si>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</si>
  <si>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</si>
  <si>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</si>
  <si>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</si>
  <si>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</si>
  <si>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</si>
  <si>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</si>
  <si>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</si>
  <si>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</si>
  <si>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</si>
  <si>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</si>
  <si>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</si>
  <si>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</si>
  <si>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(зі змінами)»</t>
  </si>
  <si>
    <t xml:space="preserve">                               Додаток 8</t>
  </si>
  <si>
    <t>0611062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</si>
  <si>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</si>
  <si>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</si>
  <si>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</si>
  <si>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</si>
  <si>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</si>
  <si>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</si>
  <si>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</si>
  <si>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</si>
  <si>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</si>
  <si>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</si>
  <si>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</si>
  <si>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</si>
  <si>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</si>
  <si>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</si>
  <si>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</si>
  <si>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</si>
  <si>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</si>
  <si>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____________</t>
  </si>
  <si>
    <t>0617363</t>
  </si>
  <si>
    <t>субвенція з державного бюджету місцевим бюджнтам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</si>
  <si>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</si>
  <si>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1617370</t>
  </si>
  <si>
    <t>7370</t>
  </si>
  <si>
    <t>від     14     липня     2021     року    №   1356 -  МР</t>
  </si>
  <si>
    <t>територіальної      громади     на       2021         рік»</t>
  </si>
  <si>
    <t xml:space="preserve">№  62 - МР   «Про    бюджет    Сумської     міської </t>
  </si>
  <si>
    <t>територіальної       громади     на       2021        рік»</t>
  </si>
  <si>
    <t>«Про         внесення        змін        до         рішення</t>
  </si>
  <si>
    <t>від      14     липня     2021     року    № 1356 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</si>
</sst>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7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5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74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/>
    <xf numFmtId="3" fontId="37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39" fillId="0" borderId="0" xfId="0" applyNumberFormat="1" applyFont="1" applyFill="1" applyAlignment="1" applyProtection="1">
      <alignment vertical="center"/>
    </xf>
    <xf numFmtId="0" fontId="40" fillId="0" borderId="0" xfId="0" applyNumberFormat="1" applyFont="1" applyFill="1" applyAlignment="1" applyProtection="1">
      <alignment vertical="top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42" fillId="0" borderId="0" xfId="0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" fontId="44" fillId="0" borderId="7" xfId="0" applyNumberFormat="1" applyFont="1" applyFill="1" applyBorder="1" applyAlignment="1">
      <alignment horizontal="right" wrapText="1"/>
    </xf>
    <xf numFmtId="4" fontId="45" fillId="0" borderId="7" xfId="0" applyNumberFormat="1" applyFont="1" applyFill="1" applyBorder="1" applyAlignment="1">
      <alignment horizontal="right" wrapText="1"/>
    </xf>
    <xf numFmtId="4" fontId="46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7" fillId="0" borderId="7" xfId="0" applyNumberFormat="1" applyFont="1" applyFill="1" applyBorder="1" applyAlignment="1" applyProtection="1">
      <alignment horizontal="center" vertical="center" wrapText="1"/>
    </xf>
    <xf numFmtId="49" fontId="48" fillId="0" borderId="7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Alignment="1" applyProtection="1">
      <alignment vertical="center"/>
    </xf>
    <xf numFmtId="49" fontId="49" fillId="0" borderId="0" xfId="0" applyNumberFormat="1" applyFont="1" applyFill="1" applyAlignment="1" applyProtection="1"/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2" fillId="0" borderId="0" xfId="0" applyNumberFormat="1" applyFont="1" applyFill="1" applyAlignment="1">
      <alignment horizontal="left"/>
    </xf>
    <xf numFmtId="3" fontId="33" fillId="0" borderId="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/>
    <xf numFmtId="49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left" wrapText="1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wrapText="1"/>
    </xf>
    <xf numFmtId="0" fontId="28" fillId="0" borderId="0" xfId="0" applyFont="1" applyFill="1" applyBorder="1"/>
    <xf numFmtId="0" fontId="21" fillId="0" borderId="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42" fillId="0" borderId="0" xfId="0" applyNumberFormat="1" applyFont="1" applyFill="1" applyAlignment="1">
      <alignment horizontal="left"/>
    </xf>
    <xf numFmtId="0" fontId="42" fillId="0" borderId="0" xfId="0" applyFont="1" applyFill="1" applyAlignment="1"/>
    <xf numFmtId="0" fontId="21" fillId="0" borderId="0" xfId="0" applyFont="1" applyFill="1" applyAlignment="1">
      <alignment vertical="center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4" fontId="54" fillId="0" borderId="0" xfId="0" applyNumberFormat="1" applyFont="1" applyFill="1" applyBorder="1" applyAlignment="1">
      <alignment horizontal="right"/>
    </xf>
    <xf numFmtId="4" fontId="55" fillId="0" borderId="0" xfId="0" applyNumberFormat="1" applyFont="1" applyFill="1" applyBorder="1" applyAlignment="1">
      <alignment horizontal="right" wrapText="1"/>
    </xf>
    <xf numFmtId="3" fontId="55" fillId="0" borderId="0" xfId="0" applyNumberFormat="1" applyFont="1" applyFill="1" applyAlignment="1">
      <alignment vertical="center"/>
    </xf>
    <xf numFmtId="3" fontId="55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 applyProtection="1"/>
    <xf numFmtId="3" fontId="56" fillId="0" borderId="0" xfId="0" applyNumberFormat="1" applyFont="1" applyFill="1" applyBorder="1" applyAlignment="1">
      <alignment horizontal="center"/>
    </xf>
    <xf numFmtId="3" fontId="56" fillId="0" borderId="0" xfId="0" applyNumberFormat="1" applyFont="1" applyFill="1" applyBorder="1"/>
    <xf numFmtId="0" fontId="31" fillId="0" borderId="7" xfId="0" applyFont="1" applyFill="1" applyBorder="1" applyAlignment="1">
      <alignment vertical="center" wrapText="1"/>
    </xf>
    <xf numFmtId="4" fontId="21" fillId="0" borderId="7" xfId="0" applyNumberFormat="1" applyFont="1" applyFill="1" applyBorder="1"/>
    <xf numFmtId="49" fontId="28" fillId="0" borderId="0" xfId="0" applyNumberFormat="1" applyFont="1" applyFill="1" applyBorder="1" applyAlignment="1" applyProtection="1"/>
    <xf numFmtId="3" fontId="41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51" fillId="0" borderId="7" xfId="0" applyNumberFormat="1" applyFont="1" applyFill="1" applyBorder="1" applyAlignment="1" applyProtection="1">
      <alignment horizontal="center" vertical="center" wrapText="1"/>
    </xf>
    <xf numFmtId="3" fontId="52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42" fillId="0" borderId="0" xfId="0" applyNumberFormat="1" applyFont="1" applyFill="1" applyAlignment="1">
      <alignment horizontal="left"/>
    </xf>
    <xf numFmtId="0" fontId="42" fillId="0" borderId="0" xfId="0" applyFont="1" applyFill="1" applyAlignment="1"/>
    <xf numFmtId="0" fontId="43" fillId="0" borderId="0" xfId="0" applyNumberFormat="1" applyFont="1" applyFill="1" applyBorder="1" applyAlignment="1" applyProtection="1">
      <alignment horizontal="center" vertical="top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G1677"/>
  <sheetViews>
    <sheetView showGridLines="0" showZeros="0" view="pageBreakPreview" topLeftCell="A283" zoomScale="55" zoomScaleNormal="82" zoomScaleSheetLayoutView="55" workbookViewId="0">
      <selection activeCell="E291" sqref="E291:P291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2.83203125" style="47" customWidth="1"/>
    <col min="6" max="6" width="22.5" style="47" customWidth="1"/>
    <col min="7" max="7" width="23.83203125" style="47" customWidth="1"/>
    <col min="8" max="8" width="19.33203125" style="47" customWidth="1"/>
    <col min="9" max="9" width="19.6640625" style="47" customWidth="1"/>
    <col min="10" max="10" width="20.5" style="47" customWidth="1"/>
    <col min="11" max="11" width="22.5" style="47" customWidth="1"/>
    <col min="12" max="12" width="18.33203125" style="47" customWidth="1"/>
    <col min="13" max="13" width="19.5" style="47" customWidth="1"/>
    <col min="14" max="14" width="18" style="47" customWidth="1"/>
    <col min="15" max="15" width="21.1640625" style="47" customWidth="1"/>
    <col min="16" max="16" width="23" style="151" bestFit="1" customWidth="1"/>
    <col min="17" max="17" width="11.5" style="28" customWidth="1"/>
    <col min="18" max="18" width="10.5" style="28" customWidth="1"/>
    <col min="19" max="527" width="9.1640625" style="28"/>
    <col min="528" max="16384" width="9.1640625" style="20"/>
  </cols>
  <sheetData>
    <row r="1" spans="1:527" ht="26.25" customHeight="1" x14ac:dyDescent="0.4">
      <c r="K1" s="148" t="s">
        <v>539</v>
      </c>
      <c r="L1" s="148"/>
      <c r="M1" s="148"/>
      <c r="N1" s="148"/>
      <c r="O1" s="148"/>
      <c r="P1" s="148"/>
    </row>
    <row r="2" spans="1:527" ht="26.25" customHeight="1" x14ac:dyDescent="0.25">
      <c r="K2" s="96" t="s">
        <v>535</v>
      </c>
      <c r="L2" s="96"/>
      <c r="M2" s="96"/>
      <c r="N2" s="96"/>
      <c r="O2" s="96"/>
      <c r="P2" s="96"/>
    </row>
    <row r="3" spans="1:527" ht="26.25" customHeight="1" x14ac:dyDescent="0.4">
      <c r="K3" s="171" t="s">
        <v>533</v>
      </c>
      <c r="L3" s="171"/>
      <c r="M3" s="171"/>
      <c r="N3" s="171"/>
      <c r="O3" s="171"/>
      <c r="P3" s="171"/>
    </row>
    <row r="4" spans="1:527" ht="26.25" customHeight="1" x14ac:dyDescent="0.4">
      <c r="K4" s="171" t="s">
        <v>534</v>
      </c>
      <c r="L4" s="171"/>
      <c r="M4" s="171"/>
      <c r="N4" s="171"/>
      <c r="O4" s="171"/>
      <c r="P4" s="171"/>
    </row>
    <row r="5" spans="1:527" ht="26.25" customHeight="1" x14ac:dyDescent="0.4">
      <c r="K5" s="171" t="s">
        <v>582</v>
      </c>
      <c r="L5" s="171"/>
      <c r="M5" s="171"/>
      <c r="N5" s="171"/>
      <c r="O5" s="171"/>
      <c r="P5" s="171"/>
    </row>
    <row r="6" spans="1:527" ht="28.5" customHeight="1" x14ac:dyDescent="0.4">
      <c r="K6" s="171" t="s">
        <v>581</v>
      </c>
      <c r="L6" s="171"/>
      <c r="M6" s="171"/>
      <c r="N6" s="171"/>
      <c r="O6" s="171"/>
      <c r="P6" s="171"/>
    </row>
    <row r="7" spans="1:527" ht="28.5" customHeight="1" x14ac:dyDescent="0.4">
      <c r="K7" s="147" t="s">
        <v>554</v>
      </c>
      <c r="L7" s="147"/>
      <c r="M7" s="147"/>
      <c r="N7" s="147"/>
      <c r="O7" s="147"/>
      <c r="P7" s="147"/>
    </row>
    <row r="8" spans="1:527" ht="26.25" customHeight="1" x14ac:dyDescent="0.4">
      <c r="K8" s="171" t="s">
        <v>580</v>
      </c>
      <c r="L8" s="171"/>
      <c r="M8" s="171"/>
      <c r="N8" s="171"/>
      <c r="O8" s="171"/>
      <c r="P8" s="171"/>
    </row>
    <row r="9" spans="1:527" ht="26.25" x14ac:dyDescent="0.4">
      <c r="L9" s="63"/>
      <c r="M9" s="63"/>
      <c r="N9" s="63"/>
      <c r="O9" s="63"/>
      <c r="P9" s="63"/>
    </row>
    <row r="10" spans="1:527" s="44" customFormat="1" ht="71.25" customHeight="1" x14ac:dyDescent="0.3">
      <c r="A10" s="165" t="s">
        <v>453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</row>
    <row r="11" spans="1:527" s="44" customFormat="1" ht="23.25" customHeight="1" x14ac:dyDescent="0.35">
      <c r="A11" s="65"/>
      <c r="B11" s="65"/>
      <c r="C11" s="64"/>
      <c r="D11" s="64"/>
      <c r="E11" s="64"/>
      <c r="F11" s="64"/>
      <c r="G11" s="126" t="s">
        <v>531</v>
      </c>
      <c r="H11" s="64"/>
      <c r="I11" s="64"/>
      <c r="J11" s="64"/>
      <c r="K11" s="64"/>
      <c r="L11" s="64"/>
      <c r="M11" s="64"/>
      <c r="N11" s="64"/>
      <c r="O11" s="64"/>
      <c r="P11" s="64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</row>
    <row r="12" spans="1:527" s="44" customFormat="1" ht="19.5" customHeight="1" x14ac:dyDescent="0.3">
      <c r="A12" s="66"/>
      <c r="B12" s="66"/>
      <c r="C12" s="64"/>
      <c r="D12" s="64"/>
      <c r="E12" s="64"/>
      <c r="F12" s="64"/>
      <c r="G12" s="66" t="s">
        <v>532</v>
      </c>
      <c r="H12" s="64"/>
      <c r="I12" s="64"/>
      <c r="J12" s="64"/>
      <c r="K12" s="64"/>
      <c r="L12" s="64"/>
      <c r="M12" s="64"/>
      <c r="N12" s="64"/>
      <c r="O12" s="64"/>
      <c r="P12" s="64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</row>
    <row r="13" spans="1:527" s="46" customFormat="1" ht="14.25" customHeight="1" x14ac:dyDescent="0.3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34" t="s">
        <v>360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</row>
    <row r="14" spans="1:527" s="21" customFormat="1" ht="34.5" customHeight="1" x14ac:dyDescent="0.2">
      <c r="A14" s="166" t="s">
        <v>338</v>
      </c>
      <c r="B14" s="167" t="s">
        <v>339</v>
      </c>
      <c r="C14" s="167" t="s">
        <v>329</v>
      </c>
      <c r="D14" s="167" t="s">
        <v>340</v>
      </c>
      <c r="E14" s="169" t="s">
        <v>226</v>
      </c>
      <c r="F14" s="169"/>
      <c r="G14" s="169"/>
      <c r="H14" s="169"/>
      <c r="I14" s="169"/>
      <c r="J14" s="169" t="s">
        <v>227</v>
      </c>
      <c r="K14" s="169"/>
      <c r="L14" s="169"/>
      <c r="M14" s="169"/>
      <c r="N14" s="169"/>
      <c r="O14" s="169"/>
      <c r="P14" s="169" t="s">
        <v>228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</row>
    <row r="15" spans="1:527" s="21" customFormat="1" ht="19.5" customHeight="1" x14ac:dyDescent="0.2">
      <c r="A15" s="166"/>
      <c r="B15" s="167"/>
      <c r="C15" s="167"/>
      <c r="D15" s="167"/>
      <c r="E15" s="170" t="s">
        <v>330</v>
      </c>
      <c r="F15" s="170" t="s">
        <v>229</v>
      </c>
      <c r="G15" s="168" t="s">
        <v>230</v>
      </c>
      <c r="H15" s="168"/>
      <c r="I15" s="170" t="s">
        <v>231</v>
      </c>
      <c r="J15" s="170" t="s">
        <v>330</v>
      </c>
      <c r="K15" s="170" t="s">
        <v>331</v>
      </c>
      <c r="L15" s="170" t="s">
        <v>229</v>
      </c>
      <c r="M15" s="168" t="s">
        <v>230</v>
      </c>
      <c r="N15" s="168"/>
      <c r="O15" s="170" t="s">
        <v>231</v>
      </c>
      <c r="P15" s="16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</row>
    <row r="16" spans="1:527" s="21" customFormat="1" ht="62.25" customHeight="1" x14ac:dyDescent="0.2">
      <c r="A16" s="166"/>
      <c r="B16" s="167"/>
      <c r="C16" s="167"/>
      <c r="D16" s="167"/>
      <c r="E16" s="170"/>
      <c r="F16" s="170"/>
      <c r="G16" s="146" t="s">
        <v>232</v>
      </c>
      <c r="H16" s="146" t="s">
        <v>233</v>
      </c>
      <c r="I16" s="170"/>
      <c r="J16" s="170"/>
      <c r="K16" s="170"/>
      <c r="L16" s="170"/>
      <c r="M16" s="146" t="s">
        <v>232</v>
      </c>
      <c r="N16" s="146" t="s">
        <v>233</v>
      </c>
      <c r="O16" s="170"/>
      <c r="P16" s="16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</row>
    <row r="17" spans="1:527" s="27" customFormat="1" ht="24" customHeight="1" x14ac:dyDescent="0.25">
      <c r="A17" s="127" t="s">
        <v>151</v>
      </c>
      <c r="B17" s="128"/>
      <c r="C17" s="128"/>
      <c r="D17" s="129" t="s">
        <v>36</v>
      </c>
      <c r="E17" s="99">
        <f>E18</f>
        <v>241983244</v>
      </c>
      <c r="F17" s="99">
        <f t="shared" ref="F17:J17" si="0">F18</f>
        <v>192823748</v>
      </c>
      <c r="G17" s="99">
        <f t="shared" si="0"/>
        <v>107325600</v>
      </c>
      <c r="H17" s="99">
        <f t="shared" si="0"/>
        <v>4292954</v>
      </c>
      <c r="I17" s="99">
        <f t="shared" si="0"/>
        <v>49159496</v>
      </c>
      <c r="J17" s="99">
        <f t="shared" si="0"/>
        <v>36692547</v>
      </c>
      <c r="K17" s="99">
        <f t="shared" ref="K17" si="1">K18</f>
        <v>36169752</v>
      </c>
      <c r="L17" s="99">
        <f t="shared" ref="L17" si="2">L18</f>
        <v>522795</v>
      </c>
      <c r="M17" s="99">
        <f t="shared" ref="M17" si="3">M18</f>
        <v>119291</v>
      </c>
      <c r="N17" s="99">
        <f t="shared" ref="N17" si="4">N18</f>
        <v>51832</v>
      </c>
      <c r="O17" s="99">
        <f t="shared" ref="O17:P17" si="5">O18</f>
        <v>36169752</v>
      </c>
      <c r="P17" s="99">
        <f t="shared" si="5"/>
        <v>278675791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</row>
    <row r="18" spans="1:527" s="34" customFormat="1" ht="36" customHeight="1" x14ac:dyDescent="0.25">
      <c r="A18" s="100" t="s">
        <v>152</v>
      </c>
      <c r="B18" s="101"/>
      <c r="C18" s="101"/>
      <c r="D18" s="81" t="s">
        <v>538</v>
      </c>
      <c r="E18" s="102">
        <f>E21+E22+E23+E24+E26+E27+E28+E29+E30+E31+E32+E33+E34+E35+E36+E37+E38+E39+E40+E41+E42+E43+E44+E47+E48+E49+E50+E51+E52+E53+E54+E55+E57+E58+E59+E45+E46+E60</f>
        <v>241983244</v>
      </c>
      <c r="F18" s="102">
        <f t="shared" ref="F18:P18" si="6">F21+F22+F23+F24+F26+F27+F28+F29+F30+F31+F32+F33+F34+F35+F36+F37+F38+F39+F40+F41+F42+F43+F44+F47+F48+F49+F50+F51+F52+F53+F54+F55+F57+F58+F59+F45+F46+F60</f>
        <v>192823748</v>
      </c>
      <c r="G18" s="102">
        <f t="shared" si="6"/>
        <v>107325600</v>
      </c>
      <c r="H18" s="102">
        <f t="shared" si="6"/>
        <v>4292954</v>
      </c>
      <c r="I18" s="102">
        <f t="shared" si="6"/>
        <v>49159496</v>
      </c>
      <c r="J18" s="102">
        <f t="shared" si="6"/>
        <v>36692547</v>
      </c>
      <c r="K18" s="102">
        <f t="shared" si="6"/>
        <v>36169752</v>
      </c>
      <c r="L18" s="102">
        <f t="shared" si="6"/>
        <v>522795</v>
      </c>
      <c r="M18" s="102">
        <f t="shared" si="6"/>
        <v>119291</v>
      </c>
      <c r="N18" s="102">
        <f t="shared" si="6"/>
        <v>51832</v>
      </c>
      <c r="O18" s="102">
        <f t="shared" si="6"/>
        <v>36169752</v>
      </c>
      <c r="P18" s="102">
        <f t="shared" si="6"/>
        <v>278675791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</row>
    <row r="19" spans="1:527" s="34" customFormat="1" ht="63" x14ac:dyDescent="0.25">
      <c r="A19" s="100"/>
      <c r="B19" s="101"/>
      <c r="C19" s="101"/>
      <c r="D19" s="81" t="s">
        <v>384</v>
      </c>
      <c r="E19" s="102">
        <f>E56</f>
        <v>588815</v>
      </c>
      <c r="F19" s="102">
        <f t="shared" ref="F19:P19" si="7">F56</f>
        <v>588815</v>
      </c>
      <c r="G19" s="102">
        <f t="shared" si="7"/>
        <v>482635</v>
      </c>
      <c r="H19" s="102">
        <f t="shared" si="7"/>
        <v>0</v>
      </c>
      <c r="I19" s="102">
        <f t="shared" si="7"/>
        <v>0</v>
      </c>
      <c r="J19" s="102">
        <f t="shared" si="7"/>
        <v>0</v>
      </c>
      <c r="K19" s="102">
        <f t="shared" si="7"/>
        <v>0</v>
      </c>
      <c r="L19" s="102">
        <f t="shared" si="7"/>
        <v>0</v>
      </c>
      <c r="M19" s="102">
        <f t="shared" si="7"/>
        <v>0</v>
      </c>
      <c r="N19" s="102">
        <f t="shared" si="7"/>
        <v>0</v>
      </c>
      <c r="O19" s="102">
        <f t="shared" si="7"/>
        <v>0</v>
      </c>
      <c r="P19" s="102">
        <f t="shared" si="7"/>
        <v>588815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</row>
    <row r="20" spans="1:527" s="34" customFormat="1" ht="63" hidden="1" customHeight="1" x14ac:dyDescent="0.25">
      <c r="A20" s="100"/>
      <c r="B20" s="101"/>
      <c r="C20" s="101"/>
      <c r="D20" s="81" t="str">
        <f>'дод 8'!C23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0" s="102">
        <f>E25</f>
        <v>0</v>
      </c>
      <c r="F20" s="102">
        <f t="shared" ref="F20:P20" si="8">F25</f>
        <v>0</v>
      </c>
      <c r="G20" s="102">
        <f t="shared" si="8"/>
        <v>0</v>
      </c>
      <c r="H20" s="102">
        <f t="shared" si="8"/>
        <v>0</v>
      </c>
      <c r="I20" s="102">
        <f t="shared" si="8"/>
        <v>0</v>
      </c>
      <c r="J20" s="102">
        <f t="shared" si="8"/>
        <v>0</v>
      </c>
      <c r="K20" s="102">
        <f t="shared" si="8"/>
        <v>0</v>
      </c>
      <c r="L20" s="102">
        <f t="shared" si="8"/>
        <v>0</v>
      </c>
      <c r="M20" s="102">
        <f t="shared" si="8"/>
        <v>0</v>
      </c>
      <c r="N20" s="102">
        <f t="shared" si="8"/>
        <v>0</v>
      </c>
      <c r="O20" s="102">
        <f t="shared" si="8"/>
        <v>0</v>
      </c>
      <c r="P20" s="102">
        <f t="shared" si="8"/>
        <v>0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</row>
    <row r="21" spans="1:527" s="22" customFormat="1" ht="48" customHeight="1" x14ac:dyDescent="0.25">
      <c r="A21" s="60" t="s">
        <v>153</v>
      </c>
      <c r="B21" s="97" t="str">
        <f>'дод 8'!A19</f>
        <v>0160</v>
      </c>
      <c r="C21" s="97" t="str">
        <f>'дод 8'!B19</f>
        <v>0111</v>
      </c>
      <c r="D21" s="36" t="s">
        <v>504</v>
      </c>
      <c r="E21" s="103">
        <f t="shared" ref="E21:E60" si="9">F21+I21</f>
        <v>112399809</v>
      </c>
      <c r="F21" s="103">
        <f>112079700+60000+150000+47576+62533</f>
        <v>112399809</v>
      </c>
      <c r="G21" s="103">
        <v>82201100</v>
      </c>
      <c r="H21" s="103">
        <f>2287700+47576+62533</f>
        <v>2397809</v>
      </c>
      <c r="I21" s="103"/>
      <c r="J21" s="103">
        <f>L21+O21</f>
        <v>0</v>
      </c>
      <c r="K21" s="103">
        <f>150000-150000</f>
        <v>0</v>
      </c>
      <c r="L21" s="103"/>
      <c r="M21" s="103"/>
      <c r="N21" s="103"/>
      <c r="O21" s="103">
        <f>150000-150000</f>
        <v>0</v>
      </c>
      <c r="P21" s="103">
        <f t="shared" ref="P21:P60" si="10">E21+J21</f>
        <v>112399809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</row>
    <row r="22" spans="1:527" s="22" customFormat="1" ht="35.25" customHeight="1" x14ac:dyDescent="0.25">
      <c r="A22" s="60" t="s">
        <v>456</v>
      </c>
      <c r="B22" s="60" t="s">
        <v>92</v>
      </c>
      <c r="C22" s="60" t="s">
        <v>466</v>
      </c>
      <c r="D22" s="36" t="s">
        <v>457</v>
      </c>
      <c r="E22" s="103">
        <f t="shared" si="9"/>
        <v>200000</v>
      </c>
      <c r="F22" s="103">
        <v>200000</v>
      </c>
      <c r="G22" s="103"/>
      <c r="H22" s="103"/>
      <c r="I22" s="103"/>
      <c r="J22" s="103">
        <f>L22+O22</f>
        <v>0</v>
      </c>
      <c r="K22" s="103"/>
      <c r="L22" s="103"/>
      <c r="M22" s="103"/>
      <c r="N22" s="103"/>
      <c r="O22" s="103"/>
      <c r="P22" s="103">
        <f t="shared" si="10"/>
        <v>200000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</row>
    <row r="23" spans="1:527" s="22" customFormat="1" ht="28.5" customHeight="1" x14ac:dyDescent="0.25">
      <c r="A23" s="60" t="s">
        <v>243</v>
      </c>
      <c r="B23" s="97" t="str">
        <f>'дод 8'!A21</f>
        <v>0180</v>
      </c>
      <c r="C23" s="97" t="str">
        <f>'дод 8'!B21</f>
        <v>0133</v>
      </c>
      <c r="D23" s="61" t="str">
        <f>'дод 8'!C21</f>
        <v>Інша діяльність у сфері державного управління</v>
      </c>
      <c r="E23" s="103">
        <f t="shared" si="9"/>
        <v>396000</v>
      </c>
      <c r="F23" s="103">
        <v>396000</v>
      </c>
      <c r="G23" s="103"/>
      <c r="H23" s="103"/>
      <c r="I23" s="103"/>
      <c r="J23" s="103">
        <f t="shared" ref="J23:J25" si="11">L23+O23</f>
        <v>0</v>
      </c>
      <c r="K23" s="103"/>
      <c r="L23" s="103"/>
      <c r="M23" s="103"/>
      <c r="N23" s="103"/>
      <c r="O23" s="103"/>
      <c r="P23" s="103">
        <f t="shared" si="10"/>
        <v>396000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</row>
    <row r="24" spans="1:527" s="22" customFormat="1" ht="15.75" hidden="1" customHeight="1" x14ac:dyDescent="0.25">
      <c r="A24" s="60" t="s">
        <v>437</v>
      </c>
      <c r="B24" s="60" t="s">
        <v>438</v>
      </c>
      <c r="C24" s="60" t="s">
        <v>121</v>
      </c>
      <c r="D24" s="61" t="s">
        <v>439</v>
      </c>
      <c r="E24" s="103">
        <f t="shared" si="9"/>
        <v>0</v>
      </c>
      <c r="F24" s="103"/>
      <c r="G24" s="103"/>
      <c r="H24" s="103"/>
      <c r="I24" s="103"/>
      <c r="J24" s="103">
        <f t="shared" si="11"/>
        <v>0</v>
      </c>
      <c r="K24" s="103"/>
      <c r="L24" s="103"/>
      <c r="M24" s="103"/>
      <c r="N24" s="103"/>
      <c r="O24" s="103"/>
      <c r="P24" s="103">
        <f t="shared" si="10"/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</row>
    <row r="25" spans="1:527" s="24" customFormat="1" ht="60" hidden="1" customHeight="1" x14ac:dyDescent="0.25">
      <c r="A25" s="88"/>
      <c r="B25" s="104"/>
      <c r="C25" s="104"/>
      <c r="D25" s="91" t="str">
        <f>'дод 8'!C23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5" s="105">
        <f t="shared" si="9"/>
        <v>0</v>
      </c>
      <c r="F25" s="105"/>
      <c r="G25" s="105"/>
      <c r="H25" s="105"/>
      <c r="I25" s="105"/>
      <c r="J25" s="105">
        <f t="shared" si="11"/>
        <v>0</v>
      </c>
      <c r="K25" s="105"/>
      <c r="L25" s="105"/>
      <c r="M25" s="105"/>
      <c r="N25" s="105"/>
      <c r="O25" s="105"/>
      <c r="P25" s="105">
        <f t="shared" si="10"/>
        <v>0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</row>
    <row r="26" spans="1:527" s="22" customFormat="1" ht="46.5" customHeight="1" x14ac:dyDescent="0.25">
      <c r="A26" s="60" t="s">
        <v>259</v>
      </c>
      <c r="B26" s="97" t="str">
        <f>'дод 8'!A93</f>
        <v>3033</v>
      </c>
      <c r="C26" s="97" t="str">
        <f>'дод 8'!B93</f>
        <v>1070</v>
      </c>
      <c r="D26" s="61" t="s">
        <v>413</v>
      </c>
      <c r="E26" s="103">
        <f t="shared" si="9"/>
        <v>270000</v>
      </c>
      <c r="F26" s="103">
        <v>270000</v>
      </c>
      <c r="G26" s="103"/>
      <c r="H26" s="103"/>
      <c r="I26" s="103"/>
      <c r="J26" s="103">
        <f t="shared" ref="J26:J60" si="12">L26+O26</f>
        <v>0</v>
      </c>
      <c r="K26" s="103"/>
      <c r="L26" s="103"/>
      <c r="M26" s="103"/>
      <c r="N26" s="103"/>
      <c r="O26" s="103"/>
      <c r="P26" s="103">
        <f t="shared" si="10"/>
        <v>270000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</row>
    <row r="27" spans="1:527" s="22" customFormat="1" ht="31.5" customHeight="1" x14ac:dyDescent="0.25">
      <c r="A27" s="60" t="s">
        <v>154</v>
      </c>
      <c r="B27" s="97" t="str">
        <f>'дод 8'!A96</f>
        <v>3036</v>
      </c>
      <c r="C27" s="97" t="str">
        <f>'дод 8'!B96</f>
        <v>1070</v>
      </c>
      <c r="D27" s="61" t="str">
        <f>'дод 8'!C96</f>
        <v>Компенсаційні виплати на пільговий проїзд електротранспортом окремим категоріям громадян</v>
      </c>
      <c r="E27" s="103">
        <f t="shared" si="9"/>
        <v>426500</v>
      </c>
      <c r="F27" s="103">
        <v>426500</v>
      </c>
      <c r="G27" s="103"/>
      <c r="H27" s="103"/>
      <c r="I27" s="103"/>
      <c r="J27" s="103">
        <f t="shared" si="12"/>
        <v>0</v>
      </c>
      <c r="K27" s="103"/>
      <c r="L27" s="103"/>
      <c r="M27" s="103"/>
      <c r="N27" s="103"/>
      <c r="O27" s="103"/>
      <c r="P27" s="103">
        <f t="shared" si="10"/>
        <v>426500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</row>
    <row r="28" spans="1:527" s="22" customFormat="1" ht="36" customHeight="1" x14ac:dyDescent="0.25">
      <c r="A28" s="60" t="s">
        <v>155</v>
      </c>
      <c r="B28" s="97" t="str">
        <f>'дод 8'!A104</f>
        <v>3121</v>
      </c>
      <c r="C28" s="97" t="str">
        <f>'дод 8'!B104</f>
        <v>1040</v>
      </c>
      <c r="D28" s="61" t="s">
        <v>511</v>
      </c>
      <c r="E28" s="103">
        <f t="shared" si="9"/>
        <v>3206400</v>
      </c>
      <c r="F28" s="103">
        <v>3206400</v>
      </c>
      <c r="G28" s="103">
        <v>2407050</v>
      </c>
      <c r="H28" s="103">
        <v>39590</v>
      </c>
      <c r="I28" s="103"/>
      <c r="J28" s="103">
        <f t="shared" si="12"/>
        <v>0</v>
      </c>
      <c r="K28" s="103"/>
      <c r="L28" s="103"/>
      <c r="M28" s="103"/>
      <c r="N28" s="103"/>
      <c r="O28" s="103"/>
      <c r="P28" s="103">
        <f t="shared" si="10"/>
        <v>3206400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</row>
    <row r="29" spans="1:527" s="22" customFormat="1" ht="48.75" customHeight="1" x14ac:dyDescent="0.25">
      <c r="A29" s="60" t="s">
        <v>156</v>
      </c>
      <c r="B29" s="97" t="str">
        <f>'дод 8'!A105</f>
        <v>3131</v>
      </c>
      <c r="C29" s="97" t="str">
        <f>'дод 8'!B105</f>
        <v>1040</v>
      </c>
      <c r="D29" s="61" t="str">
        <f>'дод 8'!C105</f>
        <v>Здійснення заходів та реалізація проектів на виконання Державної цільової соціальної програми "Молодь України"</v>
      </c>
      <c r="E29" s="103">
        <f t="shared" si="9"/>
        <v>684300</v>
      </c>
      <c r="F29" s="103">
        <v>684300</v>
      </c>
      <c r="G29" s="103"/>
      <c r="H29" s="103"/>
      <c r="I29" s="103"/>
      <c r="J29" s="103">
        <f t="shared" si="12"/>
        <v>0</v>
      </c>
      <c r="K29" s="103"/>
      <c r="L29" s="103"/>
      <c r="M29" s="103"/>
      <c r="N29" s="103"/>
      <c r="O29" s="103"/>
      <c r="P29" s="103">
        <f t="shared" si="10"/>
        <v>684300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</row>
    <row r="30" spans="1:527" s="22" customFormat="1" ht="78.75" x14ac:dyDescent="0.25">
      <c r="A30" s="60" t="s">
        <v>157</v>
      </c>
      <c r="B30" s="97" t="str">
        <f>'дод 8'!A106</f>
        <v>3140</v>
      </c>
      <c r="C30" s="97" t="str">
        <f>'дод 8'!B106</f>
        <v>1040</v>
      </c>
      <c r="D30" s="61" t="s">
        <v>20</v>
      </c>
      <c r="E30" s="103">
        <f t="shared" si="9"/>
        <v>280000</v>
      </c>
      <c r="F30" s="103">
        <v>280000</v>
      </c>
      <c r="G30" s="103"/>
      <c r="H30" s="103"/>
      <c r="I30" s="103"/>
      <c r="J30" s="103">
        <f t="shared" si="12"/>
        <v>0</v>
      </c>
      <c r="K30" s="103"/>
      <c r="L30" s="103"/>
      <c r="M30" s="103"/>
      <c r="N30" s="103"/>
      <c r="O30" s="103"/>
      <c r="P30" s="103">
        <f t="shared" si="10"/>
        <v>280000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</row>
    <row r="31" spans="1:527" s="22" customFormat="1" ht="32.25" customHeight="1" x14ac:dyDescent="0.25">
      <c r="A31" s="60" t="s">
        <v>307</v>
      </c>
      <c r="B31" s="97" t="str">
        <f>'дод 8'!A121</f>
        <v>3241</v>
      </c>
      <c r="C31" s="97" t="str">
        <f>'дод 8'!B121</f>
        <v>1090</v>
      </c>
      <c r="D31" s="61" t="str">
        <f>'дод 8'!C121</f>
        <v>Забезпечення діяльності інших закладів у сфері соціального захисту і соціального забезпечення</v>
      </c>
      <c r="E31" s="103">
        <f t="shared" si="9"/>
        <v>1518300</v>
      </c>
      <c r="F31" s="103">
        <v>1518300</v>
      </c>
      <c r="G31" s="103">
        <v>1078950</v>
      </c>
      <c r="H31" s="103">
        <v>96540</v>
      </c>
      <c r="I31" s="103"/>
      <c r="J31" s="103">
        <f t="shared" si="12"/>
        <v>0</v>
      </c>
      <c r="K31" s="103"/>
      <c r="L31" s="103"/>
      <c r="M31" s="103"/>
      <c r="N31" s="103"/>
      <c r="O31" s="103"/>
      <c r="P31" s="103">
        <f t="shared" si="10"/>
        <v>1518300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</row>
    <row r="32" spans="1:527" s="22" customFormat="1" ht="33.75" customHeight="1" x14ac:dyDescent="0.25">
      <c r="A32" s="60" t="s">
        <v>308</v>
      </c>
      <c r="B32" s="97" t="str">
        <f>'дод 8'!A122</f>
        <v>3242</v>
      </c>
      <c r="C32" s="97" t="str">
        <f>'дод 8'!B122</f>
        <v>1090</v>
      </c>
      <c r="D32" s="61" t="s">
        <v>414</v>
      </c>
      <c r="E32" s="103">
        <f t="shared" si="9"/>
        <v>257400</v>
      </c>
      <c r="F32" s="103">
        <v>257400</v>
      </c>
      <c r="G32" s="103"/>
      <c r="H32" s="103"/>
      <c r="I32" s="103"/>
      <c r="J32" s="103">
        <f t="shared" si="12"/>
        <v>0</v>
      </c>
      <c r="K32" s="103"/>
      <c r="L32" s="103"/>
      <c r="M32" s="103"/>
      <c r="N32" s="103"/>
      <c r="O32" s="103"/>
      <c r="P32" s="103">
        <f t="shared" si="10"/>
        <v>257400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</row>
    <row r="33" spans="1:527" s="22" customFormat="1" ht="39.75" customHeight="1" x14ac:dyDescent="0.25">
      <c r="A33" s="60" t="s">
        <v>320</v>
      </c>
      <c r="B33" s="97" t="str">
        <f>'дод 8'!A126</f>
        <v>4060</v>
      </c>
      <c r="C33" s="97" t="str">
        <f>'дод 8'!B126</f>
        <v>0828</v>
      </c>
      <c r="D33" s="61" t="str">
        <f>'дод 8'!C126</f>
        <v>Забезпечення діяльності палаців i будинків культури, клубів, центрів дозвілля та iнших клубних закладів</v>
      </c>
      <c r="E33" s="103">
        <f t="shared" si="9"/>
        <v>4523500</v>
      </c>
      <c r="F33" s="106">
        <f>4330600+30000+64900+98000</f>
        <v>4523500</v>
      </c>
      <c r="G33" s="103">
        <v>2526200</v>
      </c>
      <c r="H33" s="103">
        <f>452700+30000</f>
        <v>482700</v>
      </c>
      <c r="I33" s="103"/>
      <c r="J33" s="103">
        <f t="shared" si="12"/>
        <v>100000</v>
      </c>
      <c r="K33" s="103">
        <v>100000</v>
      </c>
      <c r="L33" s="103"/>
      <c r="M33" s="103"/>
      <c r="N33" s="103"/>
      <c r="O33" s="103">
        <v>100000</v>
      </c>
      <c r="P33" s="103">
        <f t="shared" si="10"/>
        <v>4623500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</row>
    <row r="34" spans="1:527" s="22" customFormat="1" ht="30.75" customHeight="1" x14ac:dyDescent="0.25">
      <c r="A34" s="60" t="s">
        <v>305</v>
      </c>
      <c r="B34" s="97" t="str">
        <f>'дод 8'!A127</f>
        <v>4081</v>
      </c>
      <c r="C34" s="97" t="str">
        <f>'дод 8'!B127</f>
        <v>0829</v>
      </c>
      <c r="D34" s="61" t="str">
        <f>'дод 8'!C127</f>
        <v>Забезпечення діяльності інших закладів в галузі культури і мистецтва</v>
      </c>
      <c r="E34" s="103">
        <f t="shared" si="9"/>
        <v>2779300</v>
      </c>
      <c r="F34" s="103">
        <f>2708200+3000+68100</f>
        <v>2779300</v>
      </c>
      <c r="G34" s="103">
        <v>1687000</v>
      </c>
      <c r="H34" s="103">
        <v>72500</v>
      </c>
      <c r="I34" s="103"/>
      <c r="J34" s="103">
        <f t="shared" si="12"/>
        <v>65000</v>
      </c>
      <c r="K34" s="103">
        <v>65000</v>
      </c>
      <c r="L34" s="103"/>
      <c r="M34" s="103"/>
      <c r="N34" s="103"/>
      <c r="O34" s="103">
        <v>65000</v>
      </c>
      <c r="P34" s="103">
        <f t="shared" si="10"/>
        <v>2844300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</row>
    <row r="35" spans="1:527" s="22" customFormat="1" ht="25.5" customHeight="1" x14ac:dyDescent="0.25">
      <c r="A35" s="60" t="s">
        <v>306</v>
      </c>
      <c r="B35" s="97" t="str">
        <f>'дод 8'!A128</f>
        <v>4082</v>
      </c>
      <c r="C35" s="97" t="str">
        <f>'дод 8'!B128</f>
        <v>0829</v>
      </c>
      <c r="D35" s="61" t="str">
        <f>'дод 8'!C128</f>
        <v>Інші заходи в галузі культури і мистецтва</v>
      </c>
      <c r="E35" s="103">
        <f t="shared" si="9"/>
        <v>355081</v>
      </c>
      <c r="F35" s="103">
        <v>355081</v>
      </c>
      <c r="G35" s="103"/>
      <c r="H35" s="103"/>
      <c r="I35" s="103"/>
      <c r="J35" s="103">
        <f t="shared" si="12"/>
        <v>0</v>
      </c>
      <c r="K35" s="103"/>
      <c r="L35" s="103"/>
      <c r="M35" s="103"/>
      <c r="N35" s="103"/>
      <c r="O35" s="103"/>
      <c r="P35" s="103">
        <f t="shared" si="10"/>
        <v>355081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</row>
    <row r="36" spans="1:527" s="22" customFormat="1" ht="36.75" customHeight="1" x14ac:dyDescent="0.25">
      <c r="A36" s="107" t="s">
        <v>158</v>
      </c>
      <c r="B36" s="42" t="str">
        <f>'дод 8'!A130</f>
        <v>5011</v>
      </c>
      <c r="C36" s="42" t="str">
        <f>'дод 8'!B130</f>
        <v>0810</v>
      </c>
      <c r="D36" s="36" t="str">
        <f>'дод 8'!C130</f>
        <v>Проведення навчально-тренувальних зборів і змагань з олімпійських видів спорту</v>
      </c>
      <c r="E36" s="103">
        <f t="shared" si="9"/>
        <v>650000</v>
      </c>
      <c r="F36" s="103">
        <f>600000+30000+20000</f>
        <v>650000</v>
      </c>
      <c r="G36" s="103"/>
      <c r="H36" s="103"/>
      <c r="I36" s="103"/>
      <c r="J36" s="103">
        <f t="shared" si="12"/>
        <v>0</v>
      </c>
      <c r="K36" s="103"/>
      <c r="L36" s="103"/>
      <c r="M36" s="103"/>
      <c r="N36" s="103"/>
      <c r="O36" s="103"/>
      <c r="P36" s="103">
        <f t="shared" si="10"/>
        <v>650000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</row>
    <row r="37" spans="1:527" s="22" customFormat="1" ht="34.5" customHeight="1" x14ac:dyDescent="0.25">
      <c r="A37" s="107" t="s">
        <v>159</v>
      </c>
      <c r="B37" s="42" t="str">
        <f>'дод 8'!A131</f>
        <v>5012</v>
      </c>
      <c r="C37" s="42" t="str">
        <f>'дод 8'!B131</f>
        <v>0810</v>
      </c>
      <c r="D37" s="36" t="str">
        <f>'дод 8'!C131</f>
        <v>Проведення навчально-тренувальних зборів і змагань з неолімпійських видів спорту</v>
      </c>
      <c r="E37" s="103">
        <f t="shared" si="9"/>
        <v>893000</v>
      </c>
      <c r="F37" s="103">
        <f>600000+32000-20000+184000+37000+10000+50000</f>
        <v>893000</v>
      </c>
      <c r="G37" s="103"/>
      <c r="H37" s="103"/>
      <c r="I37" s="103"/>
      <c r="J37" s="103">
        <f t="shared" si="12"/>
        <v>0</v>
      </c>
      <c r="K37" s="103"/>
      <c r="L37" s="103"/>
      <c r="M37" s="103"/>
      <c r="N37" s="103"/>
      <c r="O37" s="103"/>
      <c r="P37" s="103">
        <f t="shared" si="10"/>
        <v>893000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</row>
    <row r="38" spans="1:527" s="22" customFormat="1" ht="39" customHeight="1" x14ac:dyDescent="0.25">
      <c r="A38" s="107" t="s">
        <v>160</v>
      </c>
      <c r="B38" s="42" t="str">
        <f>'дод 8'!A132</f>
        <v>5031</v>
      </c>
      <c r="C38" s="42" t="str">
        <f>'дод 8'!B132</f>
        <v>0810</v>
      </c>
      <c r="D38" s="36" t="str">
        <f>'дод 8'!C132</f>
        <v>Утримання та навчально-тренувальна робота комунальних дитячо-юнацьких спортивних шкіл</v>
      </c>
      <c r="E38" s="103">
        <f t="shared" si="9"/>
        <v>17032500</v>
      </c>
      <c r="F38" s="103">
        <f>16311200+198300+253000+110000+130000+20000+10000</f>
        <v>17032500</v>
      </c>
      <c r="G38" s="103">
        <v>12531000</v>
      </c>
      <c r="H38" s="103">
        <v>634200</v>
      </c>
      <c r="I38" s="103"/>
      <c r="J38" s="103">
        <f t="shared" si="12"/>
        <v>200700</v>
      </c>
      <c r="K38" s="103">
        <f>110700+90000</f>
        <v>200700</v>
      </c>
      <c r="L38" s="103"/>
      <c r="M38" s="103"/>
      <c r="N38" s="103"/>
      <c r="O38" s="103">
        <f>110700+90000</f>
        <v>200700</v>
      </c>
      <c r="P38" s="103">
        <f t="shared" si="10"/>
        <v>17233200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</row>
    <row r="39" spans="1:527" s="22" customFormat="1" ht="33.75" customHeight="1" x14ac:dyDescent="0.25">
      <c r="A39" s="107" t="s">
        <v>359</v>
      </c>
      <c r="B39" s="42" t="str">
        <f>'дод 8'!A133</f>
        <v>5032</v>
      </c>
      <c r="C39" s="42" t="str">
        <f>'дод 8'!B133</f>
        <v>0810</v>
      </c>
      <c r="D39" s="36" t="str">
        <f>'дод 8'!C133</f>
        <v>Фінансова підтримка дитячо-юнацьких спортивних шкіл фізкультурно-спортивних товариств</v>
      </c>
      <c r="E39" s="103">
        <f t="shared" si="9"/>
        <v>14406600</v>
      </c>
      <c r="F39" s="103">
        <f>13627800+140000+183000+115000+95000+90000+101200+10000+10000+34600</f>
        <v>14406600</v>
      </c>
      <c r="G39" s="103"/>
      <c r="H39" s="103"/>
      <c r="I39" s="103"/>
      <c r="J39" s="103">
        <f t="shared" si="12"/>
        <v>372100</v>
      </c>
      <c r="K39" s="103">
        <f>215000+30700+66000+60400</f>
        <v>372100</v>
      </c>
      <c r="L39" s="103"/>
      <c r="M39" s="103"/>
      <c r="N39" s="103"/>
      <c r="O39" s="103">
        <f>215000+30700+66000+60400</f>
        <v>372100</v>
      </c>
      <c r="P39" s="103">
        <f t="shared" si="10"/>
        <v>14778700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</row>
    <row r="40" spans="1:527" s="22" customFormat="1" ht="63" x14ac:dyDescent="0.25">
      <c r="A40" s="107" t="s">
        <v>161</v>
      </c>
      <c r="B40" s="42" t="str">
        <f>'дод 8'!A134</f>
        <v>5061</v>
      </c>
      <c r="C40" s="42" t="str">
        <f>'дод 8'!B134</f>
        <v>0810</v>
      </c>
      <c r="D40" s="36" t="str">
        <f>'дод 8'!C134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103">
        <f t="shared" si="9"/>
        <v>4919100</v>
      </c>
      <c r="F40" s="103">
        <f>4794100+70000+25000+30000</f>
        <v>4919100</v>
      </c>
      <c r="G40" s="103">
        <v>2987400</v>
      </c>
      <c r="H40" s="103">
        <f>288100+2155</f>
        <v>290255</v>
      </c>
      <c r="I40" s="103"/>
      <c r="J40" s="103">
        <f t="shared" si="12"/>
        <v>1742994</v>
      </c>
      <c r="K40" s="103">
        <f>1530000+30000-30000</f>
        <v>1530000</v>
      </c>
      <c r="L40" s="103">
        <v>212994</v>
      </c>
      <c r="M40" s="103">
        <v>119291</v>
      </c>
      <c r="N40" s="103">
        <v>50432</v>
      </c>
      <c r="O40" s="103">
        <f>1530000+30000-30000</f>
        <v>1530000</v>
      </c>
      <c r="P40" s="103">
        <f t="shared" si="10"/>
        <v>6662094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</row>
    <row r="41" spans="1:527" s="22" customFormat="1" ht="47.25" x14ac:dyDescent="0.25">
      <c r="A41" s="107" t="s">
        <v>351</v>
      </c>
      <c r="B41" s="42" t="str">
        <f>'дод 8'!A135</f>
        <v>5062</v>
      </c>
      <c r="C41" s="42" t="str">
        <f>'дод 8'!B135</f>
        <v>0810</v>
      </c>
      <c r="D41" s="36" t="str">
        <f>'дод 8'!C135</f>
        <v>Підтримка спорту вищих досягнень та організацій, які здійснюють фізкультурно-спортивну діяльність в регіоні</v>
      </c>
      <c r="E41" s="103">
        <f t="shared" si="9"/>
        <v>12742300</v>
      </c>
      <c r="F41" s="103">
        <f>11230300+136000+76000+1300000</f>
        <v>12742300</v>
      </c>
      <c r="G41" s="103"/>
      <c r="H41" s="103"/>
      <c r="I41" s="103"/>
      <c r="J41" s="103">
        <f t="shared" si="12"/>
        <v>0</v>
      </c>
      <c r="K41" s="103"/>
      <c r="L41" s="103"/>
      <c r="M41" s="103"/>
      <c r="N41" s="103"/>
      <c r="O41" s="103"/>
      <c r="P41" s="103">
        <f t="shared" si="10"/>
        <v>12742300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</row>
    <row r="42" spans="1:527" s="22" customFormat="1" ht="39" customHeight="1" x14ac:dyDescent="0.25">
      <c r="A42" s="107" t="s">
        <v>416</v>
      </c>
      <c r="B42" s="42">
        <v>7325</v>
      </c>
      <c r="C42" s="77" t="s">
        <v>113</v>
      </c>
      <c r="D42" s="6" t="s">
        <v>567</v>
      </c>
      <c r="E42" s="103">
        <f t="shared" si="9"/>
        <v>0</v>
      </c>
      <c r="F42" s="103"/>
      <c r="G42" s="103"/>
      <c r="H42" s="103"/>
      <c r="I42" s="103"/>
      <c r="J42" s="103">
        <f t="shared" si="12"/>
        <v>9790000</v>
      </c>
      <c r="K42" s="103">
        <v>9790000</v>
      </c>
      <c r="L42" s="103"/>
      <c r="M42" s="103"/>
      <c r="N42" s="103"/>
      <c r="O42" s="103">
        <v>9790000</v>
      </c>
      <c r="P42" s="103">
        <f t="shared" si="10"/>
        <v>9790000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</row>
    <row r="43" spans="1:527" s="22" customFormat="1" ht="18.75" x14ac:dyDescent="0.25">
      <c r="A43" s="107" t="s">
        <v>417</v>
      </c>
      <c r="B43" s="42">
        <v>7330</v>
      </c>
      <c r="C43" s="77" t="s">
        <v>113</v>
      </c>
      <c r="D43" s="6" t="s">
        <v>568</v>
      </c>
      <c r="E43" s="103">
        <f t="shared" si="9"/>
        <v>0</v>
      </c>
      <c r="F43" s="103"/>
      <c r="G43" s="103"/>
      <c r="H43" s="103"/>
      <c r="I43" s="103"/>
      <c r="J43" s="103">
        <f t="shared" si="12"/>
        <v>400000</v>
      </c>
      <c r="K43" s="103">
        <v>400000</v>
      </c>
      <c r="L43" s="103"/>
      <c r="M43" s="103"/>
      <c r="N43" s="103"/>
      <c r="O43" s="103">
        <v>400000</v>
      </c>
      <c r="P43" s="103">
        <f t="shared" si="10"/>
        <v>400000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</row>
    <row r="44" spans="1:527" s="22" customFormat="1" ht="31.5" x14ac:dyDescent="0.25">
      <c r="A44" s="107" t="s">
        <v>162</v>
      </c>
      <c r="B44" s="42" t="str">
        <f>'дод 8'!A173</f>
        <v>7412</v>
      </c>
      <c r="C44" s="42" t="str">
        <f>'дод 8'!B173</f>
        <v>0451</v>
      </c>
      <c r="D44" s="36" t="str">
        <f>'дод 8'!C173</f>
        <v>Регулювання цін на послуги місцевого автотранспорту</v>
      </c>
      <c r="E44" s="103">
        <f t="shared" si="9"/>
        <v>7417200</v>
      </c>
      <c r="F44" s="103"/>
      <c r="G44" s="103"/>
      <c r="H44" s="103"/>
      <c r="I44" s="103">
        <v>7417200</v>
      </c>
      <c r="J44" s="103">
        <f t="shared" si="12"/>
        <v>0</v>
      </c>
      <c r="K44" s="103"/>
      <c r="L44" s="103"/>
      <c r="M44" s="103"/>
      <c r="N44" s="103"/>
      <c r="O44" s="103"/>
      <c r="P44" s="103">
        <f t="shared" si="10"/>
        <v>7417200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</row>
    <row r="45" spans="1:527" s="22" customFormat="1" ht="24" customHeight="1" x14ac:dyDescent="0.25">
      <c r="A45" s="107" t="s">
        <v>379</v>
      </c>
      <c r="B45" s="42">
        <f>'дод 8'!A174</f>
        <v>7413</v>
      </c>
      <c r="C45" s="42" t="str">
        <f>'дод 8'!B174</f>
        <v>0451</v>
      </c>
      <c r="D45" s="108" t="str">
        <f>'дод 8'!C174</f>
        <v>Інші заходи у сфері автотранспорту</v>
      </c>
      <c r="E45" s="103">
        <f t="shared" si="9"/>
        <v>11000000</v>
      </c>
      <c r="F45" s="103"/>
      <c r="G45" s="103"/>
      <c r="H45" s="103"/>
      <c r="I45" s="103">
        <v>11000000</v>
      </c>
      <c r="J45" s="103">
        <f t="shared" si="12"/>
        <v>0</v>
      </c>
      <c r="K45" s="103"/>
      <c r="L45" s="103"/>
      <c r="M45" s="103"/>
      <c r="N45" s="103"/>
      <c r="O45" s="103"/>
      <c r="P45" s="103">
        <f t="shared" si="10"/>
        <v>11000000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</row>
    <row r="46" spans="1:527" s="22" customFormat="1" ht="24" customHeight="1" x14ac:dyDescent="0.25">
      <c r="A46" s="107" t="s">
        <v>380</v>
      </c>
      <c r="B46" s="42">
        <f>'дод 8'!A175</f>
        <v>7426</v>
      </c>
      <c r="C46" s="107" t="s">
        <v>415</v>
      </c>
      <c r="D46" s="108" t="str">
        <f>'дод 8'!C175</f>
        <v>Інші заходи у сфері електротранспорту</v>
      </c>
      <c r="E46" s="103">
        <f t="shared" si="9"/>
        <v>30742296</v>
      </c>
      <c r="F46" s="103"/>
      <c r="G46" s="103"/>
      <c r="H46" s="103"/>
      <c r="I46" s="103">
        <v>30742296</v>
      </c>
      <c r="J46" s="103">
        <f t="shared" si="12"/>
        <v>0</v>
      </c>
      <c r="K46" s="103"/>
      <c r="L46" s="103"/>
      <c r="M46" s="103"/>
      <c r="N46" s="103"/>
      <c r="O46" s="103"/>
      <c r="P46" s="103">
        <f t="shared" si="10"/>
        <v>30742296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</row>
    <row r="47" spans="1:527" s="22" customFormat="1" ht="24" customHeight="1" x14ac:dyDescent="0.25">
      <c r="A47" s="107" t="s">
        <v>458</v>
      </c>
      <c r="B47" s="107" t="s">
        <v>459</v>
      </c>
      <c r="C47" s="107" t="s">
        <v>402</v>
      </c>
      <c r="D47" s="108" t="s">
        <v>465</v>
      </c>
      <c r="E47" s="103">
        <f t="shared" si="9"/>
        <v>2725480</v>
      </c>
      <c r="F47" s="103">
        <v>2725480</v>
      </c>
      <c r="G47" s="103"/>
      <c r="H47" s="103"/>
      <c r="I47" s="103"/>
      <c r="J47" s="103">
        <f t="shared" si="12"/>
        <v>0</v>
      </c>
      <c r="K47" s="103"/>
      <c r="L47" s="103"/>
      <c r="M47" s="103"/>
      <c r="N47" s="103"/>
      <c r="O47" s="103"/>
      <c r="P47" s="103">
        <f t="shared" si="10"/>
        <v>2725480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</row>
    <row r="48" spans="1:527" s="22" customFormat="1" ht="30.75" customHeight="1" x14ac:dyDescent="0.25">
      <c r="A48" s="107" t="s">
        <v>235</v>
      </c>
      <c r="B48" s="42" t="str">
        <f>'дод 8'!A183</f>
        <v>7530</v>
      </c>
      <c r="C48" s="42" t="str">
        <f>'дод 8'!B183</f>
        <v>0460</v>
      </c>
      <c r="D48" s="36" t="s">
        <v>236</v>
      </c>
      <c r="E48" s="103">
        <f t="shared" si="9"/>
        <v>7250000</v>
      </c>
      <c r="F48" s="103">
        <f>10400000-3150000</f>
        <v>7250000</v>
      </c>
      <c r="G48" s="103"/>
      <c r="H48" s="103"/>
      <c r="I48" s="103"/>
      <c r="J48" s="103">
        <f t="shared" si="12"/>
        <v>3150000</v>
      </c>
      <c r="K48" s="103">
        <v>3150000</v>
      </c>
      <c r="L48" s="103"/>
      <c r="M48" s="103"/>
      <c r="N48" s="103"/>
      <c r="O48" s="103">
        <v>3150000</v>
      </c>
      <c r="P48" s="103">
        <f t="shared" si="10"/>
        <v>10400000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</row>
    <row r="49" spans="1:527" s="22" customFormat="1" ht="31.5" customHeight="1" x14ac:dyDescent="0.25">
      <c r="A49" s="107" t="s">
        <v>163</v>
      </c>
      <c r="B49" s="42" t="str">
        <f>'дод 8'!A186</f>
        <v>7610</v>
      </c>
      <c r="C49" s="42" t="str">
        <f>'дод 8'!B186</f>
        <v>0411</v>
      </c>
      <c r="D49" s="36" t="str">
        <f>'дод 8'!C186</f>
        <v>Сприяння розвитку малого та середнього підприємництва</v>
      </c>
      <c r="E49" s="103">
        <f t="shared" si="9"/>
        <v>60000</v>
      </c>
      <c r="F49" s="103">
        <v>60000</v>
      </c>
      <c r="G49" s="103"/>
      <c r="H49" s="103"/>
      <c r="I49" s="103"/>
      <c r="J49" s="103">
        <f t="shared" si="12"/>
        <v>0</v>
      </c>
      <c r="K49" s="103"/>
      <c r="L49" s="103"/>
      <c r="M49" s="103"/>
      <c r="N49" s="103"/>
      <c r="O49" s="103"/>
      <c r="P49" s="103">
        <f t="shared" si="10"/>
        <v>60000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</row>
    <row r="50" spans="1:527" s="22" customFormat="1" ht="33.75" customHeight="1" x14ac:dyDescent="0.25">
      <c r="A50" s="107" t="s">
        <v>164</v>
      </c>
      <c r="B50" s="42" t="str">
        <f>'дод 8'!A191</f>
        <v>7670</v>
      </c>
      <c r="C50" s="42" t="str">
        <f>'дод 8'!B191</f>
        <v>0490</v>
      </c>
      <c r="D50" s="36" t="s">
        <v>25</v>
      </c>
      <c r="E50" s="103">
        <f t="shared" si="9"/>
        <v>0</v>
      </c>
      <c r="F50" s="103"/>
      <c r="G50" s="103"/>
      <c r="H50" s="103"/>
      <c r="I50" s="103"/>
      <c r="J50" s="103">
        <f t="shared" si="12"/>
        <v>18997900</v>
      </c>
      <c r="K50" s="103">
        <v>18997900</v>
      </c>
      <c r="L50" s="103"/>
      <c r="M50" s="103"/>
      <c r="N50" s="103"/>
      <c r="O50" s="103">
        <v>18997900</v>
      </c>
      <c r="P50" s="103">
        <f t="shared" si="10"/>
        <v>18997900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</row>
    <row r="51" spans="1:527" s="22" customFormat="1" ht="36.75" customHeight="1" x14ac:dyDescent="0.25">
      <c r="A51" s="107" t="s">
        <v>249</v>
      </c>
      <c r="B51" s="42" t="str">
        <f>'дод 8'!A193</f>
        <v>7680</v>
      </c>
      <c r="C51" s="42" t="str">
        <f>'дод 8'!B193</f>
        <v>0490</v>
      </c>
      <c r="D51" s="36" t="str">
        <f>'дод 8'!C193</f>
        <v>Членські внески до асоціацій органів місцевого самоврядування</v>
      </c>
      <c r="E51" s="103">
        <f t="shared" si="9"/>
        <v>356337</v>
      </c>
      <c r="F51" s="103">
        <v>356337</v>
      </c>
      <c r="G51" s="103"/>
      <c r="H51" s="103"/>
      <c r="I51" s="103"/>
      <c r="J51" s="103">
        <f t="shared" si="12"/>
        <v>0</v>
      </c>
      <c r="K51" s="103"/>
      <c r="L51" s="103"/>
      <c r="M51" s="103"/>
      <c r="N51" s="103"/>
      <c r="O51" s="103"/>
      <c r="P51" s="103">
        <f t="shared" si="10"/>
        <v>356337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</row>
    <row r="52" spans="1:527" s="22" customFormat="1" ht="120.75" customHeight="1" x14ac:dyDescent="0.25">
      <c r="A52" s="107" t="s">
        <v>303</v>
      </c>
      <c r="B52" s="42" t="str">
        <f>'дод 8'!A194</f>
        <v>7691</v>
      </c>
      <c r="C52" s="42" t="str">
        <f>'дод 8'!B194</f>
        <v>0490</v>
      </c>
      <c r="D52" s="36" t="str">
        <f>'дод 8'!C194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2" s="103">
        <f t="shared" si="9"/>
        <v>0</v>
      </c>
      <c r="F52" s="103"/>
      <c r="G52" s="103"/>
      <c r="H52" s="103"/>
      <c r="I52" s="103"/>
      <c r="J52" s="103">
        <f t="shared" si="12"/>
        <v>54101</v>
      </c>
      <c r="K52" s="103"/>
      <c r="L52" s="103">
        <v>54101</v>
      </c>
      <c r="M52" s="103"/>
      <c r="N52" s="103"/>
      <c r="O52" s="103"/>
      <c r="P52" s="103">
        <f t="shared" si="10"/>
        <v>54101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</row>
    <row r="53" spans="1:527" s="22" customFormat="1" ht="23.25" customHeight="1" x14ac:dyDescent="0.25">
      <c r="A53" s="107" t="s">
        <v>242</v>
      </c>
      <c r="B53" s="42" t="str">
        <f>'дод 8'!A195</f>
        <v>7693</v>
      </c>
      <c r="C53" s="42" t="str">
        <f>'дод 8'!B195</f>
        <v>0490</v>
      </c>
      <c r="D53" s="36" t="str">
        <f>'дод 8'!C195</f>
        <v>Інші заходи, пов'язані з економічною діяльністю</v>
      </c>
      <c r="E53" s="103">
        <f t="shared" si="9"/>
        <v>1129332</v>
      </c>
      <c r="F53" s="103">
        <v>1129332</v>
      </c>
      <c r="G53" s="103"/>
      <c r="H53" s="103"/>
      <c r="I53" s="103"/>
      <c r="J53" s="103">
        <f t="shared" si="12"/>
        <v>0</v>
      </c>
      <c r="K53" s="103"/>
      <c r="L53" s="103"/>
      <c r="M53" s="103"/>
      <c r="N53" s="103"/>
      <c r="O53" s="103"/>
      <c r="P53" s="103">
        <f t="shared" si="10"/>
        <v>1129332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</row>
    <row r="54" spans="1:527" s="22" customFormat="1" ht="34.5" customHeight="1" x14ac:dyDescent="0.25">
      <c r="A54" s="107" t="s">
        <v>165</v>
      </c>
      <c r="B54" s="42" t="str">
        <f>'дод 8'!A202</f>
        <v>8110</v>
      </c>
      <c r="C54" s="42" t="str">
        <f>'дод 8'!B202</f>
        <v>0320</v>
      </c>
      <c r="D54" s="36" t="str">
        <f>'дод 8'!C202</f>
        <v>Заходи із запобігання та ліквідації надзвичайних ситуацій та наслідків стихійного лиха</v>
      </c>
      <c r="E54" s="103">
        <f t="shared" si="9"/>
        <v>251700</v>
      </c>
      <c r="F54" s="103">
        <v>251700</v>
      </c>
      <c r="G54" s="103"/>
      <c r="H54" s="103">
        <v>6500</v>
      </c>
      <c r="I54" s="103"/>
      <c r="J54" s="103">
        <f t="shared" si="12"/>
        <v>1430052</v>
      </c>
      <c r="K54" s="103">
        <v>1430052</v>
      </c>
      <c r="L54" s="103"/>
      <c r="M54" s="103"/>
      <c r="N54" s="103"/>
      <c r="O54" s="103">
        <v>1430052</v>
      </c>
      <c r="P54" s="103">
        <f t="shared" si="10"/>
        <v>1681752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</row>
    <row r="55" spans="1:527" s="22" customFormat="1" ht="30.75" customHeight="1" x14ac:dyDescent="0.25">
      <c r="A55" s="107" t="s">
        <v>225</v>
      </c>
      <c r="B55" s="42" t="str">
        <f>'дод 8'!A203</f>
        <v>8120</v>
      </c>
      <c r="C55" s="42" t="str">
        <f>'дод 8'!B203</f>
        <v>0320</v>
      </c>
      <c r="D55" s="36" t="str">
        <f>'дод 8'!C203</f>
        <v>Заходи з організації рятування на водах, у т.ч. за рахунок:</v>
      </c>
      <c r="E55" s="103">
        <f t="shared" si="9"/>
        <v>2454660</v>
      </c>
      <c r="F55" s="103">
        <v>2454660</v>
      </c>
      <c r="G55" s="103">
        <f>1906900</f>
        <v>1906900</v>
      </c>
      <c r="H55" s="103">
        <v>79260</v>
      </c>
      <c r="I55" s="103"/>
      <c r="J55" s="103">
        <f t="shared" si="12"/>
        <v>5700</v>
      </c>
      <c r="K55" s="103"/>
      <c r="L55" s="103">
        <v>5700</v>
      </c>
      <c r="M55" s="103"/>
      <c r="N55" s="103">
        <v>1400</v>
      </c>
      <c r="O55" s="103"/>
      <c r="P55" s="103">
        <f t="shared" si="10"/>
        <v>2460360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</row>
    <row r="56" spans="1:527" s="24" customFormat="1" ht="63" x14ac:dyDescent="0.25">
      <c r="A56" s="109"/>
      <c r="B56" s="92"/>
      <c r="C56" s="92"/>
      <c r="D56" s="91" t="str">
        <f>'дод 8'!C204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6" s="105">
        <f t="shared" si="9"/>
        <v>588815</v>
      </c>
      <c r="F56" s="105">
        <f>359315+30260+81980+117260</f>
        <v>588815</v>
      </c>
      <c r="G56" s="105">
        <f>294520+24805+67195+96115</f>
        <v>482635</v>
      </c>
      <c r="H56" s="105"/>
      <c r="I56" s="105"/>
      <c r="J56" s="105">
        <f t="shared" si="12"/>
        <v>0</v>
      </c>
      <c r="K56" s="105"/>
      <c r="L56" s="105"/>
      <c r="M56" s="105"/>
      <c r="N56" s="105"/>
      <c r="O56" s="105"/>
      <c r="P56" s="105">
        <f t="shared" si="10"/>
        <v>588815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  <c r="IY56" s="30"/>
      <c r="IZ56" s="30"/>
      <c r="JA56" s="30"/>
      <c r="JB56" s="30"/>
      <c r="JC56" s="30"/>
      <c r="JD56" s="30"/>
      <c r="JE56" s="30"/>
      <c r="JF56" s="30"/>
      <c r="JG56" s="30"/>
      <c r="JH56" s="30"/>
      <c r="JI56" s="30"/>
      <c r="JJ56" s="30"/>
      <c r="JK56" s="30"/>
      <c r="JL56" s="30"/>
      <c r="JM56" s="30"/>
      <c r="JN56" s="30"/>
      <c r="JO56" s="30"/>
      <c r="JP56" s="30"/>
      <c r="JQ56" s="30"/>
      <c r="JR56" s="30"/>
      <c r="JS56" s="30"/>
      <c r="JT56" s="30"/>
      <c r="JU56" s="30"/>
      <c r="JV56" s="30"/>
      <c r="JW56" s="30"/>
      <c r="JX56" s="30"/>
      <c r="JY56" s="30"/>
      <c r="JZ56" s="30"/>
      <c r="KA56" s="30"/>
      <c r="KB56" s="30"/>
      <c r="KC56" s="30"/>
      <c r="KD56" s="30"/>
      <c r="KE56" s="30"/>
      <c r="KF56" s="30"/>
      <c r="KG56" s="30"/>
      <c r="KH56" s="30"/>
      <c r="KI56" s="30"/>
      <c r="KJ56" s="30"/>
      <c r="KK56" s="30"/>
      <c r="KL56" s="30"/>
      <c r="KM56" s="30"/>
      <c r="KN56" s="30"/>
      <c r="KO56" s="30"/>
      <c r="KP56" s="30"/>
      <c r="KQ56" s="30"/>
      <c r="KR56" s="30"/>
      <c r="KS56" s="30"/>
      <c r="KT56" s="30"/>
      <c r="KU56" s="30"/>
      <c r="KV56" s="30"/>
      <c r="KW56" s="30"/>
      <c r="KX56" s="30"/>
      <c r="KY56" s="30"/>
      <c r="KZ56" s="30"/>
      <c r="LA56" s="30"/>
      <c r="LB56" s="30"/>
      <c r="LC56" s="30"/>
      <c r="LD56" s="30"/>
      <c r="LE56" s="30"/>
      <c r="LF56" s="30"/>
      <c r="LG56" s="30"/>
      <c r="LH56" s="30"/>
      <c r="LI56" s="30"/>
      <c r="LJ56" s="30"/>
      <c r="LK56" s="30"/>
      <c r="LL56" s="30"/>
      <c r="LM56" s="30"/>
      <c r="LN56" s="30"/>
      <c r="LO56" s="30"/>
      <c r="LP56" s="30"/>
      <c r="LQ56" s="30"/>
      <c r="LR56" s="30"/>
      <c r="LS56" s="30"/>
      <c r="LT56" s="30"/>
      <c r="LU56" s="30"/>
      <c r="LV56" s="30"/>
      <c r="LW56" s="30"/>
      <c r="LX56" s="30"/>
      <c r="LY56" s="30"/>
      <c r="LZ56" s="30"/>
      <c r="MA56" s="30"/>
      <c r="MB56" s="30"/>
      <c r="MC56" s="30"/>
      <c r="MD56" s="30"/>
      <c r="ME56" s="30"/>
      <c r="MF56" s="30"/>
      <c r="MG56" s="30"/>
      <c r="MH56" s="30"/>
      <c r="MI56" s="30"/>
      <c r="MJ56" s="30"/>
      <c r="MK56" s="30"/>
      <c r="ML56" s="30"/>
      <c r="MM56" s="30"/>
      <c r="MN56" s="30"/>
      <c r="MO56" s="30"/>
      <c r="MP56" s="30"/>
      <c r="MQ56" s="30"/>
      <c r="MR56" s="30"/>
      <c r="MS56" s="30"/>
      <c r="MT56" s="30"/>
      <c r="MU56" s="30"/>
      <c r="MV56" s="30"/>
      <c r="MW56" s="30"/>
      <c r="MX56" s="30"/>
      <c r="MY56" s="30"/>
      <c r="MZ56" s="30"/>
      <c r="NA56" s="30"/>
      <c r="NB56" s="30"/>
      <c r="NC56" s="30"/>
      <c r="ND56" s="30"/>
      <c r="NE56" s="30"/>
      <c r="NF56" s="30"/>
      <c r="NG56" s="30"/>
      <c r="NH56" s="30"/>
      <c r="NI56" s="30"/>
      <c r="NJ56" s="30"/>
      <c r="NK56" s="30"/>
      <c r="NL56" s="30"/>
      <c r="NM56" s="30"/>
      <c r="NN56" s="30"/>
      <c r="NO56" s="30"/>
      <c r="NP56" s="30"/>
      <c r="NQ56" s="30"/>
      <c r="NR56" s="30"/>
      <c r="NS56" s="30"/>
      <c r="NT56" s="30"/>
      <c r="NU56" s="30"/>
      <c r="NV56" s="30"/>
      <c r="NW56" s="30"/>
      <c r="NX56" s="30"/>
      <c r="NY56" s="30"/>
      <c r="NZ56" s="30"/>
      <c r="OA56" s="30"/>
      <c r="OB56" s="30"/>
      <c r="OC56" s="30"/>
      <c r="OD56" s="30"/>
      <c r="OE56" s="30"/>
      <c r="OF56" s="30"/>
      <c r="OG56" s="30"/>
      <c r="OH56" s="30"/>
      <c r="OI56" s="30"/>
      <c r="OJ56" s="30"/>
      <c r="OK56" s="30"/>
      <c r="OL56" s="30"/>
      <c r="OM56" s="30"/>
      <c r="ON56" s="30"/>
      <c r="OO56" s="30"/>
      <c r="OP56" s="30"/>
      <c r="OQ56" s="30"/>
      <c r="OR56" s="30"/>
      <c r="OS56" s="30"/>
      <c r="OT56" s="30"/>
      <c r="OU56" s="30"/>
      <c r="OV56" s="30"/>
      <c r="OW56" s="30"/>
      <c r="OX56" s="30"/>
      <c r="OY56" s="30"/>
      <c r="OZ56" s="30"/>
      <c r="PA56" s="30"/>
      <c r="PB56" s="30"/>
      <c r="PC56" s="30"/>
      <c r="PD56" s="30"/>
      <c r="PE56" s="30"/>
      <c r="PF56" s="30"/>
      <c r="PG56" s="30"/>
      <c r="PH56" s="30"/>
      <c r="PI56" s="30"/>
      <c r="PJ56" s="30"/>
      <c r="PK56" s="30"/>
      <c r="PL56" s="30"/>
      <c r="PM56" s="30"/>
      <c r="PN56" s="30"/>
      <c r="PO56" s="30"/>
      <c r="PP56" s="30"/>
      <c r="PQ56" s="30"/>
      <c r="PR56" s="30"/>
      <c r="PS56" s="30"/>
      <c r="PT56" s="30"/>
      <c r="PU56" s="30"/>
      <c r="PV56" s="30"/>
      <c r="PW56" s="30"/>
      <c r="PX56" s="30"/>
      <c r="PY56" s="30"/>
      <c r="PZ56" s="30"/>
      <c r="QA56" s="30"/>
      <c r="QB56" s="30"/>
      <c r="QC56" s="30"/>
      <c r="QD56" s="30"/>
      <c r="QE56" s="30"/>
      <c r="QF56" s="30"/>
      <c r="QG56" s="30"/>
      <c r="QH56" s="30"/>
      <c r="QI56" s="30"/>
      <c r="QJ56" s="30"/>
      <c r="QK56" s="30"/>
      <c r="QL56" s="30"/>
      <c r="QM56" s="30"/>
      <c r="QN56" s="30"/>
      <c r="QO56" s="30"/>
      <c r="QP56" s="30"/>
      <c r="QQ56" s="30"/>
      <c r="QR56" s="30"/>
      <c r="QS56" s="30"/>
      <c r="QT56" s="30"/>
      <c r="QU56" s="30"/>
      <c r="QV56" s="30"/>
      <c r="QW56" s="30"/>
      <c r="QX56" s="30"/>
      <c r="QY56" s="30"/>
      <c r="QZ56" s="30"/>
      <c r="RA56" s="30"/>
      <c r="RB56" s="30"/>
      <c r="RC56" s="30"/>
      <c r="RD56" s="30"/>
      <c r="RE56" s="30"/>
      <c r="RF56" s="30"/>
      <c r="RG56" s="30"/>
      <c r="RH56" s="30"/>
      <c r="RI56" s="30"/>
      <c r="RJ56" s="30"/>
      <c r="RK56" s="30"/>
      <c r="RL56" s="30"/>
      <c r="RM56" s="30"/>
      <c r="RN56" s="30"/>
      <c r="RO56" s="30"/>
      <c r="RP56" s="30"/>
      <c r="RQ56" s="30"/>
      <c r="RR56" s="30"/>
      <c r="RS56" s="30"/>
      <c r="RT56" s="30"/>
      <c r="RU56" s="30"/>
      <c r="RV56" s="30"/>
      <c r="RW56" s="30"/>
      <c r="RX56" s="30"/>
      <c r="RY56" s="30"/>
      <c r="RZ56" s="30"/>
      <c r="SA56" s="30"/>
      <c r="SB56" s="30"/>
      <c r="SC56" s="30"/>
      <c r="SD56" s="30"/>
      <c r="SE56" s="30"/>
      <c r="SF56" s="30"/>
      <c r="SG56" s="30"/>
      <c r="SH56" s="30"/>
      <c r="SI56" s="30"/>
      <c r="SJ56" s="30"/>
      <c r="SK56" s="30"/>
      <c r="SL56" s="30"/>
      <c r="SM56" s="30"/>
      <c r="SN56" s="30"/>
      <c r="SO56" s="30"/>
      <c r="SP56" s="30"/>
      <c r="SQ56" s="30"/>
      <c r="SR56" s="30"/>
      <c r="SS56" s="30"/>
      <c r="ST56" s="30"/>
      <c r="SU56" s="30"/>
      <c r="SV56" s="30"/>
      <c r="SW56" s="30"/>
      <c r="SX56" s="30"/>
      <c r="SY56" s="30"/>
      <c r="SZ56" s="30"/>
      <c r="TA56" s="30"/>
      <c r="TB56" s="30"/>
      <c r="TC56" s="30"/>
      <c r="TD56" s="30"/>
      <c r="TE56" s="30"/>
      <c r="TF56" s="30"/>
      <c r="TG56" s="30"/>
    </row>
    <row r="57" spans="1:527" s="22" customFormat="1" ht="21.75" customHeight="1" x14ac:dyDescent="0.25">
      <c r="A57" s="107" t="s">
        <v>245</v>
      </c>
      <c r="B57" s="42" t="str">
        <f>'дод 8'!A206</f>
        <v>8230</v>
      </c>
      <c r="C57" s="42" t="str">
        <f>'дод 8'!B206</f>
        <v>0380</v>
      </c>
      <c r="D57" s="36" t="str">
        <f>'дод 8'!C206</f>
        <v>Інші заходи громадського порядку та безпеки</v>
      </c>
      <c r="E57" s="103">
        <f t="shared" si="9"/>
        <v>352350</v>
      </c>
      <c r="F57" s="103">
        <f>351800+550</f>
        <v>352350</v>
      </c>
      <c r="G57" s="103"/>
      <c r="H57" s="103">
        <v>193600</v>
      </c>
      <c r="I57" s="103"/>
      <c r="J57" s="103">
        <f t="shared" si="12"/>
        <v>0</v>
      </c>
      <c r="K57" s="103"/>
      <c r="L57" s="103"/>
      <c r="M57" s="103"/>
      <c r="N57" s="103"/>
      <c r="O57" s="103"/>
      <c r="P57" s="103">
        <f t="shared" si="10"/>
        <v>352350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  <c r="TF57" s="23"/>
      <c r="TG57" s="23"/>
    </row>
    <row r="58" spans="1:527" s="22" customFormat="1" ht="36" customHeight="1" x14ac:dyDescent="0.25">
      <c r="A58" s="60" t="s">
        <v>166</v>
      </c>
      <c r="B58" s="97" t="str">
        <f>'дод 8'!A209</f>
        <v>8340</v>
      </c>
      <c r="C58" s="97" t="str">
        <f>'дод 8'!B209</f>
        <v>0540</v>
      </c>
      <c r="D58" s="61" t="str">
        <f>'дод 8'!C209</f>
        <v>Природоохоронні заходи за рахунок цільових фондів</v>
      </c>
      <c r="E58" s="103">
        <f t="shared" si="9"/>
        <v>0</v>
      </c>
      <c r="F58" s="103"/>
      <c r="G58" s="103"/>
      <c r="H58" s="103"/>
      <c r="I58" s="103"/>
      <c r="J58" s="103">
        <f t="shared" si="12"/>
        <v>250000</v>
      </c>
      <c r="K58" s="103"/>
      <c r="L58" s="103">
        <v>250000</v>
      </c>
      <c r="M58" s="103"/>
      <c r="N58" s="103"/>
      <c r="O58" s="103"/>
      <c r="P58" s="103">
        <f t="shared" si="10"/>
        <v>250000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</row>
    <row r="59" spans="1:527" s="22" customFormat="1" ht="26.25" customHeight="1" x14ac:dyDescent="0.25">
      <c r="A59" s="107" t="s">
        <v>256</v>
      </c>
      <c r="B59" s="42" t="str">
        <f>'дод 8'!A211</f>
        <v>8420</v>
      </c>
      <c r="C59" s="42" t="str">
        <f>'дод 8'!B211</f>
        <v>0830</v>
      </c>
      <c r="D59" s="36" t="str">
        <f>'дод 8'!C211</f>
        <v>Інші заходи у сфері засобів масової інформації</v>
      </c>
      <c r="E59" s="103">
        <f t="shared" si="9"/>
        <v>30000</v>
      </c>
      <c r="F59" s="103">
        <v>30000</v>
      </c>
      <c r="G59" s="103"/>
      <c r="H59" s="103"/>
      <c r="I59" s="103"/>
      <c r="J59" s="103">
        <f t="shared" si="12"/>
        <v>0</v>
      </c>
      <c r="K59" s="103"/>
      <c r="L59" s="103"/>
      <c r="M59" s="103"/>
      <c r="N59" s="103"/>
      <c r="O59" s="103"/>
      <c r="P59" s="103">
        <f t="shared" si="10"/>
        <v>30000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</row>
    <row r="60" spans="1:527" s="22" customFormat="1" ht="47.25" x14ac:dyDescent="0.25">
      <c r="A60" s="107" t="s">
        <v>383</v>
      </c>
      <c r="B60" s="42">
        <v>9800</v>
      </c>
      <c r="C60" s="107" t="s">
        <v>46</v>
      </c>
      <c r="D60" s="36" t="s">
        <v>369</v>
      </c>
      <c r="E60" s="103">
        <f t="shared" si="9"/>
        <v>273799</v>
      </c>
      <c r="F60" s="103">
        <f>407799-134000</f>
        <v>273799</v>
      </c>
      <c r="G60" s="103"/>
      <c r="H60" s="103"/>
      <c r="I60" s="103"/>
      <c r="J60" s="103">
        <f t="shared" si="12"/>
        <v>134000</v>
      </c>
      <c r="K60" s="103">
        <v>134000</v>
      </c>
      <c r="L60" s="103"/>
      <c r="M60" s="103"/>
      <c r="N60" s="103"/>
      <c r="O60" s="103">
        <v>134000</v>
      </c>
      <c r="P60" s="103">
        <f t="shared" si="10"/>
        <v>407799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</row>
    <row r="61" spans="1:527" s="27" customFormat="1" ht="36" customHeight="1" x14ac:dyDescent="0.25">
      <c r="A61" s="110" t="s">
        <v>167</v>
      </c>
      <c r="B61" s="39"/>
      <c r="C61" s="39"/>
      <c r="D61" s="111" t="s">
        <v>26</v>
      </c>
      <c r="E61" s="99">
        <f>E62</f>
        <v>1135967099.23</v>
      </c>
      <c r="F61" s="99">
        <f t="shared" ref="F61:J61" si="13">F62</f>
        <v>1135967099.23</v>
      </c>
      <c r="G61" s="99">
        <f t="shared" si="13"/>
        <v>779065830</v>
      </c>
      <c r="H61" s="99">
        <f t="shared" si="13"/>
        <v>56719650</v>
      </c>
      <c r="I61" s="99">
        <f t="shared" si="13"/>
        <v>0</v>
      </c>
      <c r="J61" s="99">
        <f t="shared" si="13"/>
        <v>86256098.180000007</v>
      </c>
      <c r="K61" s="99">
        <f t="shared" ref="K61" si="14">K62</f>
        <v>48110598.18</v>
      </c>
      <c r="L61" s="99">
        <f t="shared" ref="L61" si="15">L62</f>
        <v>37465600</v>
      </c>
      <c r="M61" s="99">
        <f t="shared" ref="M61" si="16">M62</f>
        <v>2268060</v>
      </c>
      <c r="N61" s="99">
        <f t="shared" ref="N61" si="17">N62</f>
        <v>139890</v>
      </c>
      <c r="O61" s="99">
        <f t="shared" ref="O61:P61" si="18">O62</f>
        <v>48790498.18</v>
      </c>
      <c r="P61" s="99">
        <f t="shared" si="18"/>
        <v>1222223197.4099998</v>
      </c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2"/>
      <c r="NI61" s="32"/>
      <c r="NJ61" s="32"/>
      <c r="NK61" s="32"/>
      <c r="NL61" s="32"/>
      <c r="NM61" s="32"/>
      <c r="NN61" s="32"/>
      <c r="NO61" s="32"/>
      <c r="NP61" s="32"/>
      <c r="NQ61" s="32"/>
      <c r="NR61" s="32"/>
      <c r="NS61" s="32"/>
      <c r="NT61" s="32"/>
      <c r="NU61" s="32"/>
      <c r="NV61" s="32"/>
      <c r="NW61" s="32"/>
      <c r="NX61" s="32"/>
      <c r="NY61" s="32"/>
      <c r="NZ61" s="32"/>
      <c r="OA61" s="32"/>
      <c r="OB61" s="32"/>
      <c r="OC61" s="32"/>
      <c r="OD61" s="32"/>
      <c r="OE61" s="32"/>
      <c r="OF61" s="32"/>
      <c r="OG61" s="32"/>
      <c r="OH61" s="32"/>
      <c r="OI61" s="32"/>
      <c r="OJ61" s="32"/>
      <c r="OK61" s="32"/>
      <c r="OL61" s="32"/>
      <c r="OM61" s="32"/>
      <c r="ON61" s="32"/>
      <c r="OO61" s="32"/>
      <c r="OP61" s="32"/>
      <c r="OQ61" s="32"/>
      <c r="OR61" s="32"/>
      <c r="OS61" s="32"/>
      <c r="OT61" s="32"/>
      <c r="OU61" s="32"/>
      <c r="OV61" s="32"/>
      <c r="OW61" s="32"/>
      <c r="OX61" s="32"/>
      <c r="OY61" s="32"/>
      <c r="OZ61" s="32"/>
      <c r="PA61" s="32"/>
      <c r="PB61" s="32"/>
      <c r="PC61" s="32"/>
      <c r="PD61" s="32"/>
      <c r="PE61" s="32"/>
      <c r="PF61" s="32"/>
      <c r="PG61" s="32"/>
      <c r="PH61" s="32"/>
      <c r="PI61" s="32"/>
      <c r="PJ61" s="32"/>
      <c r="PK61" s="32"/>
      <c r="PL61" s="32"/>
      <c r="PM61" s="32"/>
      <c r="PN61" s="32"/>
      <c r="PO61" s="32"/>
      <c r="PP61" s="32"/>
      <c r="PQ61" s="32"/>
      <c r="PR61" s="32"/>
      <c r="PS61" s="32"/>
      <c r="PT61" s="32"/>
      <c r="PU61" s="32"/>
      <c r="PV61" s="32"/>
      <c r="PW61" s="32"/>
      <c r="PX61" s="32"/>
      <c r="PY61" s="32"/>
      <c r="PZ61" s="32"/>
      <c r="QA61" s="32"/>
      <c r="QB61" s="32"/>
      <c r="QC61" s="32"/>
      <c r="QD61" s="32"/>
      <c r="QE61" s="32"/>
      <c r="QF61" s="32"/>
      <c r="QG61" s="32"/>
      <c r="QH61" s="32"/>
      <c r="QI61" s="32"/>
      <c r="QJ61" s="32"/>
      <c r="QK61" s="32"/>
      <c r="QL61" s="32"/>
      <c r="QM61" s="32"/>
      <c r="QN61" s="32"/>
      <c r="QO61" s="32"/>
      <c r="QP61" s="32"/>
      <c r="QQ61" s="32"/>
      <c r="QR61" s="32"/>
      <c r="QS61" s="32"/>
      <c r="QT61" s="32"/>
      <c r="QU61" s="32"/>
      <c r="QV61" s="32"/>
      <c r="QW61" s="32"/>
      <c r="QX61" s="32"/>
      <c r="QY61" s="32"/>
      <c r="QZ61" s="32"/>
      <c r="RA61" s="32"/>
      <c r="RB61" s="32"/>
      <c r="RC61" s="32"/>
      <c r="RD61" s="32"/>
      <c r="RE61" s="32"/>
      <c r="RF61" s="32"/>
      <c r="RG61" s="32"/>
      <c r="RH61" s="32"/>
      <c r="RI61" s="32"/>
      <c r="RJ61" s="32"/>
      <c r="RK61" s="32"/>
      <c r="RL61" s="32"/>
      <c r="RM61" s="32"/>
      <c r="RN61" s="32"/>
      <c r="RO61" s="32"/>
      <c r="RP61" s="32"/>
      <c r="RQ61" s="32"/>
      <c r="RR61" s="32"/>
      <c r="RS61" s="32"/>
      <c r="RT61" s="32"/>
      <c r="RU61" s="32"/>
      <c r="RV61" s="32"/>
      <c r="RW61" s="32"/>
      <c r="RX61" s="32"/>
      <c r="RY61" s="32"/>
      <c r="RZ61" s="32"/>
      <c r="SA61" s="32"/>
      <c r="SB61" s="32"/>
      <c r="SC61" s="32"/>
      <c r="SD61" s="32"/>
      <c r="SE61" s="32"/>
      <c r="SF61" s="32"/>
      <c r="SG61" s="32"/>
      <c r="SH61" s="32"/>
      <c r="SI61" s="32"/>
      <c r="SJ61" s="32"/>
      <c r="SK61" s="32"/>
      <c r="SL61" s="32"/>
      <c r="SM61" s="32"/>
      <c r="SN61" s="32"/>
      <c r="SO61" s="32"/>
      <c r="SP61" s="32"/>
      <c r="SQ61" s="32"/>
      <c r="SR61" s="32"/>
      <c r="SS61" s="32"/>
      <c r="ST61" s="32"/>
      <c r="SU61" s="32"/>
      <c r="SV61" s="32"/>
      <c r="SW61" s="32"/>
      <c r="SX61" s="32"/>
      <c r="SY61" s="32"/>
      <c r="SZ61" s="32"/>
      <c r="TA61" s="32"/>
      <c r="TB61" s="32"/>
      <c r="TC61" s="32"/>
      <c r="TD61" s="32"/>
      <c r="TE61" s="32"/>
      <c r="TF61" s="32"/>
      <c r="TG61" s="32"/>
    </row>
    <row r="62" spans="1:527" s="34" customFormat="1" ht="38.25" customHeight="1" x14ac:dyDescent="0.25">
      <c r="A62" s="112" t="s">
        <v>168</v>
      </c>
      <c r="B62" s="78"/>
      <c r="C62" s="78"/>
      <c r="D62" s="81" t="s">
        <v>518</v>
      </c>
      <c r="E62" s="102">
        <f>E74+E75+E76+E77+E78+E81+E83+E86+E88+E89+E90+E91+E92+E94+E95+E97+E99+E100+E101+E102+E103+E105+E106+E107+E108+E109+E111</f>
        <v>1135967099.23</v>
      </c>
      <c r="F62" s="102">
        <f t="shared" ref="F62:P62" si="19">F74+F75+F76+F77+F78+F81+F83+F86+F88+F89+F90+F91+F92+F94+F95+F97+F99+F100+F101+F102+F103+F105+F106+F107+F108+F109+F111</f>
        <v>1135967099.23</v>
      </c>
      <c r="G62" s="102">
        <f t="shared" si="19"/>
        <v>779065830</v>
      </c>
      <c r="H62" s="102">
        <f t="shared" si="19"/>
        <v>56719650</v>
      </c>
      <c r="I62" s="102">
        <f t="shared" si="19"/>
        <v>0</v>
      </c>
      <c r="J62" s="102">
        <f t="shared" si="19"/>
        <v>86256098.180000007</v>
      </c>
      <c r="K62" s="102">
        <f t="shared" si="19"/>
        <v>48110598.18</v>
      </c>
      <c r="L62" s="102">
        <f t="shared" si="19"/>
        <v>37465600</v>
      </c>
      <c r="M62" s="102">
        <f t="shared" si="19"/>
        <v>2268060</v>
      </c>
      <c r="N62" s="102">
        <f t="shared" si="19"/>
        <v>139890</v>
      </c>
      <c r="O62" s="102">
        <f t="shared" si="19"/>
        <v>48790498.18</v>
      </c>
      <c r="P62" s="102">
        <f t="shared" si="19"/>
        <v>1222223197.4099998</v>
      </c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  <c r="IW62" s="33"/>
      <c r="IX62" s="33"/>
      <c r="IY62" s="33"/>
      <c r="IZ62" s="33"/>
      <c r="JA62" s="33"/>
      <c r="JB62" s="33"/>
      <c r="JC62" s="33"/>
      <c r="JD62" s="33"/>
      <c r="JE62" s="33"/>
      <c r="JF62" s="33"/>
      <c r="JG62" s="33"/>
      <c r="JH62" s="33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33"/>
      <c r="JX62" s="33"/>
      <c r="JY62" s="33"/>
      <c r="JZ62" s="33"/>
      <c r="KA62" s="33"/>
      <c r="KB62" s="33"/>
      <c r="KC62" s="33"/>
      <c r="KD62" s="33"/>
      <c r="KE62" s="33"/>
      <c r="KF62" s="33"/>
      <c r="KG62" s="33"/>
      <c r="KH62" s="33"/>
      <c r="KI62" s="33"/>
      <c r="KJ62" s="33"/>
      <c r="KK62" s="33"/>
      <c r="KL62" s="33"/>
      <c r="KM62" s="33"/>
      <c r="KN62" s="33"/>
      <c r="KO62" s="33"/>
      <c r="KP62" s="33"/>
      <c r="KQ62" s="33"/>
      <c r="KR62" s="33"/>
      <c r="KS62" s="33"/>
      <c r="KT62" s="33"/>
      <c r="KU62" s="33"/>
      <c r="KV62" s="33"/>
      <c r="KW62" s="33"/>
      <c r="KX62" s="33"/>
      <c r="KY62" s="33"/>
      <c r="KZ62" s="33"/>
      <c r="LA62" s="33"/>
      <c r="LB62" s="33"/>
      <c r="LC62" s="33"/>
      <c r="LD62" s="33"/>
      <c r="LE62" s="33"/>
      <c r="LF62" s="33"/>
      <c r="LG62" s="33"/>
      <c r="LH62" s="33"/>
      <c r="LI62" s="33"/>
      <c r="LJ62" s="33"/>
      <c r="LK62" s="33"/>
      <c r="LL62" s="33"/>
      <c r="LM62" s="33"/>
      <c r="LN62" s="33"/>
      <c r="LO62" s="33"/>
      <c r="LP62" s="33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33"/>
      <c r="ME62" s="33"/>
      <c r="MF62" s="33"/>
      <c r="MG62" s="33"/>
      <c r="MH62" s="33"/>
      <c r="MI62" s="33"/>
      <c r="MJ62" s="33"/>
      <c r="MK62" s="33"/>
      <c r="ML62" s="33"/>
      <c r="MM62" s="33"/>
      <c r="MN62" s="33"/>
      <c r="MO62" s="33"/>
      <c r="MP62" s="33"/>
      <c r="MQ62" s="33"/>
      <c r="MR62" s="33"/>
      <c r="MS62" s="33"/>
      <c r="MT62" s="33"/>
      <c r="MU62" s="33"/>
      <c r="MV62" s="33"/>
      <c r="MW62" s="33"/>
      <c r="MX62" s="33"/>
      <c r="MY62" s="33"/>
      <c r="MZ62" s="33"/>
      <c r="NA62" s="33"/>
      <c r="NB62" s="33"/>
      <c r="NC62" s="33"/>
      <c r="ND62" s="33"/>
      <c r="NE62" s="33"/>
      <c r="NF62" s="33"/>
      <c r="NG62" s="33"/>
      <c r="NH62" s="33"/>
      <c r="NI62" s="33"/>
      <c r="NJ62" s="33"/>
      <c r="NK62" s="33"/>
      <c r="NL62" s="33"/>
      <c r="NM62" s="33"/>
      <c r="NN62" s="33"/>
      <c r="NO62" s="33"/>
      <c r="NP62" s="33"/>
      <c r="NQ62" s="33"/>
      <c r="NR62" s="33"/>
      <c r="NS62" s="33"/>
      <c r="NT62" s="33"/>
      <c r="NU62" s="33"/>
      <c r="NV62" s="33"/>
      <c r="NW62" s="33"/>
      <c r="NX62" s="33"/>
      <c r="NY62" s="33"/>
      <c r="NZ62" s="33"/>
      <c r="OA62" s="33"/>
      <c r="OB62" s="33"/>
      <c r="OC62" s="33"/>
      <c r="OD62" s="33"/>
      <c r="OE62" s="33"/>
      <c r="OF62" s="33"/>
      <c r="OG62" s="33"/>
      <c r="OH62" s="33"/>
      <c r="OI62" s="33"/>
      <c r="OJ62" s="33"/>
      <c r="OK62" s="33"/>
      <c r="OL62" s="33"/>
      <c r="OM62" s="33"/>
      <c r="ON62" s="33"/>
      <c r="OO62" s="33"/>
      <c r="OP62" s="33"/>
      <c r="OQ62" s="33"/>
      <c r="OR62" s="33"/>
      <c r="OS62" s="33"/>
      <c r="OT62" s="33"/>
      <c r="OU62" s="33"/>
      <c r="OV62" s="33"/>
      <c r="OW62" s="33"/>
      <c r="OX62" s="33"/>
      <c r="OY62" s="33"/>
      <c r="OZ62" s="33"/>
      <c r="PA62" s="33"/>
      <c r="PB62" s="33"/>
      <c r="PC62" s="33"/>
      <c r="PD62" s="33"/>
      <c r="PE62" s="33"/>
      <c r="PF62" s="33"/>
      <c r="PG62" s="33"/>
      <c r="PH62" s="33"/>
      <c r="PI62" s="33"/>
      <c r="PJ62" s="33"/>
      <c r="PK62" s="33"/>
      <c r="PL62" s="33"/>
      <c r="PM62" s="33"/>
      <c r="PN62" s="33"/>
      <c r="PO62" s="33"/>
      <c r="PP62" s="33"/>
      <c r="PQ62" s="33"/>
      <c r="PR62" s="33"/>
      <c r="PS62" s="33"/>
      <c r="PT62" s="33"/>
      <c r="PU62" s="33"/>
      <c r="PV62" s="33"/>
      <c r="PW62" s="33"/>
      <c r="PX62" s="33"/>
      <c r="PY62" s="33"/>
      <c r="PZ62" s="33"/>
      <c r="QA62" s="33"/>
      <c r="QB62" s="33"/>
      <c r="QC62" s="33"/>
      <c r="QD62" s="33"/>
      <c r="QE62" s="33"/>
      <c r="QF62" s="33"/>
      <c r="QG62" s="33"/>
      <c r="QH62" s="33"/>
      <c r="QI62" s="33"/>
      <c r="QJ62" s="33"/>
      <c r="QK62" s="33"/>
      <c r="QL62" s="33"/>
      <c r="QM62" s="33"/>
      <c r="QN62" s="33"/>
      <c r="QO62" s="33"/>
      <c r="QP62" s="33"/>
      <c r="QQ62" s="33"/>
      <c r="QR62" s="33"/>
      <c r="QS62" s="33"/>
      <c r="QT62" s="33"/>
      <c r="QU62" s="33"/>
      <c r="QV62" s="33"/>
      <c r="QW62" s="33"/>
      <c r="QX62" s="33"/>
      <c r="QY62" s="33"/>
      <c r="QZ62" s="33"/>
      <c r="RA62" s="33"/>
      <c r="RB62" s="33"/>
      <c r="RC62" s="33"/>
      <c r="RD62" s="33"/>
      <c r="RE62" s="33"/>
      <c r="RF62" s="33"/>
      <c r="RG62" s="33"/>
      <c r="RH62" s="33"/>
      <c r="RI62" s="33"/>
      <c r="RJ62" s="33"/>
      <c r="RK62" s="33"/>
      <c r="RL62" s="33"/>
      <c r="RM62" s="33"/>
      <c r="RN62" s="33"/>
      <c r="RO62" s="33"/>
      <c r="RP62" s="33"/>
      <c r="RQ62" s="33"/>
      <c r="RR62" s="33"/>
      <c r="RS62" s="33"/>
      <c r="RT62" s="33"/>
      <c r="RU62" s="33"/>
      <c r="RV62" s="33"/>
      <c r="RW62" s="33"/>
      <c r="RX62" s="33"/>
      <c r="RY62" s="33"/>
      <c r="RZ62" s="33"/>
      <c r="SA62" s="33"/>
      <c r="SB62" s="33"/>
      <c r="SC62" s="33"/>
      <c r="SD62" s="33"/>
      <c r="SE62" s="33"/>
      <c r="SF62" s="33"/>
      <c r="SG62" s="33"/>
      <c r="SH62" s="33"/>
      <c r="SI62" s="33"/>
      <c r="SJ62" s="33"/>
      <c r="SK62" s="33"/>
      <c r="SL62" s="33"/>
      <c r="SM62" s="33"/>
      <c r="SN62" s="33"/>
      <c r="SO62" s="33"/>
      <c r="SP62" s="33"/>
      <c r="SQ62" s="33"/>
      <c r="SR62" s="33"/>
      <c r="SS62" s="33"/>
      <c r="ST62" s="33"/>
      <c r="SU62" s="33"/>
      <c r="SV62" s="33"/>
      <c r="SW62" s="33"/>
      <c r="SX62" s="33"/>
      <c r="SY62" s="33"/>
      <c r="SZ62" s="33"/>
      <c r="TA62" s="33"/>
      <c r="TB62" s="33"/>
      <c r="TC62" s="33"/>
      <c r="TD62" s="33"/>
      <c r="TE62" s="33"/>
      <c r="TF62" s="33"/>
      <c r="TG62" s="33"/>
    </row>
    <row r="63" spans="1:527" s="34" customFormat="1" ht="31.5" x14ac:dyDescent="0.25">
      <c r="A63" s="112"/>
      <c r="B63" s="78"/>
      <c r="C63" s="78"/>
      <c r="D63" s="81" t="s">
        <v>391</v>
      </c>
      <c r="E63" s="102">
        <f>E79+E82</f>
        <v>482448000</v>
      </c>
      <c r="F63" s="102">
        <f>F79+F82</f>
        <v>482448000</v>
      </c>
      <c r="G63" s="102">
        <f t="shared" ref="G63:P63" si="20">G79+G82</f>
        <v>396066000</v>
      </c>
      <c r="H63" s="102">
        <f t="shared" si="20"/>
        <v>0</v>
      </c>
      <c r="I63" s="102">
        <f t="shared" si="20"/>
        <v>0</v>
      </c>
      <c r="J63" s="102">
        <f t="shared" si="20"/>
        <v>0</v>
      </c>
      <c r="K63" s="102">
        <f t="shared" si="20"/>
        <v>0</v>
      </c>
      <c r="L63" s="102">
        <f t="shared" si="20"/>
        <v>0</v>
      </c>
      <c r="M63" s="102">
        <f t="shared" si="20"/>
        <v>0</v>
      </c>
      <c r="N63" s="102">
        <f t="shared" si="20"/>
        <v>0</v>
      </c>
      <c r="O63" s="102">
        <f t="shared" si="20"/>
        <v>0</v>
      </c>
      <c r="P63" s="102">
        <f t="shared" si="20"/>
        <v>482448000</v>
      </c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  <c r="TF63" s="33"/>
      <c r="TG63" s="33"/>
    </row>
    <row r="64" spans="1:527" s="34" customFormat="1" ht="63" hidden="1" customHeight="1" x14ac:dyDescent="0.25">
      <c r="A64" s="112"/>
      <c r="B64" s="78"/>
      <c r="C64" s="78"/>
      <c r="D64" s="81" t="s">
        <v>390</v>
      </c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</row>
    <row r="65" spans="1:527" s="34" customFormat="1" ht="47.25" x14ac:dyDescent="0.25">
      <c r="A65" s="112"/>
      <c r="B65" s="78"/>
      <c r="C65" s="78"/>
      <c r="D65" s="81" t="s">
        <v>565</v>
      </c>
      <c r="E65" s="102">
        <f>E84</f>
        <v>246000</v>
      </c>
      <c r="F65" s="102">
        <f t="shared" ref="F65:P65" si="21">F84</f>
        <v>246000</v>
      </c>
      <c r="G65" s="102">
        <f t="shared" si="21"/>
        <v>0</v>
      </c>
      <c r="H65" s="102">
        <f t="shared" si="21"/>
        <v>0</v>
      </c>
      <c r="I65" s="102">
        <f t="shared" si="21"/>
        <v>0</v>
      </c>
      <c r="J65" s="102">
        <f t="shared" si="21"/>
        <v>1754000</v>
      </c>
      <c r="K65" s="102">
        <f t="shared" si="21"/>
        <v>1754000</v>
      </c>
      <c r="L65" s="102">
        <f t="shared" si="21"/>
        <v>0</v>
      </c>
      <c r="M65" s="102">
        <f t="shared" si="21"/>
        <v>0</v>
      </c>
      <c r="N65" s="102">
        <f t="shared" si="21"/>
        <v>0</v>
      </c>
      <c r="O65" s="102">
        <f t="shared" si="21"/>
        <v>1754000</v>
      </c>
      <c r="P65" s="102">
        <f t="shared" si="21"/>
        <v>2000000</v>
      </c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</row>
    <row r="66" spans="1:527" s="34" customFormat="1" ht="47.25" x14ac:dyDescent="0.25">
      <c r="A66" s="112"/>
      <c r="B66" s="78"/>
      <c r="C66" s="78"/>
      <c r="D66" s="81" t="s">
        <v>386</v>
      </c>
      <c r="E66" s="102">
        <f t="shared" ref="E66:P66" si="22">E80+E93</f>
        <v>3578416</v>
      </c>
      <c r="F66" s="102">
        <f t="shared" si="22"/>
        <v>3578416</v>
      </c>
      <c r="G66" s="102">
        <f t="shared" si="22"/>
        <v>1228720</v>
      </c>
      <c r="H66" s="102">
        <f t="shared" si="22"/>
        <v>0</v>
      </c>
      <c r="I66" s="102">
        <f t="shared" si="22"/>
        <v>0</v>
      </c>
      <c r="J66" s="102">
        <f t="shared" si="22"/>
        <v>0</v>
      </c>
      <c r="K66" s="102">
        <f t="shared" si="22"/>
        <v>0</v>
      </c>
      <c r="L66" s="102">
        <f t="shared" si="22"/>
        <v>0</v>
      </c>
      <c r="M66" s="102">
        <f t="shared" si="22"/>
        <v>0</v>
      </c>
      <c r="N66" s="102">
        <f t="shared" si="22"/>
        <v>0</v>
      </c>
      <c r="O66" s="102">
        <f t="shared" si="22"/>
        <v>0</v>
      </c>
      <c r="P66" s="102">
        <f t="shared" si="22"/>
        <v>3578416</v>
      </c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</row>
    <row r="67" spans="1:527" s="34" customFormat="1" ht="45" hidden="1" customHeight="1" x14ac:dyDescent="0.25">
      <c r="A67" s="112"/>
      <c r="B67" s="78"/>
      <c r="C67" s="78"/>
      <c r="D67" s="81" t="s">
        <v>388</v>
      </c>
      <c r="E67" s="102" t="e">
        <f>#REF!+E90</f>
        <v>#REF!</v>
      </c>
      <c r="F67" s="102" t="e">
        <f>#REF!+F90</f>
        <v>#REF!</v>
      </c>
      <c r="G67" s="102" t="e">
        <f>#REF!+G90</f>
        <v>#REF!</v>
      </c>
      <c r="H67" s="102" t="e">
        <f>#REF!+H90</f>
        <v>#REF!</v>
      </c>
      <c r="I67" s="102" t="e">
        <f>#REF!+I90</f>
        <v>#REF!</v>
      </c>
      <c r="J67" s="102" t="e">
        <f>#REF!+J90</f>
        <v>#REF!</v>
      </c>
      <c r="K67" s="102" t="e">
        <f>#REF!+K90</f>
        <v>#REF!</v>
      </c>
      <c r="L67" s="102" t="e">
        <f>#REF!+L90</f>
        <v>#REF!</v>
      </c>
      <c r="M67" s="102" t="e">
        <f>#REF!+M90</f>
        <v>#REF!</v>
      </c>
      <c r="N67" s="102" t="e">
        <f>#REF!+N90</f>
        <v>#REF!</v>
      </c>
      <c r="O67" s="102" t="e">
        <f>#REF!+O90</f>
        <v>#REF!</v>
      </c>
      <c r="P67" s="102" t="e">
        <f>#REF!+P90</f>
        <v>#REF!</v>
      </c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</row>
    <row r="68" spans="1:527" s="34" customFormat="1" ht="63" x14ac:dyDescent="0.25">
      <c r="A68" s="112"/>
      <c r="B68" s="78"/>
      <c r="C68" s="78"/>
      <c r="D68" s="81" t="s">
        <v>385</v>
      </c>
      <c r="E68" s="102">
        <f>E96</f>
        <v>2612700</v>
      </c>
      <c r="F68" s="102">
        <f t="shared" ref="F68:P68" si="23">F96</f>
        <v>2612700</v>
      </c>
      <c r="G68" s="102">
        <f t="shared" si="23"/>
        <v>1459720</v>
      </c>
      <c r="H68" s="102">
        <f t="shared" si="23"/>
        <v>0</v>
      </c>
      <c r="I68" s="102">
        <f t="shared" si="23"/>
        <v>0</v>
      </c>
      <c r="J68" s="102">
        <f t="shared" si="23"/>
        <v>72000</v>
      </c>
      <c r="K68" s="102">
        <f t="shared" si="23"/>
        <v>72000</v>
      </c>
      <c r="L68" s="102">
        <f t="shared" si="23"/>
        <v>0</v>
      </c>
      <c r="M68" s="102">
        <f t="shared" si="23"/>
        <v>0</v>
      </c>
      <c r="N68" s="102">
        <f t="shared" si="23"/>
        <v>0</v>
      </c>
      <c r="O68" s="102">
        <f t="shared" si="23"/>
        <v>72000</v>
      </c>
      <c r="P68" s="102">
        <f t="shared" si="23"/>
        <v>2684700</v>
      </c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</row>
    <row r="69" spans="1:527" s="34" customFormat="1" ht="80.25" customHeight="1" x14ac:dyDescent="0.25">
      <c r="A69" s="112"/>
      <c r="B69" s="78"/>
      <c r="C69" s="78"/>
      <c r="D69" s="81" t="s">
        <v>543</v>
      </c>
      <c r="E69" s="102">
        <f>E98</f>
        <v>1174231</v>
      </c>
      <c r="F69" s="102">
        <f t="shared" ref="F69:P69" si="24">F98</f>
        <v>1174231</v>
      </c>
      <c r="G69" s="102">
        <f t="shared" si="24"/>
        <v>962484</v>
      </c>
      <c r="H69" s="102">
        <f t="shared" si="24"/>
        <v>0</v>
      </c>
      <c r="I69" s="102">
        <f t="shared" si="24"/>
        <v>0</v>
      </c>
      <c r="J69" s="102">
        <f t="shared" si="24"/>
        <v>0</v>
      </c>
      <c r="K69" s="102">
        <f t="shared" si="24"/>
        <v>0</v>
      </c>
      <c r="L69" s="102">
        <f t="shared" si="24"/>
        <v>0</v>
      </c>
      <c r="M69" s="102">
        <f t="shared" si="24"/>
        <v>0</v>
      </c>
      <c r="N69" s="102">
        <f t="shared" si="24"/>
        <v>0</v>
      </c>
      <c r="O69" s="102">
        <f t="shared" si="24"/>
        <v>0</v>
      </c>
      <c r="P69" s="102">
        <f t="shared" si="24"/>
        <v>1174231</v>
      </c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</row>
    <row r="70" spans="1:527" s="34" customFormat="1" ht="31.5" x14ac:dyDescent="0.25">
      <c r="A70" s="112"/>
      <c r="B70" s="78"/>
      <c r="C70" s="78"/>
      <c r="D70" s="81" t="s">
        <v>562</v>
      </c>
      <c r="E70" s="102">
        <f>E85+E87+E110</f>
        <v>1362481.6</v>
      </c>
      <c r="F70" s="102">
        <f>F85+F87+F110</f>
        <v>1362481.6</v>
      </c>
      <c r="G70" s="102">
        <f t="shared" ref="G70:P70" si="25">G85+G87+G110</f>
        <v>0</v>
      </c>
      <c r="H70" s="102">
        <f t="shared" si="25"/>
        <v>0</v>
      </c>
      <c r="I70" s="102">
        <f t="shared" si="25"/>
        <v>0</v>
      </c>
      <c r="J70" s="102">
        <f t="shared" si="25"/>
        <v>7735261.1799999997</v>
      </c>
      <c r="K70" s="102">
        <f t="shared" si="25"/>
        <v>7735261.1799999997</v>
      </c>
      <c r="L70" s="102">
        <f t="shared" si="25"/>
        <v>0</v>
      </c>
      <c r="M70" s="102">
        <f t="shared" si="25"/>
        <v>0</v>
      </c>
      <c r="N70" s="102">
        <f t="shared" si="25"/>
        <v>0</v>
      </c>
      <c r="O70" s="102">
        <f t="shared" si="25"/>
        <v>7735261.1799999997</v>
      </c>
      <c r="P70" s="102">
        <f t="shared" si="25"/>
        <v>9097742.7799999993</v>
      </c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</row>
    <row r="71" spans="1:527" s="34" customFormat="1" ht="51" customHeight="1" x14ac:dyDescent="0.25">
      <c r="A71" s="112"/>
      <c r="B71" s="78"/>
      <c r="C71" s="78"/>
      <c r="D71" s="162" t="s">
        <v>576</v>
      </c>
      <c r="E71" s="102">
        <f>E104</f>
        <v>0</v>
      </c>
      <c r="F71" s="102">
        <f t="shared" ref="F71:P71" si="26">F104</f>
        <v>0</v>
      </c>
      <c r="G71" s="102">
        <f t="shared" si="26"/>
        <v>0</v>
      </c>
      <c r="H71" s="102">
        <f t="shared" si="26"/>
        <v>0</v>
      </c>
      <c r="I71" s="102">
        <f t="shared" si="26"/>
        <v>0</v>
      </c>
      <c r="J71" s="102">
        <f t="shared" si="26"/>
        <v>2629959</v>
      </c>
      <c r="K71" s="102">
        <f t="shared" si="26"/>
        <v>2629959</v>
      </c>
      <c r="L71" s="102">
        <f t="shared" si="26"/>
        <v>0</v>
      </c>
      <c r="M71" s="102">
        <f t="shared" si="26"/>
        <v>0</v>
      </c>
      <c r="N71" s="102">
        <f t="shared" si="26"/>
        <v>0</v>
      </c>
      <c r="O71" s="102">
        <f t="shared" si="26"/>
        <v>2629959</v>
      </c>
      <c r="P71" s="102">
        <f t="shared" si="26"/>
        <v>2629959</v>
      </c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</row>
    <row r="72" spans="1:527" s="34" customFormat="1" ht="78.75" hidden="1" x14ac:dyDescent="0.25">
      <c r="A72" s="112"/>
      <c r="B72" s="78"/>
      <c r="C72" s="78"/>
      <c r="D72" s="81" t="s">
        <v>387</v>
      </c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</row>
    <row r="73" spans="1:527" s="34" customFormat="1" ht="63" hidden="1" x14ac:dyDescent="0.25">
      <c r="A73" s="100"/>
      <c r="B73" s="113"/>
      <c r="C73" s="114"/>
      <c r="D73" s="79" t="s">
        <v>432</v>
      </c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</row>
    <row r="74" spans="1:527" s="22" customFormat="1" ht="45.75" customHeight="1" x14ac:dyDescent="0.25">
      <c r="A74" s="60" t="s">
        <v>169</v>
      </c>
      <c r="B74" s="97" t="str">
        <f>'дод 8'!A19</f>
        <v>0160</v>
      </c>
      <c r="C74" s="97" t="str">
        <f>'дод 8'!B19</f>
        <v>0111</v>
      </c>
      <c r="D74" s="36" t="s">
        <v>504</v>
      </c>
      <c r="E74" s="103">
        <f t="shared" ref="E74:E111" si="27">F74+I74</f>
        <v>3863500</v>
      </c>
      <c r="F74" s="103">
        <f>3843500+20000</f>
        <v>3863500</v>
      </c>
      <c r="G74" s="103">
        <v>2976200</v>
      </c>
      <c r="H74" s="103">
        <v>42800</v>
      </c>
      <c r="I74" s="103"/>
      <c r="J74" s="103">
        <f>L74+O74</f>
        <v>0</v>
      </c>
      <c r="K74" s="103">
        <f>20000-20000</f>
        <v>0</v>
      </c>
      <c r="L74" s="103"/>
      <c r="M74" s="103"/>
      <c r="N74" s="103"/>
      <c r="O74" s="103">
        <f>20000-20000</f>
        <v>0</v>
      </c>
      <c r="P74" s="103">
        <f t="shared" ref="P74:P111" si="28">E74+J74</f>
        <v>3863500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  <c r="IW74" s="23"/>
      <c r="IX74" s="23"/>
      <c r="IY74" s="23"/>
      <c r="IZ74" s="23"/>
      <c r="JA74" s="23"/>
      <c r="JB74" s="23"/>
      <c r="JC74" s="23"/>
      <c r="JD74" s="23"/>
      <c r="JE74" s="23"/>
      <c r="JF74" s="23"/>
      <c r="JG74" s="23"/>
      <c r="JH74" s="23"/>
      <c r="JI74" s="23"/>
      <c r="JJ74" s="23"/>
      <c r="JK74" s="23"/>
      <c r="JL74" s="23"/>
      <c r="JM74" s="23"/>
      <c r="JN74" s="23"/>
      <c r="JO74" s="23"/>
      <c r="JP74" s="23"/>
      <c r="JQ74" s="23"/>
      <c r="JR74" s="23"/>
      <c r="JS74" s="23"/>
      <c r="JT74" s="23"/>
      <c r="JU74" s="23"/>
      <c r="JV74" s="23"/>
      <c r="JW74" s="23"/>
      <c r="JX74" s="23"/>
      <c r="JY74" s="23"/>
      <c r="JZ74" s="23"/>
      <c r="KA74" s="23"/>
      <c r="KB74" s="23"/>
      <c r="KC74" s="23"/>
      <c r="KD74" s="23"/>
      <c r="KE74" s="23"/>
      <c r="KF74" s="23"/>
      <c r="KG74" s="23"/>
      <c r="KH74" s="23"/>
      <c r="KI74" s="23"/>
      <c r="KJ74" s="23"/>
      <c r="KK74" s="23"/>
      <c r="KL74" s="23"/>
      <c r="KM74" s="23"/>
      <c r="KN74" s="23"/>
      <c r="KO74" s="23"/>
      <c r="KP74" s="23"/>
      <c r="KQ74" s="23"/>
      <c r="KR74" s="23"/>
      <c r="KS74" s="23"/>
      <c r="KT74" s="23"/>
      <c r="KU74" s="23"/>
      <c r="KV74" s="23"/>
      <c r="KW74" s="23"/>
      <c r="KX74" s="23"/>
      <c r="KY74" s="23"/>
      <c r="KZ74" s="23"/>
      <c r="LA74" s="23"/>
      <c r="LB74" s="23"/>
      <c r="LC74" s="23"/>
      <c r="LD74" s="23"/>
      <c r="LE74" s="23"/>
      <c r="LF74" s="23"/>
      <c r="LG74" s="23"/>
      <c r="LH74" s="23"/>
      <c r="LI74" s="23"/>
      <c r="LJ74" s="23"/>
      <c r="LK74" s="23"/>
      <c r="LL74" s="23"/>
      <c r="LM74" s="23"/>
      <c r="LN74" s="23"/>
      <c r="LO74" s="23"/>
      <c r="LP74" s="23"/>
      <c r="LQ74" s="23"/>
      <c r="LR74" s="23"/>
      <c r="LS74" s="23"/>
      <c r="LT74" s="23"/>
      <c r="LU74" s="23"/>
      <c r="LV74" s="23"/>
      <c r="LW74" s="23"/>
      <c r="LX74" s="23"/>
      <c r="LY74" s="23"/>
      <c r="LZ74" s="23"/>
      <c r="MA74" s="23"/>
      <c r="MB74" s="23"/>
      <c r="MC74" s="23"/>
      <c r="MD74" s="23"/>
      <c r="ME74" s="23"/>
      <c r="MF74" s="23"/>
      <c r="MG74" s="23"/>
      <c r="MH74" s="23"/>
      <c r="MI74" s="23"/>
      <c r="MJ74" s="23"/>
      <c r="MK74" s="23"/>
      <c r="ML74" s="23"/>
      <c r="MM74" s="23"/>
      <c r="MN74" s="23"/>
      <c r="MO74" s="23"/>
      <c r="MP74" s="23"/>
      <c r="MQ74" s="23"/>
      <c r="MR74" s="23"/>
      <c r="MS74" s="23"/>
      <c r="MT74" s="23"/>
      <c r="MU74" s="23"/>
      <c r="MV74" s="23"/>
      <c r="MW74" s="23"/>
      <c r="MX74" s="23"/>
      <c r="MY74" s="23"/>
      <c r="MZ74" s="23"/>
      <c r="NA74" s="23"/>
      <c r="NB74" s="23"/>
      <c r="NC74" s="23"/>
      <c r="ND74" s="23"/>
      <c r="NE74" s="23"/>
      <c r="NF74" s="23"/>
      <c r="NG74" s="23"/>
      <c r="NH74" s="23"/>
      <c r="NI74" s="23"/>
      <c r="NJ74" s="23"/>
      <c r="NK74" s="23"/>
      <c r="NL74" s="23"/>
      <c r="NM74" s="23"/>
      <c r="NN74" s="23"/>
      <c r="NO74" s="23"/>
      <c r="NP74" s="23"/>
      <c r="NQ74" s="23"/>
      <c r="NR74" s="23"/>
      <c r="NS74" s="23"/>
      <c r="NT74" s="23"/>
      <c r="NU74" s="23"/>
      <c r="NV74" s="23"/>
      <c r="NW74" s="23"/>
      <c r="NX74" s="23"/>
      <c r="NY74" s="23"/>
      <c r="NZ74" s="23"/>
      <c r="OA74" s="23"/>
      <c r="OB74" s="23"/>
      <c r="OC74" s="23"/>
      <c r="OD74" s="23"/>
      <c r="OE74" s="23"/>
      <c r="OF74" s="23"/>
      <c r="OG74" s="23"/>
      <c r="OH74" s="23"/>
      <c r="OI74" s="23"/>
      <c r="OJ74" s="23"/>
      <c r="OK74" s="23"/>
      <c r="OL74" s="23"/>
      <c r="OM74" s="23"/>
      <c r="ON74" s="23"/>
      <c r="OO74" s="23"/>
      <c r="OP74" s="23"/>
      <c r="OQ74" s="23"/>
      <c r="OR74" s="23"/>
      <c r="OS74" s="23"/>
      <c r="OT74" s="23"/>
      <c r="OU74" s="23"/>
      <c r="OV74" s="23"/>
      <c r="OW74" s="23"/>
      <c r="OX74" s="23"/>
      <c r="OY74" s="23"/>
      <c r="OZ74" s="23"/>
      <c r="PA74" s="23"/>
      <c r="PB74" s="23"/>
      <c r="PC74" s="23"/>
      <c r="PD74" s="23"/>
      <c r="PE74" s="23"/>
      <c r="PF74" s="23"/>
      <c r="PG74" s="23"/>
      <c r="PH74" s="23"/>
      <c r="PI74" s="23"/>
      <c r="PJ74" s="23"/>
      <c r="PK74" s="23"/>
      <c r="PL74" s="23"/>
      <c r="PM74" s="23"/>
      <c r="PN74" s="23"/>
      <c r="PO74" s="23"/>
      <c r="PP74" s="23"/>
      <c r="PQ74" s="23"/>
      <c r="PR74" s="23"/>
      <c r="PS74" s="23"/>
      <c r="PT74" s="23"/>
      <c r="PU74" s="23"/>
      <c r="PV74" s="23"/>
      <c r="PW74" s="23"/>
      <c r="PX74" s="23"/>
      <c r="PY74" s="23"/>
      <c r="PZ74" s="23"/>
      <c r="QA74" s="23"/>
      <c r="QB74" s="23"/>
      <c r="QC74" s="23"/>
      <c r="QD74" s="23"/>
      <c r="QE74" s="23"/>
      <c r="QF74" s="23"/>
      <c r="QG74" s="23"/>
      <c r="QH74" s="23"/>
      <c r="QI74" s="23"/>
      <c r="QJ74" s="23"/>
      <c r="QK74" s="23"/>
      <c r="QL74" s="23"/>
      <c r="QM74" s="23"/>
      <c r="QN74" s="23"/>
      <c r="QO74" s="23"/>
      <c r="QP74" s="23"/>
      <c r="QQ74" s="23"/>
      <c r="QR74" s="23"/>
      <c r="QS74" s="23"/>
      <c r="QT74" s="23"/>
      <c r="QU74" s="23"/>
      <c r="QV74" s="23"/>
      <c r="QW74" s="23"/>
      <c r="QX74" s="23"/>
      <c r="QY74" s="23"/>
      <c r="QZ74" s="23"/>
      <c r="RA74" s="23"/>
      <c r="RB74" s="23"/>
      <c r="RC74" s="23"/>
      <c r="RD74" s="23"/>
      <c r="RE74" s="23"/>
      <c r="RF74" s="23"/>
      <c r="RG74" s="23"/>
      <c r="RH74" s="23"/>
      <c r="RI74" s="23"/>
      <c r="RJ74" s="23"/>
      <c r="RK74" s="23"/>
      <c r="RL74" s="23"/>
      <c r="RM74" s="23"/>
      <c r="RN74" s="23"/>
      <c r="RO74" s="23"/>
      <c r="RP74" s="23"/>
      <c r="RQ74" s="23"/>
      <c r="RR74" s="23"/>
      <c r="RS74" s="23"/>
      <c r="RT74" s="23"/>
      <c r="RU74" s="23"/>
      <c r="RV74" s="23"/>
      <c r="RW74" s="23"/>
      <c r="RX74" s="23"/>
      <c r="RY74" s="23"/>
      <c r="RZ74" s="23"/>
      <c r="SA74" s="23"/>
      <c r="SB74" s="23"/>
      <c r="SC74" s="23"/>
      <c r="SD74" s="23"/>
      <c r="SE74" s="23"/>
      <c r="SF74" s="23"/>
      <c r="SG74" s="23"/>
      <c r="SH74" s="23"/>
      <c r="SI74" s="23"/>
      <c r="SJ74" s="23"/>
      <c r="SK74" s="23"/>
      <c r="SL74" s="23"/>
      <c r="SM74" s="23"/>
      <c r="SN74" s="23"/>
      <c r="SO74" s="23"/>
      <c r="SP74" s="23"/>
      <c r="SQ74" s="23"/>
      <c r="SR74" s="23"/>
      <c r="SS74" s="23"/>
      <c r="ST74" s="23"/>
      <c r="SU74" s="23"/>
      <c r="SV74" s="23"/>
      <c r="SW74" s="23"/>
      <c r="SX74" s="23"/>
      <c r="SY74" s="23"/>
      <c r="SZ74" s="23"/>
      <c r="TA74" s="23"/>
      <c r="TB74" s="23"/>
      <c r="TC74" s="23"/>
      <c r="TD74" s="23"/>
      <c r="TE74" s="23"/>
      <c r="TF74" s="23"/>
      <c r="TG74" s="23"/>
    </row>
    <row r="75" spans="1:527" s="22" customFormat="1" ht="21.75" customHeight="1" x14ac:dyDescent="0.25">
      <c r="A75" s="60" t="s">
        <v>170</v>
      </c>
      <c r="B75" s="97" t="str">
        <f>'дод 8'!A33</f>
        <v>1010</v>
      </c>
      <c r="C75" s="97" t="str">
        <f>'дод 8'!B33</f>
        <v>0910</v>
      </c>
      <c r="D75" s="61" t="s">
        <v>513</v>
      </c>
      <c r="E75" s="103">
        <f t="shared" si="27"/>
        <v>292406037.63</v>
      </c>
      <c r="F75" s="103">
        <f>290084900+377000+133998.63+378900+619000+103450+204596+100000+22020-24778+60000+20200+170000+156751</f>
        <v>292406037.63</v>
      </c>
      <c r="G75" s="103">
        <v>205054200</v>
      </c>
      <c r="H75" s="103">
        <v>21914800</v>
      </c>
      <c r="I75" s="103"/>
      <c r="J75" s="103">
        <f>L75+O75</f>
        <v>12341980</v>
      </c>
      <c r="K75" s="103">
        <f>218000+50000+102000+86000+38500+27980+29800+30000</f>
        <v>582280</v>
      </c>
      <c r="L75" s="103">
        <v>11759700</v>
      </c>
      <c r="M75" s="103"/>
      <c r="N75" s="103"/>
      <c r="O75" s="103">
        <f>218000+50000+102000+86000+38500+27980+29800+30000</f>
        <v>582280</v>
      </c>
      <c r="P75" s="103">
        <f t="shared" si="28"/>
        <v>304748017.63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  <c r="IW75" s="23"/>
      <c r="IX75" s="23"/>
      <c r="IY75" s="23"/>
      <c r="IZ75" s="23"/>
      <c r="JA75" s="23"/>
      <c r="JB75" s="23"/>
      <c r="JC75" s="23"/>
      <c r="JD75" s="23"/>
      <c r="JE75" s="23"/>
      <c r="JF75" s="23"/>
      <c r="JG75" s="23"/>
      <c r="JH75" s="23"/>
      <c r="JI75" s="23"/>
      <c r="JJ75" s="23"/>
      <c r="JK75" s="23"/>
      <c r="JL75" s="23"/>
      <c r="JM75" s="23"/>
      <c r="JN75" s="23"/>
      <c r="JO75" s="23"/>
      <c r="JP75" s="23"/>
      <c r="JQ75" s="23"/>
      <c r="JR75" s="23"/>
      <c r="JS75" s="23"/>
      <c r="JT75" s="23"/>
      <c r="JU75" s="23"/>
      <c r="JV75" s="23"/>
      <c r="JW75" s="23"/>
      <c r="JX75" s="23"/>
      <c r="JY75" s="23"/>
      <c r="JZ75" s="23"/>
      <c r="KA75" s="23"/>
      <c r="KB75" s="23"/>
      <c r="KC75" s="23"/>
      <c r="KD75" s="23"/>
      <c r="KE75" s="23"/>
      <c r="KF75" s="23"/>
      <c r="KG75" s="23"/>
      <c r="KH75" s="23"/>
      <c r="KI75" s="23"/>
      <c r="KJ75" s="23"/>
      <c r="KK75" s="23"/>
      <c r="KL75" s="23"/>
      <c r="KM75" s="23"/>
      <c r="KN75" s="23"/>
      <c r="KO75" s="23"/>
      <c r="KP75" s="23"/>
      <c r="KQ75" s="23"/>
      <c r="KR75" s="23"/>
      <c r="KS75" s="23"/>
      <c r="KT75" s="23"/>
      <c r="KU75" s="23"/>
      <c r="KV75" s="23"/>
      <c r="KW75" s="23"/>
      <c r="KX75" s="23"/>
      <c r="KY75" s="23"/>
      <c r="KZ75" s="23"/>
      <c r="LA75" s="23"/>
      <c r="LB75" s="23"/>
      <c r="LC75" s="23"/>
      <c r="LD75" s="23"/>
      <c r="LE75" s="23"/>
      <c r="LF75" s="23"/>
      <c r="LG75" s="23"/>
      <c r="LH75" s="23"/>
      <c r="LI75" s="23"/>
      <c r="LJ75" s="23"/>
      <c r="LK75" s="23"/>
      <c r="LL75" s="23"/>
      <c r="LM75" s="23"/>
      <c r="LN75" s="23"/>
      <c r="LO75" s="23"/>
      <c r="LP75" s="23"/>
      <c r="LQ75" s="23"/>
      <c r="LR75" s="23"/>
      <c r="LS75" s="23"/>
      <c r="LT75" s="23"/>
      <c r="LU75" s="23"/>
      <c r="LV75" s="23"/>
      <c r="LW75" s="23"/>
      <c r="LX75" s="23"/>
      <c r="LY75" s="23"/>
      <c r="LZ75" s="23"/>
      <c r="MA75" s="23"/>
      <c r="MB75" s="23"/>
      <c r="MC75" s="23"/>
      <c r="MD75" s="23"/>
      <c r="ME75" s="23"/>
      <c r="MF75" s="23"/>
      <c r="MG75" s="23"/>
      <c r="MH75" s="23"/>
      <c r="MI75" s="23"/>
      <c r="MJ75" s="23"/>
      <c r="MK75" s="23"/>
      <c r="ML75" s="23"/>
      <c r="MM75" s="23"/>
      <c r="MN75" s="23"/>
      <c r="MO75" s="23"/>
      <c r="MP75" s="23"/>
      <c r="MQ75" s="23"/>
      <c r="MR75" s="23"/>
      <c r="MS75" s="23"/>
      <c r="MT75" s="23"/>
      <c r="MU75" s="23"/>
      <c r="MV75" s="23"/>
      <c r="MW75" s="23"/>
      <c r="MX75" s="23"/>
      <c r="MY75" s="23"/>
      <c r="MZ75" s="23"/>
      <c r="NA75" s="23"/>
      <c r="NB75" s="23"/>
      <c r="NC75" s="23"/>
      <c r="ND75" s="23"/>
      <c r="NE75" s="23"/>
      <c r="NF75" s="23"/>
      <c r="NG75" s="23"/>
      <c r="NH75" s="23"/>
      <c r="NI75" s="23"/>
      <c r="NJ75" s="23"/>
      <c r="NK75" s="23"/>
      <c r="NL75" s="23"/>
      <c r="NM75" s="23"/>
      <c r="NN75" s="23"/>
      <c r="NO75" s="23"/>
      <c r="NP75" s="23"/>
      <c r="NQ75" s="23"/>
      <c r="NR75" s="23"/>
      <c r="NS75" s="23"/>
      <c r="NT75" s="23"/>
      <c r="NU75" s="23"/>
      <c r="NV75" s="23"/>
      <c r="NW75" s="23"/>
      <c r="NX75" s="23"/>
      <c r="NY75" s="23"/>
      <c r="NZ75" s="23"/>
      <c r="OA75" s="23"/>
      <c r="OB75" s="23"/>
      <c r="OC75" s="23"/>
      <c r="OD75" s="23"/>
      <c r="OE75" s="23"/>
      <c r="OF75" s="23"/>
      <c r="OG75" s="23"/>
      <c r="OH75" s="23"/>
      <c r="OI75" s="23"/>
      <c r="OJ75" s="23"/>
      <c r="OK75" s="23"/>
      <c r="OL75" s="23"/>
      <c r="OM75" s="23"/>
      <c r="ON75" s="23"/>
      <c r="OO75" s="23"/>
      <c r="OP75" s="23"/>
      <c r="OQ75" s="23"/>
      <c r="OR75" s="23"/>
      <c r="OS75" s="23"/>
      <c r="OT75" s="23"/>
      <c r="OU75" s="23"/>
      <c r="OV75" s="23"/>
      <c r="OW75" s="23"/>
      <c r="OX75" s="23"/>
      <c r="OY75" s="23"/>
      <c r="OZ75" s="23"/>
      <c r="PA75" s="23"/>
      <c r="PB75" s="23"/>
      <c r="PC75" s="23"/>
      <c r="PD75" s="23"/>
      <c r="PE75" s="23"/>
      <c r="PF75" s="23"/>
      <c r="PG75" s="23"/>
      <c r="PH75" s="23"/>
      <c r="PI75" s="23"/>
      <c r="PJ75" s="23"/>
      <c r="PK75" s="23"/>
      <c r="PL75" s="23"/>
      <c r="PM75" s="23"/>
      <c r="PN75" s="23"/>
      <c r="PO75" s="23"/>
      <c r="PP75" s="23"/>
      <c r="PQ75" s="23"/>
      <c r="PR75" s="23"/>
      <c r="PS75" s="23"/>
      <c r="PT75" s="23"/>
      <c r="PU75" s="23"/>
      <c r="PV75" s="23"/>
      <c r="PW75" s="23"/>
      <c r="PX75" s="23"/>
      <c r="PY75" s="23"/>
      <c r="PZ75" s="23"/>
      <c r="QA75" s="23"/>
      <c r="QB75" s="23"/>
      <c r="QC75" s="23"/>
      <c r="QD75" s="23"/>
      <c r="QE75" s="23"/>
      <c r="QF75" s="23"/>
      <c r="QG75" s="23"/>
      <c r="QH75" s="23"/>
      <c r="QI75" s="23"/>
      <c r="QJ75" s="23"/>
      <c r="QK75" s="23"/>
      <c r="QL75" s="23"/>
      <c r="QM75" s="23"/>
      <c r="QN75" s="23"/>
      <c r="QO75" s="23"/>
      <c r="QP75" s="23"/>
      <c r="QQ75" s="23"/>
      <c r="QR75" s="23"/>
      <c r="QS75" s="23"/>
      <c r="QT75" s="23"/>
      <c r="QU75" s="23"/>
      <c r="QV75" s="23"/>
      <c r="QW75" s="23"/>
      <c r="QX75" s="23"/>
      <c r="QY75" s="23"/>
      <c r="QZ75" s="23"/>
      <c r="RA75" s="23"/>
      <c r="RB75" s="23"/>
      <c r="RC75" s="23"/>
      <c r="RD75" s="23"/>
      <c r="RE75" s="23"/>
      <c r="RF75" s="23"/>
      <c r="RG75" s="23"/>
      <c r="RH75" s="23"/>
      <c r="RI75" s="23"/>
      <c r="RJ75" s="23"/>
      <c r="RK75" s="23"/>
      <c r="RL75" s="23"/>
      <c r="RM75" s="23"/>
      <c r="RN75" s="23"/>
      <c r="RO75" s="23"/>
      <c r="RP75" s="23"/>
      <c r="RQ75" s="23"/>
      <c r="RR75" s="23"/>
      <c r="RS75" s="23"/>
      <c r="RT75" s="23"/>
      <c r="RU75" s="23"/>
      <c r="RV75" s="23"/>
      <c r="RW75" s="23"/>
      <c r="RX75" s="23"/>
      <c r="RY75" s="23"/>
      <c r="RZ75" s="23"/>
      <c r="SA75" s="23"/>
      <c r="SB75" s="23"/>
      <c r="SC75" s="23"/>
      <c r="SD75" s="23"/>
      <c r="SE75" s="23"/>
      <c r="SF75" s="23"/>
      <c r="SG75" s="23"/>
      <c r="SH75" s="23"/>
      <c r="SI75" s="23"/>
      <c r="SJ75" s="23"/>
      <c r="SK75" s="23"/>
      <c r="SL75" s="23"/>
      <c r="SM75" s="23"/>
      <c r="SN75" s="23"/>
      <c r="SO75" s="23"/>
      <c r="SP75" s="23"/>
      <c r="SQ75" s="23"/>
      <c r="SR75" s="23"/>
      <c r="SS75" s="23"/>
      <c r="ST75" s="23"/>
      <c r="SU75" s="23"/>
      <c r="SV75" s="23"/>
      <c r="SW75" s="23"/>
      <c r="SX75" s="23"/>
      <c r="SY75" s="23"/>
      <c r="SZ75" s="23"/>
      <c r="TA75" s="23"/>
      <c r="TB75" s="23"/>
      <c r="TC75" s="23"/>
      <c r="TD75" s="23"/>
      <c r="TE75" s="23"/>
      <c r="TF75" s="23"/>
      <c r="TG75" s="23"/>
    </row>
    <row r="76" spans="1:527" s="22" customFormat="1" ht="37.5" customHeight="1" x14ac:dyDescent="0.25">
      <c r="A76" s="60" t="s">
        <v>480</v>
      </c>
      <c r="B76" s="60">
        <f>'дод 8'!A35</f>
        <v>1021</v>
      </c>
      <c r="C76" s="97" t="str">
        <f>'дод 8'!B35</f>
        <v>0921</v>
      </c>
      <c r="D76" s="61" t="s">
        <v>514</v>
      </c>
      <c r="E76" s="103">
        <f t="shared" si="27"/>
        <v>211064613</v>
      </c>
      <c r="F76" s="103">
        <f>207798800+170000+256650+380600+220200+130000+330000+525700+173300+23800+34000+200000+19200+10000+50000+357463+280000+79900+25000</f>
        <v>211064613</v>
      </c>
      <c r="G76" s="103">
        <f>119643500+19206</f>
        <v>119662706</v>
      </c>
      <c r="H76" s="103">
        <v>30342200</v>
      </c>
      <c r="I76" s="103"/>
      <c r="J76" s="103">
        <f t="shared" ref="J76:J111" si="29">L76+O76</f>
        <v>25852650</v>
      </c>
      <c r="K76" s="103">
        <f>118000+77400+130000+50000+60650+30000+15000+80800+160000</f>
        <v>721850</v>
      </c>
      <c r="L76" s="103">
        <v>25130800</v>
      </c>
      <c r="M76" s="103">
        <v>2268060</v>
      </c>
      <c r="N76" s="103">
        <v>139890</v>
      </c>
      <c r="O76" s="103">
        <f>118000+77400+130000+50000+60650+30000+15000+80800+160000</f>
        <v>721850</v>
      </c>
      <c r="P76" s="103">
        <f t="shared" si="28"/>
        <v>236917263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F76" s="23"/>
      <c r="KG76" s="23"/>
      <c r="KH76" s="23"/>
      <c r="KI76" s="23"/>
      <c r="KJ76" s="23"/>
      <c r="KK76" s="23"/>
      <c r="KL76" s="23"/>
      <c r="KM76" s="23"/>
      <c r="KN76" s="23"/>
      <c r="KO76" s="23"/>
      <c r="KP76" s="23"/>
      <c r="KQ76" s="23"/>
      <c r="KR76" s="23"/>
      <c r="KS76" s="23"/>
      <c r="KT76" s="23"/>
      <c r="KU76" s="23"/>
      <c r="KV76" s="23"/>
      <c r="KW76" s="23"/>
      <c r="KX76" s="23"/>
      <c r="KY76" s="23"/>
      <c r="KZ76" s="23"/>
      <c r="LA76" s="23"/>
      <c r="LB76" s="23"/>
      <c r="LC76" s="23"/>
      <c r="LD76" s="23"/>
      <c r="LE76" s="23"/>
      <c r="LF76" s="23"/>
      <c r="LG76" s="23"/>
      <c r="LH76" s="23"/>
      <c r="LI76" s="23"/>
      <c r="LJ76" s="23"/>
      <c r="LK76" s="23"/>
      <c r="LL76" s="23"/>
      <c r="LM76" s="23"/>
      <c r="LN76" s="23"/>
      <c r="LO76" s="23"/>
      <c r="LP76" s="23"/>
      <c r="LQ76" s="23"/>
      <c r="LR76" s="23"/>
      <c r="LS76" s="23"/>
      <c r="LT76" s="23"/>
      <c r="LU76" s="23"/>
      <c r="LV76" s="23"/>
      <c r="LW76" s="23"/>
      <c r="LX76" s="23"/>
      <c r="LY76" s="23"/>
      <c r="LZ76" s="23"/>
      <c r="MA76" s="23"/>
      <c r="MB76" s="23"/>
      <c r="MC76" s="23"/>
      <c r="MD76" s="23"/>
      <c r="ME76" s="23"/>
      <c r="MF76" s="23"/>
      <c r="MG76" s="23"/>
      <c r="MH76" s="23"/>
      <c r="MI76" s="23"/>
      <c r="MJ76" s="23"/>
      <c r="MK76" s="23"/>
      <c r="ML76" s="23"/>
      <c r="MM76" s="23"/>
      <c r="MN76" s="23"/>
      <c r="MO76" s="23"/>
      <c r="MP76" s="23"/>
      <c r="MQ76" s="23"/>
      <c r="MR76" s="23"/>
      <c r="MS76" s="23"/>
      <c r="MT76" s="23"/>
      <c r="MU76" s="23"/>
      <c r="MV76" s="23"/>
      <c r="MW76" s="23"/>
      <c r="MX76" s="23"/>
      <c r="MY76" s="23"/>
      <c r="MZ76" s="23"/>
      <c r="NA76" s="23"/>
      <c r="NB76" s="23"/>
      <c r="NC76" s="23"/>
      <c r="ND76" s="23"/>
      <c r="NE76" s="23"/>
      <c r="NF76" s="23"/>
      <c r="NG76" s="23"/>
      <c r="NH76" s="23"/>
      <c r="NI76" s="23"/>
      <c r="NJ76" s="23"/>
      <c r="NK76" s="23"/>
      <c r="NL76" s="23"/>
      <c r="NM76" s="23"/>
      <c r="NN76" s="23"/>
      <c r="NO76" s="23"/>
      <c r="NP76" s="23"/>
      <c r="NQ76" s="23"/>
      <c r="NR76" s="23"/>
      <c r="NS76" s="23"/>
      <c r="NT76" s="23"/>
      <c r="NU76" s="23"/>
      <c r="NV76" s="23"/>
      <c r="NW76" s="23"/>
      <c r="NX76" s="23"/>
      <c r="NY76" s="23"/>
      <c r="NZ76" s="23"/>
      <c r="OA76" s="23"/>
      <c r="OB76" s="23"/>
      <c r="OC76" s="23"/>
      <c r="OD76" s="23"/>
      <c r="OE76" s="23"/>
      <c r="OF76" s="23"/>
      <c r="OG76" s="23"/>
      <c r="OH76" s="23"/>
      <c r="OI76" s="23"/>
      <c r="OJ76" s="23"/>
      <c r="OK76" s="23"/>
      <c r="OL76" s="23"/>
      <c r="OM76" s="23"/>
      <c r="ON76" s="23"/>
      <c r="OO76" s="23"/>
      <c r="OP76" s="23"/>
      <c r="OQ76" s="23"/>
      <c r="OR76" s="23"/>
      <c r="OS76" s="23"/>
      <c r="OT76" s="23"/>
      <c r="OU76" s="23"/>
      <c r="OV76" s="23"/>
      <c r="OW76" s="23"/>
      <c r="OX76" s="23"/>
      <c r="OY76" s="23"/>
      <c r="OZ76" s="23"/>
      <c r="PA76" s="23"/>
      <c r="PB76" s="23"/>
      <c r="PC76" s="23"/>
      <c r="PD76" s="23"/>
      <c r="PE76" s="23"/>
      <c r="PF76" s="23"/>
      <c r="PG76" s="23"/>
      <c r="PH76" s="23"/>
      <c r="PI76" s="23"/>
      <c r="PJ76" s="23"/>
      <c r="PK76" s="23"/>
      <c r="PL76" s="23"/>
      <c r="PM76" s="23"/>
      <c r="PN76" s="23"/>
      <c r="PO76" s="23"/>
      <c r="PP76" s="23"/>
      <c r="PQ76" s="23"/>
      <c r="PR76" s="23"/>
      <c r="PS76" s="23"/>
      <c r="PT76" s="23"/>
      <c r="PU76" s="23"/>
      <c r="PV76" s="23"/>
      <c r="PW76" s="23"/>
      <c r="PX76" s="23"/>
      <c r="PY76" s="23"/>
      <c r="PZ76" s="23"/>
      <c r="QA76" s="23"/>
      <c r="QB76" s="23"/>
      <c r="QC76" s="23"/>
      <c r="QD76" s="23"/>
      <c r="QE76" s="23"/>
      <c r="QF76" s="23"/>
      <c r="QG76" s="23"/>
      <c r="QH76" s="23"/>
      <c r="QI76" s="23"/>
      <c r="QJ76" s="23"/>
      <c r="QK76" s="23"/>
      <c r="QL76" s="23"/>
      <c r="QM76" s="23"/>
      <c r="QN76" s="23"/>
      <c r="QO76" s="23"/>
      <c r="QP76" s="23"/>
      <c r="QQ76" s="23"/>
      <c r="QR76" s="23"/>
      <c r="QS76" s="23"/>
      <c r="QT76" s="23"/>
      <c r="QU76" s="23"/>
      <c r="QV76" s="23"/>
      <c r="QW76" s="23"/>
      <c r="QX76" s="23"/>
      <c r="QY76" s="23"/>
      <c r="QZ76" s="23"/>
      <c r="RA76" s="23"/>
      <c r="RB76" s="23"/>
      <c r="RC76" s="23"/>
      <c r="RD76" s="23"/>
      <c r="RE76" s="23"/>
      <c r="RF76" s="23"/>
      <c r="RG76" s="23"/>
      <c r="RH76" s="23"/>
      <c r="RI76" s="23"/>
      <c r="RJ76" s="23"/>
      <c r="RK76" s="23"/>
      <c r="RL76" s="23"/>
      <c r="RM76" s="23"/>
      <c r="RN76" s="23"/>
      <c r="RO76" s="23"/>
      <c r="RP76" s="23"/>
      <c r="RQ76" s="23"/>
      <c r="RR76" s="23"/>
      <c r="RS76" s="23"/>
      <c r="RT76" s="23"/>
      <c r="RU76" s="23"/>
      <c r="RV76" s="23"/>
      <c r="RW76" s="23"/>
      <c r="RX76" s="23"/>
      <c r="RY76" s="23"/>
      <c r="RZ76" s="23"/>
      <c r="SA76" s="23"/>
      <c r="SB76" s="23"/>
      <c r="SC76" s="23"/>
      <c r="SD76" s="23"/>
      <c r="SE76" s="23"/>
      <c r="SF76" s="23"/>
      <c r="SG76" s="23"/>
      <c r="SH76" s="23"/>
      <c r="SI76" s="23"/>
      <c r="SJ76" s="23"/>
      <c r="SK76" s="23"/>
      <c r="SL76" s="23"/>
      <c r="SM76" s="23"/>
      <c r="SN76" s="23"/>
      <c r="SO76" s="23"/>
      <c r="SP76" s="23"/>
      <c r="SQ76" s="23"/>
      <c r="SR76" s="23"/>
      <c r="SS76" s="23"/>
      <c r="ST76" s="23"/>
      <c r="SU76" s="23"/>
      <c r="SV76" s="23"/>
      <c r="SW76" s="23"/>
      <c r="SX76" s="23"/>
      <c r="SY76" s="23"/>
      <c r="SZ76" s="23"/>
      <c r="TA76" s="23"/>
      <c r="TB76" s="23"/>
      <c r="TC76" s="23"/>
      <c r="TD76" s="23"/>
      <c r="TE76" s="23"/>
      <c r="TF76" s="23"/>
      <c r="TG76" s="23"/>
    </row>
    <row r="77" spans="1:527" s="22" customFormat="1" ht="63" x14ac:dyDescent="0.25">
      <c r="A77" s="60" t="s">
        <v>482</v>
      </c>
      <c r="B77" s="97">
        <v>1022</v>
      </c>
      <c r="C77" s="60" t="s">
        <v>56</v>
      </c>
      <c r="D77" s="36" t="s">
        <v>483</v>
      </c>
      <c r="E77" s="103">
        <f t="shared" si="27"/>
        <v>14036170</v>
      </c>
      <c r="F77" s="103">
        <f>13632600+50000+159800+100000+17000+49800+26970</f>
        <v>14036170</v>
      </c>
      <c r="G77" s="103">
        <v>8830500</v>
      </c>
      <c r="H77" s="103">
        <v>1210000</v>
      </c>
      <c r="I77" s="103"/>
      <c r="J77" s="103">
        <f t="shared" si="29"/>
        <v>153030</v>
      </c>
      <c r="K77" s="103">
        <f>250000-100000+30000-26970</f>
        <v>153030</v>
      </c>
      <c r="L77" s="103"/>
      <c r="M77" s="103"/>
      <c r="N77" s="103"/>
      <c r="O77" s="103">
        <f>250000-100000+30000-26970</f>
        <v>153030</v>
      </c>
      <c r="P77" s="103">
        <f t="shared" si="28"/>
        <v>14189200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</row>
    <row r="78" spans="1:527" s="22" customFormat="1" ht="31.5" x14ac:dyDescent="0.25">
      <c r="A78" s="60" t="s">
        <v>484</v>
      </c>
      <c r="B78" s="97">
        <v>1031</v>
      </c>
      <c r="C78" s="60" t="s">
        <v>52</v>
      </c>
      <c r="D78" s="61" t="s">
        <v>514</v>
      </c>
      <c r="E78" s="103">
        <f t="shared" si="27"/>
        <v>468962880</v>
      </c>
      <c r="F78" s="103">
        <v>468962880</v>
      </c>
      <c r="G78" s="103">
        <v>383296900</v>
      </c>
      <c r="H78" s="103"/>
      <c r="I78" s="103"/>
      <c r="J78" s="103">
        <f t="shared" si="29"/>
        <v>0</v>
      </c>
      <c r="K78" s="103"/>
      <c r="L78" s="103"/>
      <c r="M78" s="103"/>
      <c r="N78" s="103"/>
      <c r="O78" s="103"/>
      <c r="P78" s="103">
        <f t="shared" si="28"/>
        <v>468962880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</row>
    <row r="79" spans="1:527" s="24" customFormat="1" ht="31.5" x14ac:dyDescent="0.25">
      <c r="A79" s="88"/>
      <c r="B79" s="115"/>
      <c r="C79" s="115"/>
      <c r="D79" s="91" t="s">
        <v>391</v>
      </c>
      <c r="E79" s="105">
        <f t="shared" si="27"/>
        <v>466883500</v>
      </c>
      <c r="F79" s="105">
        <v>466883500</v>
      </c>
      <c r="G79" s="105">
        <v>383296900</v>
      </c>
      <c r="H79" s="105"/>
      <c r="I79" s="105"/>
      <c r="J79" s="105">
        <f t="shared" si="29"/>
        <v>0</v>
      </c>
      <c r="K79" s="105"/>
      <c r="L79" s="105"/>
      <c r="M79" s="105"/>
      <c r="N79" s="105"/>
      <c r="O79" s="105"/>
      <c r="P79" s="105">
        <f t="shared" si="28"/>
        <v>466883500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0"/>
      <c r="NR79" s="30"/>
      <c r="NS79" s="30"/>
      <c r="NT79" s="30"/>
      <c r="NU79" s="30"/>
      <c r="NV79" s="30"/>
      <c r="NW79" s="30"/>
      <c r="NX79" s="30"/>
      <c r="NY79" s="30"/>
      <c r="NZ79" s="30"/>
      <c r="OA79" s="30"/>
      <c r="OB79" s="30"/>
      <c r="OC79" s="30"/>
      <c r="OD79" s="30"/>
      <c r="OE79" s="30"/>
      <c r="OF79" s="30"/>
      <c r="OG79" s="30"/>
      <c r="OH79" s="30"/>
      <c r="OI79" s="30"/>
      <c r="OJ79" s="30"/>
      <c r="OK79" s="30"/>
      <c r="OL79" s="30"/>
      <c r="OM79" s="30"/>
      <c r="ON79" s="30"/>
      <c r="OO79" s="30"/>
      <c r="OP79" s="30"/>
      <c r="OQ79" s="30"/>
      <c r="OR79" s="30"/>
      <c r="OS79" s="30"/>
      <c r="OT79" s="30"/>
      <c r="OU79" s="30"/>
      <c r="OV79" s="30"/>
      <c r="OW79" s="30"/>
      <c r="OX79" s="30"/>
      <c r="OY79" s="30"/>
      <c r="OZ79" s="30"/>
      <c r="PA79" s="30"/>
      <c r="PB79" s="30"/>
      <c r="PC79" s="30"/>
      <c r="PD79" s="30"/>
      <c r="PE79" s="30"/>
      <c r="PF79" s="30"/>
      <c r="PG79" s="30"/>
      <c r="PH79" s="30"/>
      <c r="PI79" s="30"/>
      <c r="PJ79" s="30"/>
      <c r="PK79" s="30"/>
      <c r="PL79" s="30"/>
      <c r="PM79" s="30"/>
      <c r="PN79" s="30"/>
      <c r="PO79" s="30"/>
      <c r="PP79" s="30"/>
      <c r="PQ79" s="30"/>
      <c r="PR79" s="30"/>
      <c r="PS79" s="30"/>
      <c r="PT79" s="30"/>
      <c r="PU79" s="30"/>
      <c r="PV79" s="30"/>
      <c r="PW79" s="30"/>
      <c r="PX79" s="30"/>
      <c r="PY79" s="30"/>
      <c r="PZ79" s="30"/>
      <c r="QA79" s="30"/>
      <c r="QB79" s="30"/>
      <c r="QC79" s="30"/>
      <c r="QD79" s="30"/>
      <c r="QE79" s="30"/>
      <c r="QF79" s="30"/>
      <c r="QG79" s="30"/>
      <c r="QH79" s="30"/>
      <c r="QI79" s="30"/>
      <c r="QJ79" s="30"/>
      <c r="QK79" s="30"/>
      <c r="QL79" s="30"/>
      <c r="QM79" s="30"/>
      <c r="QN79" s="30"/>
      <c r="QO79" s="30"/>
      <c r="QP79" s="30"/>
      <c r="QQ79" s="30"/>
      <c r="QR79" s="30"/>
      <c r="QS79" s="30"/>
      <c r="QT79" s="30"/>
      <c r="QU79" s="30"/>
      <c r="QV79" s="30"/>
      <c r="QW79" s="30"/>
      <c r="QX79" s="30"/>
      <c r="QY79" s="30"/>
      <c r="QZ79" s="30"/>
      <c r="RA79" s="30"/>
      <c r="RB79" s="30"/>
      <c r="RC79" s="30"/>
      <c r="RD79" s="30"/>
      <c r="RE79" s="30"/>
      <c r="RF79" s="30"/>
      <c r="RG79" s="30"/>
      <c r="RH79" s="30"/>
      <c r="RI79" s="30"/>
      <c r="RJ79" s="30"/>
      <c r="RK79" s="30"/>
      <c r="RL79" s="30"/>
      <c r="RM79" s="30"/>
      <c r="RN79" s="30"/>
      <c r="RO79" s="30"/>
      <c r="RP79" s="30"/>
      <c r="RQ79" s="30"/>
      <c r="RR79" s="30"/>
      <c r="RS79" s="30"/>
      <c r="RT79" s="30"/>
      <c r="RU79" s="30"/>
      <c r="RV79" s="30"/>
      <c r="RW79" s="30"/>
      <c r="RX79" s="30"/>
      <c r="RY79" s="30"/>
      <c r="RZ79" s="30"/>
      <c r="SA79" s="30"/>
      <c r="SB79" s="30"/>
      <c r="SC79" s="30"/>
      <c r="SD79" s="30"/>
      <c r="SE79" s="30"/>
      <c r="SF79" s="30"/>
      <c r="SG79" s="30"/>
      <c r="SH79" s="30"/>
      <c r="SI79" s="30"/>
      <c r="SJ79" s="30"/>
      <c r="SK79" s="30"/>
      <c r="SL79" s="30"/>
      <c r="SM79" s="30"/>
      <c r="SN79" s="30"/>
      <c r="SO79" s="30"/>
      <c r="SP79" s="30"/>
      <c r="SQ79" s="30"/>
      <c r="SR79" s="30"/>
      <c r="SS79" s="30"/>
      <c r="ST79" s="30"/>
      <c r="SU79" s="30"/>
      <c r="SV79" s="30"/>
      <c r="SW79" s="30"/>
      <c r="SX79" s="30"/>
      <c r="SY79" s="30"/>
      <c r="SZ79" s="30"/>
      <c r="TA79" s="30"/>
      <c r="TB79" s="30"/>
      <c r="TC79" s="30"/>
      <c r="TD79" s="30"/>
      <c r="TE79" s="30"/>
      <c r="TF79" s="30"/>
      <c r="TG79" s="30"/>
    </row>
    <row r="80" spans="1:527" s="24" customFormat="1" ht="47.25" x14ac:dyDescent="0.25">
      <c r="A80" s="88"/>
      <c r="B80" s="115"/>
      <c r="C80" s="115"/>
      <c r="D80" s="91" t="s">
        <v>386</v>
      </c>
      <c r="E80" s="105">
        <f t="shared" si="27"/>
        <v>2079380</v>
      </c>
      <c r="F80" s="105">
        <v>2079380</v>
      </c>
      <c r="G80" s="105"/>
      <c r="H80" s="105"/>
      <c r="I80" s="105"/>
      <c r="J80" s="105">
        <f t="shared" si="29"/>
        <v>0</v>
      </c>
      <c r="K80" s="105"/>
      <c r="L80" s="105"/>
      <c r="M80" s="105"/>
      <c r="N80" s="105"/>
      <c r="O80" s="105"/>
      <c r="P80" s="105">
        <f t="shared" si="28"/>
        <v>2079380</v>
      </c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0"/>
      <c r="NY80" s="30"/>
      <c r="NZ80" s="30"/>
      <c r="OA80" s="30"/>
      <c r="OB80" s="30"/>
      <c r="OC80" s="30"/>
      <c r="OD80" s="30"/>
      <c r="OE80" s="30"/>
      <c r="OF80" s="30"/>
      <c r="OG80" s="30"/>
      <c r="OH80" s="30"/>
      <c r="OI80" s="30"/>
      <c r="OJ80" s="30"/>
      <c r="OK80" s="30"/>
      <c r="OL80" s="30"/>
      <c r="OM80" s="30"/>
      <c r="ON80" s="30"/>
      <c r="OO80" s="30"/>
      <c r="OP80" s="30"/>
      <c r="OQ80" s="30"/>
      <c r="OR80" s="30"/>
      <c r="OS80" s="30"/>
      <c r="OT80" s="30"/>
      <c r="OU80" s="30"/>
      <c r="OV80" s="30"/>
      <c r="OW80" s="30"/>
      <c r="OX80" s="30"/>
      <c r="OY80" s="30"/>
      <c r="OZ80" s="30"/>
      <c r="PA80" s="30"/>
      <c r="PB80" s="30"/>
      <c r="PC80" s="30"/>
      <c r="PD80" s="30"/>
      <c r="PE80" s="30"/>
      <c r="PF80" s="30"/>
      <c r="PG80" s="30"/>
      <c r="PH80" s="30"/>
      <c r="PI80" s="30"/>
      <c r="PJ80" s="30"/>
      <c r="PK80" s="30"/>
      <c r="PL80" s="30"/>
      <c r="PM80" s="30"/>
      <c r="PN80" s="30"/>
      <c r="PO80" s="30"/>
      <c r="PP80" s="30"/>
      <c r="PQ80" s="30"/>
      <c r="PR80" s="30"/>
      <c r="PS80" s="30"/>
      <c r="PT80" s="30"/>
      <c r="PU80" s="30"/>
      <c r="PV80" s="30"/>
      <c r="PW80" s="30"/>
      <c r="PX80" s="30"/>
      <c r="PY80" s="30"/>
      <c r="PZ80" s="30"/>
      <c r="QA80" s="30"/>
      <c r="QB80" s="30"/>
      <c r="QC80" s="30"/>
      <c r="QD80" s="30"/>
      <c r="QE80" s="30"/>
      <c r="QF80" s="30"/>
      <c r="QG80" s="30"/>
      <c r="QH80" s="30"/>
      <c r="QI80" s="30"/>
      <c r="QJ80" s="30"/>
      <c r="QK80" s="30"/>
      <c r="QL80" s="30"/>
      <c r="QM80" s="30"/>
      <c r="QN80" s="30"/>
      <c r="QO80" s="30"/>
      <c r="QP80" s="30"/>
      <c r="QQ80" s="30"/>
      <c r="QR80" s="30"/>
      <c r="QS80" s="30"/>
      <c r="QT80" s="30"/>
      <c r="QU80" s="30"/>
      <c r="QV80" s="30"/>
      <c r="QW80" s="30"/>
      <c r="QX80" s="30"/>
      <c r="QY80" s="30"/>
      <c r="QZ80" s="30"/>
      <c r="RA80" s="30"/>
      <c r="RB80" s="30"/>
      <c r="RC80" s="30"/>
      <c r="RD80" s="30"/>
      <c r="RE80" s="30"/>
      <c r="RF80" s="30"/>
      <c r="RG80" s="30"/>
      <c r="RH80" s="30"/>
      <c r="RI80" s="30"/>
      <c r="RJ80" s="30"/>
      <c r="RK80" s="30"/>
      <c r="RL80" s="30"/>
      <c r="RM80" s="30"/>
      <c r="RN80" s="30"/>
      <c r="RO80" s="30"/>
      <c r="RP80" s="30"/>
      <c r="RQ80" s="30"/>
      <c r="RR80" s="30"/>
      <c r="RS80" s="30"/>
      <c r="RT80" s="30"/>
      <c r="RU80" s="30"/>
      <c r="RV80" s="30"/>
      <c r="RW80" s="30"/>
      <c r="RX80" s="30"/>
      <c r="RY80" s="30"/>
      <c r="RZ80" s="30"/>
      <c r="SA80" s="30"/>
      <c r="SB80" s="30"/>
      <c r="SC80" s="30"/>
      <c r="SD80" s="30"/>
      <c r="SE80" s="30"/>
      <c r="SF80" s="30"/>
      <c r="SG80" s="30"/>
      <c r="SH80" s="30"/>
      <c r="SI80" s="30"/>
      <c r="SJ80" s="30"/>
      <c r="SK80" s="30"/>
      <c r="SL80" s="30"/>
      <c r="SM80" s="30"/>
      <c r="SN80" s="30"/>
      <c r="SO80" s="30"/>
      <c r="SP80" s="30"/>
      <c r="SQ80" s="30"/>
      <c r="SR80" s="30"/>
      <c r="SS80" s="30"/>
      <c r="ST80" s="30"/>
      <c r="SU80" s="30"/>
      <c r="SV80" s="30"/>
      <c r="SW80" s="30"/>
      <c r="SX80" s="30"/>
      <c r="SY80" s="30"/>
      <c r="SZ80" s="30"/>
      <c r="TA80" s="30"/>
      <c r="TB80" s="30"/>
      <c r="TC80" s="30"/>
      <c r="TD80" s="30"/>
      <c r="TE80" s="30"/>
      <c r="TF80" s="30"/>
      <c r="TG80" s="30"/>
    </row>
    <row r="81" spans="1:527" s="22" customFormat="1" ht="65.25" customHeight="1" x14ac:dyDescent="0.25">
      <c r="A81" s="60" t="s">
        <v>485</v>
      </c>
      <c r="B81" s="60" t="s">
        <v>486</v>
      </c>
      <c r="C81" s="60" t="s">
        <v>56</v>
      </c>
      <c r="D81" s="61" t="s">
        <v>515</v>
      </c>
      <c r="E81" s="103">
        <f t="shared" si="27"/>
        <v>15564500</v>
      </c>
      <c r="F81" s="103">
        <v>15564500</v>
      </c>
      <c r="G81" s="103">
        <v>12769100</v>
      </c>
      <c r="H81" s="103"/>
      <c r="I81" s="103"/>
      <c r="J81" s="103">
        <f t="shared" si="29"/>
        <v>0</v>
      </c>
      <c r="K81" s="103"/>
      <c r="L81" s="103"/>
      <c r="M81" s="103"/>
      <c r="N81" s="103"/>
      <c r="O81" s="103"/>
      <c r="P81" s="103">
        <f t="shared" si="28"/>
        <v>15564500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  <c r="TG81" s="23"/>
    </row>
    <row r="82" spans="1:527" s="24" customFormat="1" ht="31.5" x14ac:dyDescent="0.25">
      <c r="A82" s="88"/>
      <c r="B82" s="115"/>
      <c r="C82" s="115"/>
      <c r="D82" s="91" t="s">
        <v>391</v>
      </c>
      <c r="E82" s="105">
        <f t="shared" ref="E82:E86" si="30">F82+I82</f>
        <v>15564500</v>
      </c>
      <c r="F82" s="105">
        <v>15564500</v>
      </c>
      <c r="G82" s="105">
        <v>12769100</v>
      </c>
      <c r="H82" s="105"/>
      <c r="I82" s="105"/>
      <c r="J82" s="105">
        <f t="shared" ref="J82" si="31">L82+O82</f>
        <v>0</v>
      </c>
      <c r="K82" s="105"/>
      <c r="L82" s="105"/>
      <c r="M82" s="105"/>
      <c r="N82" s="105"/>
      <c r="O82" s="105"/>
      <c r="P82" s="105">
        <f t="shared" ref="P82" si="32">E82+J82</f>
        <v>15564500</v>
      </c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0"/>
      <c r="NY82" s="30"/>
      <c r="NZ82" s="30"/>
      <c r="OA82" s="30"/>
      <c r="OB82" s="30"/>
      <c r="OC82" s="30"/>
      <c r="OD82" s="30"/>
      <c r="OE82" s="30"/>
      <c r="OF82" s="30"/>
      <c r="OG82" s="30"/>
      <c r="OH82" s="30"/>
      <c r="OI82" s="30"/>
      <c r="OJ82" s="30"/>
      <c r="OK82" s="30"/>
      <c r="OL82" s="30"/>
      <c r="OM82" s="30"/>
      <c r="ON82" s="30"/>
      <c r="OO82" s="30"/>
      <c r="OP82" s="30"/>
      <c r="OQ82" s="30"/>
      <c r="OR82" s="30"/>
      <c r="OS82" s="30"/>
      <c r="OT82" s="30"/>
      <c r="OU82" s="30"/>
      <c r="OV82" s="30"/>
      <c r="OW82" s="30"/>
      <c r="OX82" s="30"/>
      <c r="OY82" s="30"/>
      <c r="OZ82" s="30"/>
      <c r="PA82" s="30"/>
      <c r="PB82" s="30"/>
      <c r="PC82" s="30"/>
      <c r="PD82" s="30"/>
      <c r="PE82" s="30"/>
      <c r="PF82" s="30"/>
      <c r="PG82" s="30"/>
      <c r="PH82" s="30"/>
      <c r="PI82" s="30"/>
      <c r="PJ82" s="30"/>
      <c r="PK82" s="30"/>
      <c r="PL82" s="30"/>
      <c r="PM82" s="30"/>
      <c r="PN82" s="30"/>
      <c r="PO82" s="30"/>
      <c r="PP82" s="30"/>
      <c r="PQ82" s="30"/>
      <c r="PR82" s="30"/>
      <c r="PS82" s="30"/>
      <c r="PT82" s="30"/>
      <c r="PU82" s="30"/>
      <c r="PV82" s="30"/>
      <c r="PW82" s="30"/>
      <c r="PX82" s="30"/>
      <c r="PY82" s="30"/>
      <c r="PZ82" s="30"/>
      <c r="QA82" s="30"/>
      <c r="QB82" s="30"/>
      <c r="QC82" s="30"/>
      <c r="QD82" s="30"/>
      <c r="QE82" s="30"/>
      <c r="QF82" s="30"/>
      <c r="QG82" s="30"/>
      <c r="QH82" s="30"/>
      <c r="QI82" s="30"/>
      <c r="QJ82" s="30"/>
      <c r="QK82" s="30"/>
      <c r="QL82" s="30"/>
      <c r="QM82" s="30"/>
      <c r="QN82" s="30"/>
      <c r="QO82" s="30"/>
      <c r="QP82" s="30"/>
      <c r="QQ82" s="30"/>
      <c r="QR82" s="30"/>
      <c r="QS82" s="30"/>
      <c r="QT82" s="30"/>
      <c r="QU82" s="30"/>
      <c r="QV82" s="30"/>
      <c r="QW82" s="30"/>
      <c r="QX82" s="30"/>
      <c r="QY82" s="30"/>
      <c r="QZ82" s="30"/>
      <c r="RA82" s="30"/>
      <c r="RB82" s="30"/>
      <c r="RC82" s="30"/>
      <c r="RD82" s="30"/>
      <c r="RE82" s="30"/>
      <c r="RF82" s="30"/>
      <c r="RG82" s="30"/>
      <c r="RH82" s="30"/>
      <c r="RI82" s="30"/>
      <c r="RJ82" s="30"/>
      <c r="RK82" s="30"/>
      <c r="RL82" s="30"/>
      <c r="RM82" s="30"/>
      <c r="RN82" s="30"/>
      <c r="RO82" s="30"/>
      <c r="RP82" s="30"/>
      <c r="RQ82" s="30"/>
      <c r="RR82" s="30"/>
      <c r="RS82" s="30"/>
      <c r="RT82" s="30"/>
      <c r="RU82" s="30"/>
      <c r="RV82" s="30"/>
      <c r="RW82" s="30"/>
      <c r="RX82" s="30"/>
      <c r="RY82" s="30"/>
      <c r="RZ82" s="30"/>
      <c r="SA82" s="30"/>
      <c r="SB82" s="30"/>
      <c r="SC82" s="30"/>
      <c r="SD82" s="30"/>
      <c r="SE82" s="30"/>
      <c r="SF82" s="30"/>
      <c r="SG82" s="30"/>
      <c r="SH82" s="30"/>
      <c r="SI82" s="30"/>
      <c r="SJ82" s="30"/>
      <c r="SK82" s="30"/>
      <c r="SL82" s="30"/>
      <c r="SM82" s="30"/>
      <c r="SN82" s="30"/>
      <c r="SO82" s="30"/>
      <c r="SP82" s="30"/>
      <c r="SQ82" s="30"/>
      <c r="SR82" s="30"/>
      <c r="SS82" s="30"/>
      <c r="ST82" s="30"/>
      <c r="SU82" s="30"/>
      <c r="SV82" s="30"/>
      <c r="SW82" s="30"/>
      <c r="SX82" s="30"/>
      <c r="SY82" s="30"/>
      <c r="SZ82" s="30"/>
      <c r="TA82" s="30"/>
      <c r="TB82" s="30"/>
      <c r="TC82" s="30"/>
      <c r="TD82" s="30"/>
      <c r="TE82" s="30"/>
      <c r="TF82" s="30"/>
      <c r="TG82" s="30"/>
    </row>
    <row r="83" spans="1:527" s="24" customFormat="1" ht="31.5" x14ac:dyDescent="0.25">
      <c r="A83" s="60" t="s">
        <v>549</v>
      </c>
      <c r="B83" s="97">
        <v>1061</v>
      </c>
      <c r="C83" s="60" t="s">
        <v>52</v>
      </c>
      <c r="D83" s="36" t="s">
        <v>514</v>
      </c>
      <c r="E83" s="103">
        <f t="shared" si="30"/>
        <v>875481.59999999998</v>
      </c>
      <c r="F83" s="103">
        <f>664981.6+246000+9700-45200</f>
        <v>875481.59999999998</v>
      </c>
      <c r="G83" s="105"/>
      <c r="H83" s="105"/>
      <c r="I83" s="105"/>
      <c r="J83" s="103">
        <f t="shared" si="29"/>
        <v>6182261.1799999997</v>
      </c>
      <c r="K83" s="103">
        <f>377160+3253691+1754000+761910.18-9700+45200</f>
        <v>6182261.1799999997</v>
      </c>
      <c r="L83" s="103"/>
      <c r="M83" s="103"/>
      <c r="N83" s="103"/>
      <c r="O83" s="103">
        <f>377160+3253691+1754000+761910.18-9700+45200</f>
        <v>6182261.1799999997</v>
      </c>
      <c r="P83" s="103">
        <f t="shared" si="28"/>
        <v>7057742.7799999993</v>
      </c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</row>
    <row r="84" spans="1:527" s="24" customFormat="1" ht="46.5" customHeight="1" x14ac:dyDescent="0.25">
      <c r="A84" s="88"/>
      <c r="B84" s="115"/>
      <c r="C84" s="88"/>
      <c r="D84" s="91" t="s">
        <v>565</v>
      </c>
      <c r="E84" s="105">
        <f>F84+I84</f>
        <v>246000</v>
      </c>
      <c r="F84" s="105">
        <v>246000</v>
      </c>
      <c r="G84" s="105"/>
      <c r="H84" s="105"/>
      <c r="I84" s="105"/>
      <c r="J84" s="105">
        <f>L84+O84</f>
        <v>1754000</v>
      </c>
      <c r="K84" s="105">
        <v>1754000</v>
      </c>
      <c r="L84" s="105"/>
      <c r="M84" s="105"/>
      <c r="N84" s="105"/>
      <c r="O84" s="105">
        <v>1754000</v>
      </c>
      <c r="P84" s="105">
        <f t="shared" si="28"/>
        <v>2000000</v>
      </c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  <c r="SQ84" s="30"/>
      <c r="SR84" s="30"/>
      <c r="SS84" s="30"/>
      <c r="ST84" s="30"/>
      <c r="SU84" s="30"/>
      <c r="SV84" s="30"/>
      <c r="SW84" s="30"/>
      <c r="SX84" s="30"/>
      <c r="SY84" s="30"/>
      <c r="SZ84" s="30"/>
      <c r="TA84" s="30"/>
      <c r="TB84" s="30"/>
      <c r="TC84" s="30"/>
      <c r="TD84" s="30"/>
      <c r="TE84" s="30"/>
      <c r="TF84" s="30"/>
      <c r="TG84" s="30"/>
    </row>
    <row r="85" spans="1:527" s="24" customFormat="1" ht="31.5" x14ac:dyDescent="0.25">
      <c r="A85" s="88"/>
      <c r="B85" s="115"/>
      <c r="C85" s="88"/>
      <c r="D85" s="91" t="s">
        <v>562</v>
      </c>
      <c r="E85" s="105">
        <f t="shared" ref="E85:E87" si="33">F85+I85</f>
        <v>629481.6</v>
      </c>
      <c r="F85" s="105">
        <f>664981.6+9700-45200</f>
        <v>629481.6</v>
      </c>
      <c r="G85" s="105"/>
      <c r="H85" s="105"/>
      <c r="I85" s="105"/>
      <c r="J85" s="105">
        <f t="shared" ref="J85" si="34">L85+O85</f>
        <v>4428261.18</v>
      </c>
      <c r="K85" s="105">
        <f>377160+3253691+761910.18-9700+45200</f>
        <v>4428261.18</v>
      </c>
      <c r="L85" s="105"/>
      <c r="M85" s="105"/>
      <c r="N85" s="105"/>
      <c r="O85" s="105">
        <f>377160+3253691+761910.18-9700+45200</f>
        <v>4428261.18</v>
      </c>
      <c r="P85" s="105">
        <f t="shared" si="28"/>
        <v>5057742.7799999993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  <c r="TF85" s="30"/>
      <c r="TG85" s="30"/>
    </row>
    <row r="86" spans="1:527" s="24" customFormat="1" ht="63" x14ac:dyDescent="0.25">
      <c r="A86" s="60" t="s">
        <v>556</v>
      </c>
      <c r="B86" s="97">
        <v>1062</v>
      </c>
      <c r="C86" s="60" t="s">
        <v>56</v>
      </c>
      <c r="D86" s="61" t="s">
        <v>515</v>
      </c>
      <c r="E86" s="103">
        <f t="shared" si="30"/>
        <v>40000</v>
      </c>
      <c r="F86" s="103">
        <v>40000</v>
      </c>
      <c r="G86" s="105"/>
      <c r="H86" s="105"/>
      <c r="I86" s="105"/>
      <c r="J86" s="103">
        <f>L86+O86</f>
        <v>0</v>
      </c>
      <c r="K86" s="105"/>
      <c r="L86" s="105"/>
      <c r="M86" s="105"/>
      <c r="N86" s="105"/>
      <c r="O86" s="105"/>
      <c r="P86" s="103">
        <f t="shared" si="28"/>
        <v>40000</v>
      </c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</row>
    <row r="87" spans="1:527" s="24" customFormat="1" ht="31.5" x14ac:dyDescent="0.25">
      <c r="A87" s="88"/>
      <c r="B87" s="115"/>
      <c r="C87" s="88"/>
      <c r="D87" s="91" t="s">
        <v>562</v>
      </c>
      <c r="E87" s="105">
        <f t="shared" si="33"/>
        <v>40000</v>
      </c>
      <c r="F87" s="105">
        <v>40000</v>
      </c>
      <c r="G87" s="105"/>
      <c r="H87" s="105"/>
      <c r="I87" s="105"/>
      <c r="J87" s="105">
        <f>L87+O87</f>
        <v>0</v>
      </c>
      <c r="K87" s="105"/>
      <c r="L87" s="105"/>
      <c r="M87" s="105"/>
      <c r="N87" s="105"/>
      <c r="O87" s="105"/>
      <c r="P87" s="105">
        <f t="shared" si="28"/>
        <v>40000</v>
      </c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  <c r="TG87" s="30"/>
    </row>
    <row r="88" spans="1:527" s="22" customFormat="1" ht="36.75" customHeight="1" x14ac:dyDescent="0.25">
      <c r="A88" s="60" t="s">
        <v>487</v>
      </c>
      <c r="B88" s="60" t="s">
        <v>55</v>
      </c>
      <c r="C88" s="60" t="s">
        <v>58</v>
      </c>
      <c r="D88" s="61" t="s">
        <v>367</v>
      </c>
      <c r="E88" s="103">
        <f t="shared" si="27"/>
        <v>34592700</v>
      </c>
      <c r="F88" s="103">
        <f>34328200+64500+200000</f>
        <v>34592700</v>
      </c>
      <c r="G88" s="103">
        <v>25836800</v>
      </c>
      <c r="H88" s="103">
        <v>2353200</v>
      </c>
      <c r="I88" s="103"/>
      <c r="J88" s="103">
        <f t="shared" si="29"/>
        <v>112500</v>
      </c>
      <c r="K88" s="103">
        <v>112500</v>
      </c>
      <c r="L88" s="103"/>
      <c r="M88" s="103"/>
      <c r="N88" s="103"/>
      <c r="O88" s="103">
        <v>112500</v>
      </c>
      <c r="P88" s="103">
        <f t="shared" si="28"/>
        <v>34705200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N88" s="23"/>
      <c r="MO88" s="23"/>
      <c r="MP88" s="23"/>
      <c r="MQ88" s="23"/>
      <c r="MR88" s="23"/>
      <c r="MS88" s="23"/>
      <c r="MT88" s="23"/>
      <c r="MU88" s="23"/>
      <c r="MV88" s="23"/>
      <c r="MW88" s="23"/>
      <c r="MX88" s="23"/>
      <c r="MY88" s="23"/>
      <c r="MZ88" s="23"/>
      <c r="NA88" s="23"/>
      <c r="NB88" s="23"/>
      <c r="NC88" s="23"/>
      <c r="ND88" s="23"/>
      <c r="NE88" s="23"/>
      <c r="NF88" s="23"/>
      <c r="NG88" s="23"/>
      <c r="NH88" s="23"/>
      <c r="NI88" s="23"/>
      <c r="NJ88" s="23"/>
      <c r="NK88" s="23"/>
      <c r="NL88" s="23"/>
      <c r="NM88" s="23"/>
      <c r="NN88" s="23"/>
      <c r="NO88" s="23"/>
      <c r="NP88" s="23"/>
      <c r="NQ88" s="23"/>
      <c r="NR88" s="23"/>
      <c r="NS88" s="23"/>
      <c r="NT88" s="23"/>
      <c r="NU88" s="23"/>
      <c r="NV88" s="23"/>
      <c r="NW88" s="23"/>
      <c r="NX88" s="23"/>
      <c r="NY88" s="23"/>
      <c r="NZ88" s="23"/>
      <c r="OA88" s="23"/>
      <c r="OB88" s="23"/>
      <c r="OC88" s="23"/>
      <c r="OD88" s="23"/>
      <c r="OE88" s="23"/>
      <c r="OF88" s="23"/>
      <c r="OG88" s="23"/>
      <c r="OH88" s="23"/>
      <c r="OI88" s="23"/>
      <c r="OJ88" s="23"/>
      <c r="OK88" s="23"/>
      <c r="OL88" s="23"/>
      <c r="OM88" s="23"/>
      <c r="ON88" s="23"/>
      <c r="OO88" s="23"/>
      <c r="OP88" s="23"/>
      <c r="OQ88" s="23"/>
      <c r="OR88" s="23"/>
      <c r="OS88" s="23"/>
      <c r="OT88" s="23"/>
      <c r="OU88" s="23"/>
      <c r="OV88" s="23"/>
      <c r="OW88" s="23"/>
      <c r="OX88" s="23"/>
      <c r="OY88" s="23"/>
      <c r="OZ88" s="23"/>
      <c r="PA88" s="23"/>
      <c r="PB88" s="23"/>
      <c r="PC88" s="23"/>
      <c r="PD88" s="23"/>
      <c r="PE88" s="23"/>
      <c r="PF88" s="23"/>
      <c r="PG88" s="23"/>
      <c r="PH88" s="23"/>
      <c r="PI88" s="23"/>
      <c r="PJ88" s="23"/>
      <c r="PK88" s="23"/>
      <c r="PL88" s="23"/>
      <c r="PM88" s="23"/>
      <c r="PN88" s="23"/>
      <c r="PO88" s="23"/>
      <c r="PP88" s="23"/>
      <c r="PQ88" s="23"/>
      <c r="PR88" s="23"/>
      <c r="PS88" s="23"/>
      <c r="PT88" s="23"/>
      <c r="PU88" s="23"/>
      <c r="PV88" s="23"/>
      <c r="PW88" s="23"/>
      <c r="PX88" s="23"/>
      <c r="PY88" s="23"/>
      <c r="PZ88" s="23"/>
      <c r="QA88" s="23"/>
      <c r="QB88" s="23"/>
      <c r="QC88" s="23"/>
      <c r="QD88" s="23"/>
      <c r="QE88" s="23"/>
      <c r="QF88" s="23"/>
      <c r="QG88" s="23"/>
      <c r="QH88" s="23"/>
      <c r="QI88" s="23"/>
      <c r="QJ88" s="23"/>
      <c r="QK88" s="23"/>
      <c r="QL88" s="23"/>
      <c r="QM88" s="23"/>
      <c r="QN88" s="23"/>
      <c r="QO88" s="23"/>
      <c r="QP88" s="23"/>
      <c r="QQ88" s="23"/>
      <c r="QR88" s="23"/>
      <c r="QS88" s="23"/>
      <c r="QT88" s="23"/>
      <c r="QU88" s="23"/>
      <c r="QV88" s="23"/>
      <c r="QW88" s="23"/>
      <c r="QX88" s="23"/>
      <c r="QY88" s="23"/>
      <c r="QZ88" s="23"/>
      <c r="RA88" s="23"/>
      <c r="RB88" s="23"/>
      <c r="RC88" s="23"/>
      <c r="RD88" s="23"/>
      <c r="RE88" s="23"/>
      <c r="RF88" s="23"/>
      <c r="RG88" s="23"/>
      <c r="RH88" s="23"/>
      <c r="RI88" s="23"/>
      <c r="RJ88" s="23"/>
      <c r="RK88" s="23"/>
      <c r="RL88" s="23"/>
      <c r="RM88" s="23"/>
      <c r="RN88" s="23"/>
      <c r="RO88" s="23"/>
      <c r="RP88" s="23"/>
      <c r="RQ88" s="23"/>
      <c r="RR88" s="23"/>
      <c r="RS88" s="23"/>
      <c r="RT88" s="23"/>
      <c r="RU88" s="23"/>
      <c r="RV88" s="23"/>
      <c r="RW88" s="23"/>
      <c r="RX88" s="23"/>
      <c r="RY88" s="23"/>
      <c r="RZ88" s="23"/>
      <c r="SA88" s="23"/>
      <c r="SB88" s="23"/>
      <c r="SC88" s="23"/>
      <c r="SD88" s="23"/>
      <c r="SE88" s="23"/>
      <c r="SF88" s="23"/>
      <c r="SG88" s="23"/>
      <c r="SH88" s="23"/>
      <c r="SI88" s="23"/>
      <c r="SJ88" s="23"/>
      <c r="SK88" s="23"/>
      <c r="SL88" s="23"/>
      <c r="SM88" s="23"/>
      <c r="SN88" s="23"/>
      <c r="SO88" s="23"/>
      <c r="SP88" s="23"/>
      <c r="SQ88" s="23"/>
      <c r="SR88" s="23"/>
      <c r="SS88" s="23"/>
      <c r="ST88" s="23"/>
      <c r="SU88" s="23"/>
      <c r="SV88" s="23"/>
      <c r="SW88" s="23"/>
      <c r="SX88" s="23"/>
      <c r="SY88" s="23"/>
      <c r="SZ88" s="23"/>
      <c r="TA88" s="23"/>
      <c r="TB88" s="23"/>
      <c r="TC88" s="23"/>
      <c r="TD88" s="23"/>
      <c r="TE88" s="23"/>
      <c r="TF88" s="23"/>
      <c r="TG88" s="23"/>
    </row>
    <row r="89" spans="1:527" s="22" customFormat="1" ht="31.5" x14ac:dyDescent="0.25">
      <c r="A89" s="60" t="s">
        <v>488</v>
      </c>
      <c r="B89" s="60" t="s">
        <v>489</v>
      </c>
      <c r="C89" s="60" t="s">
        <v>59</v>
      </c>
      <c r="D89" s="36" t="s">
        <v>521</v>
      </c>
      <c r="E89" s="103">
        <f t="shared" si="27"/>
        <v>11329130</v>
      </c>
      <c r="F89" s="103">
        <f>11229130+100000</f>
        <v>11329130</v>
      </c>
      <c r="G89" s="103">
        <v>8331500</v>
      </c>
      <c r="H89" s="103">
        <v>527130</v>
      </c>
      <c r="I89" s="103"/>
      <c r="J89" s="103">
        <f t="shared" si="29"/>
        <v>0</v>
      </c>
      <c r="K89" s="103">
        <f>100000-100000</f>
        <v>0</v>
      </c>
      <c r="L89" s="103"/>
      <c r="M89" s="103"/>
      <c r="N89" s="103"/>
      <c r="O89" s="103">
        <f>100000-100000</f>
        <v>0</v>
      </c>
      <c r="P89" s="103">
        <f t="shared" si="28"/>
        <v>11329130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  <c r="LQ89" s="23"/>
      <c r="LR89" s="23"/>
      <c r="LS89" s="23"/>
      <c r="LT89" s="23"/>
      <c r="LU89" s="23"/>
      <c r="LV89" s="23"/>
      <c r="LW89" s="23"/>
      <c r="LX89" s="23"/>
      <c r="LY89" s="23"/>
      <c r="LZ89" s="23"/>
      <c r="MA89" s="23"/>
      <c r="MB89" s="23"/>
      <c r="MC89" s="23"/>
      <c r="MD89" s="23"/>
      <c r="ME89" s="23"/>
      <c r="MF89" s="23"/>
      <c r="MG89" s="23"/>
      <c r="MH89" s="23"/>
      <c r="MI89" s="23"/>
      <c r="MJ89" s="23"/>
      <c r="MK89" s="23"/>
      <c r="ML89" s="23"/>
      <c r="MM89" s="23"/>
      <c r="MN89" s="23"/>
      <c r="MO89" s="23"/>
      <c r="MP89" s="23"/>
      <c r="MQ89" s="23"/>
      <c r="MR89" s="23"/>
      <c r="MS89" s="23"/>
      <c r="MT89" s="23"/>
      <c r="MU89" s="23"/>
      <c r="MV89" s="23"/>
      <c r="MW89" s="23"/>
      <c r="MX89" s="23"/>
      <c r="MY89" s="23"/>
      <c r="MZ89" s="23"/>
      <c r="NA89" s="23"/>
      <c r="NB89" s="23"/>
      <c r="NC89" s="23"/>
      <c r="ND89" s="23"/>
      <c r="NE89" s="23"/>
      <c r="NF89" s="23"/>
      <c r="NG89" s="23"/>
      <c r="NH89" s="23"/>
      <c r="NI89" s="23"/>
      <c r="NJ89" s="23"/>
      <c r="NK89" s="23"/>
      <c r="NL89" s="23"/>
      <c r="NM89" s="23"/>
      <c r="NN89" s="23"/>
      <c r="NO89" s="23"/>
      <c r="NP89" s="23"/>
      <c r="NQ89" s="23"/>
      <c r="NR89" s="23"/>
      <c r="NS89" s="23"/>
      <c r="NT89" s="23"/>
      <c r="NU89" s="23"/>
      <c r="NV89" s="23"/>
      <c r="NW89" s="23"/>
      <c r="NX89" s="23"/>
      <c r="NY89" s="23"/>
      <c r="NZ89" s="23"/>
      <c r="OA89" s="23"/>
      <c r="OB89" s="23"/>
      <c r="OC89" s="23"/>
      <c r="OD89" s="23"/>
      <c r="OE89" s="23"/>
      <c r="OF89" s="23"/>
      <c r="OG89" s="23"/>
      <c r="OH89" s="23"/>
      <c r="OI89" s="23"/>
      <c r="OJ89" s="23"/>
      <c r="OK89" s="23"/>
      <c r="OL89" s="23"/>
      <c r="OM89" s="23"/>
      <c r="ON89" s="23"/>
      <c r="OO89" s="23"/>
      <c r="OP89" s="23"/>
      <c r="OQ89" s="23"/>
      <c r="OR89" s="23"/>
      <c r="OS89" s="23"/>
      <c r="OT89" s="23"/>
      <c r="OU89" s="23"/>
      <c r="OV89" s="23"/>
      <c r="OW89" s="23"/>
      <c r="OX89" s="23"/>
      <c r="OY89" s="23"/>
      <c r="OZ89" s="23"/>
      <c r="PA89" s="23"/>
      <c r="PB89" s="23"/>
      <c r="PC89" s="23"/>
      <c r="PD89" s="23"/>
      <c r="PE89" s="23"/>
      <c r="PF89" s="23"/>
      <c r="PG89" s="23"/>
      <c r="PH89" s="23"/>
      <c r="PI89" s="23"/>
      <c r="PJ89" s="23"/>
      <c r="PK89" s="23"/>
      <c r="PL89" s="23"/>
      <c r="PM89" s="23"/>
      <c r="PN89" s="23"/>
      <c r="PO89" s="23"/>
      <c r="PP89" s="23"/>
      <c r="PQ89" s="23"/>
      <c r="PR89" s="23"/>
      <c r="PS89" s="23"/>
      <c r="PT89" s="23"/>
      <c r="PU89" s="23"/>
      <c r="PV89" s="23"/>
      <c r="PW89" s="23"/>
      <c r="PX89" s="23"/>
      <c r="PY89" s="23"/>
      <c r="PZ89" s="23"/>
      <c r="QA89" s="23"/>
      <c r="QB89" s="23"/>
      <c r="QC89" s="23"/>
      <c r="QD89" s="23"/>
      <c r="QE89" s="23"/>
      <c r="QF89" s="23"/>
      <c r="QG89" s="23"/>
      <c r="QH89" s="23"/>
      <c r="QI89" s="23"/>
      <c r="QJ89" s="23"/>
      <c r="QK89" s="23"/>
      <c r="QL89" s="23"/>
      <c r="QM89" s="23"/>
      <c r="QN89" s="23"/>
      <c r="QO89" s="23"/>
      <c r="QP89" s="23"/>
      <c r="QQ89" s="23"/>
      <c r="QR89" s="23"/>
      <c r="QS89" s="23"/>
      <c r="QT89" s="23"/>
      <c r="QU89" s="23"/>
      <c r="QV89" s="23"/>
      <c r="QW89" s="23"/>
      <c r="QX89" s="23"/>
      <c r="QY89" s="23"/>
      <c r="QZ89" s="23"/>
      <c r="RA89" s="23"/>
      <c r="RB89" s="23"/>
      <c r="RC89" s="23"/>
      <c r="RD89" s="23"/>
      <c r="RE89" s="23"/>
      <c r="RF89" s="23"/>
      <c r="RG89" s="23"/>
      <c r="RH89" s="23"/>
      <c r="RI89" s="23"/>
      <c r="RJ89" s="23"/>
      <c r="RK89" s="23"/>
      <c r="RL89" s="23"/>
      <c r="RM89" s="23"/>
      <c r="RN89" s="23"/>
      <c r="RO89" s="23"/>
      <c r="RP89" s="23"/>
      <c r="RQ89" s="23"/>
      <c r="RR89" s="23"/>
      <c r="RS89" s="23"/>
      <c r="RT89" s="23"/>
      <c r="RU89" s="23"/>
      <c r="RV89" s="23"/>
      <c r="RW89" s="23"/>
      <c r="RX89" s="23"/>
      <c r="RY89" s="23"/>
      <c r="RZ89" s="23"/>
      <c r="SA89" s="23"/>
      <c r="SB89" s="23"/>
      <c r="SC89" s="23"/>
      <c r="SD89" s="23"/>
      <c r="SE89" s="23"/>
      <c r="SF89" s="23"/>
      <c r="SG89" s="23"/>
      <c r="SH89" s="23"/>
      <c r="SI89" s="23"/>
      <c r="SJ89" s="23"/>
      <c r="SK89" s="23"/>
      <c r="SL89" s="23"/>
      <c r="SM89" s="23"/>
      <c r="SN89" s="23"/>
      <c r="SO89" s="23"/>
      <c r="SP89" s="23"/>
      <c r="SQ89" s="23"/>
      <c r="SR89" s="23"/>
      <c r="SS89" s="23"/>
      <c r="ST89" s="23"/>
      <c r="SU89" s="23"/>
      <c r="SV89" s="23"/>
      <c r="SW89" s="23"/>
      <c r="SX89" s="23"/>
      <c r="SY89" s="23"/>
      <c r="SZ89" s="23"/>
      <c r="TA89" s="23"/>
      <c r="TB89" s="23"/>
      <c r="TC89" s="23"/>
      <c r="TD89" s="23"/>
      <c r="TE89" s="23"/>
      <c r="TF89" s="23"/>
      <c r="TG89" s="23"/>
    </row>
    <row r="90" spans="1:527" s="22" customFormat="1" ht="15.75" x14ac:dyDescent="0.25">
      <c r="A90" s="60" t="s">
        <v>490</v>
      </c>
      <c r="B90" s="60" t="s">
        <v>491</v>
      </c>
      <c r="C90" s="60" t="s">
        <v>59</v>
      </c>
      <c r="D90" s="36" t="s">
        <v>283</v>
      </c>
      <c r="E90" s="103">
        <f t="shared" si="27"/>
        <v>113000</v>
      </c>
      <c r="F90" s="103">
        <v>113000</v>
      </c>
      <c r="G90" s="103"/>
      <c r="H90" s="103"/>
      <c r="I90" s="103"/>
      <c r="J90" s="103">
        <f t="shared" ref="J90" si="35">L90+O90</f>
        <v>0</v>
      </c>
      <c r="K90" s="103"/>
      <c r="L90" s="103"/>
      <c r="M90" s="103"/>
      <c r="N90" s="103"/>
      <c r="O90" s="103"/>
      <c r="P90" s="103">
        <f t="shared" ref="P90" si="36">E90+J90</f>
        <v>113000</v>
      </c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N90" s="23"/>
      <c r="MO90" s="23"/>
      <c r="MP90" s="23"/>
      <c r="MQ90" s="23"/>
      <c r="MR90" s="23"/>
      <c r="MS90" s="23"/>
      <c r="MT90" s="23"/>
      <c r="MU90" s="23"/>
      <c r="MV90" s="23"/>
      <c r="MW90" s="23"/>
      <c r="MX90" s="23"/>
      <c r="MY90" s="23"/>
      <c r="MZ90" s="23"/>
      <c r="NA90" s="23"/>
      <c r="NB90" s="23"/>
      <c r="NC90" s="23"/>
      <c r="ND90" s="23"/>
      <c r="NE90" s="23"/>
      <c r="NF90" s="23"/>
      <c r="NG90" s="23"/>
      <c r="NH90" s="23"/>
      <c r="NI90" s="23"/>
      <c r="NJ90" s="23"/>
      <c r="NK90" s="23"/>
      <c r="NL90" s="23"/>
      <c r="NM90" s="23"/>
      <c r="NN90" s="23"/>
      <c r="NO90" s="23"/>
      <c r="NP90" s="23"/>
      <c r="NQ90" s="23"/>
      <c r="NR90" s="23"/>
      <c r="NS90" s="23"/>
      <c r="NT90" s="23"/>
      <c r="NU90" s="23"/>
      <c r="NV90" s="23"/>
      <c r="NW90" s="23"/>
      <c r="NX90" s="23"/>
      <c r="NY90" s="23"/>
      <c r="NZ90" s="23"/>
      <c r="OA90" s="23"/>
      <c r="OB90" s="23"/>
      <c r="OC90" s="23"/>
      <c r="OD90" s="23"/>
      <c r="OE90" s="23"/>
      <c r="OF90" s="23"/>
      <c r="OG90" s="23"/>
      <c r="OH90" s="23"/>
      <c r="OI90" s="23"/>
      <c r="OJ90" s="23"/>
      <c r="OK90" s="23"/>
      <c r="OL90" s="23"/>
      <c r="OM90" s="23"/>
      <c r="ON90" s="23"/>
      <c r="OO90" s="23"/>
      <c r="OP90" s="23"/>
      <c r="OQ90" s="23"/>
      <c r="OR90" s="23"/>
      <c r="OS90" s="23"/>
      <c r="OT90" s="23"/>
      <c r="OU90" s="23"/>
      <c r="OV90" s="23"/>
      <c r="OW90" s="23"/>
      <c r="OX90" s="23"/>
      <c r="OY90" s="23"/>
      <c r="OZ90" s="23"/>
      <c r="PA90" s="23"/>
      <c r="PB90" s="23"/>
      <c r="PC90" s="23"/>
      <c r="PD90" s="23"/>
      <c r="PE90" s="23"/>
      <c r="PF90" s="23"/>
      <c r="PG90" s="23"/>
      <c r="PH90" s="23"/>
      <c r="PI90" s="23"/>
      <c r="PJ90" s="23"/>
      <c r="PK90" s="23"/>
      <c r="PL90" s="23"/>
      <c r="PM90" s="23"/>
      <c r="PN90" s="23"/>
      <c r="PO90" s="23"/>
      <c r="PP90" s="23"/>
      <c r="PQ90" s="23"/>
      <c r="PR90" s="23"/>
      <c r="PS90" s="23"/>
      <c r="PT90" s="23"/>
      <c r="PU90" s="23"/>
      <c r="PV90" s="23"/>
      <c r="PW90" s="23"/>
      <c r="PX90" s="23"/>
      <c r="PY90" s="23"/>
      <c r="PZ90" s="23"/>
      <c r="QA90" s="23"/>
      <c r="QB90" s="23"/>
      <c r="QC90" s="23"/>
      <c r="QD90" s="23"/>
      <c r="QE90" s="23"/>
      <c r="QF90" s="23"/>
      <c r="QG90" s="23"/>
      <c r="QH90" s="23"/>
      <c r="QI90" s="23"/>
      <c r="QJ90" s="23"/>
      <c r="QK90" s="23"/>
      <c r="QL90" s="23"/>
      <c r="QM90" s="23"/>
      <c r="QN90" s="23"/>
      <c r="QO90" s="23"/>
      <c r="QP90" s="23"/>
      <c r="QQ90" s="23"/>
      <c r="QR90" s="23"/>
      <c r="QS90" s="23"/>
      <c r="QT90" s="23"/>
      <c r="QU90" s="23"/>
      <c r="QV90" s="23"/>
      <c r="QW90" s="23"/>
      <c r="QX90" s="23"/>
      <c r="QY90" s="23"/>
      <c r="QZ90" s="23"/>
      <c r="RA90" s="23"/>
      <c r="RB90" s="23"/>
      <c r="RC90" s="23"/>
      <c r="RD90" s="23"/>
      <c r="RE90" s="23"/>
      <c r="RF90" s="23"/>
      <c r="RG90" s="23"/>
      <c r="RH90" s="23"/>
      <c r="RI90" s="23"/>
      <c r="RJ90" s="23"/>
      <c r="RK90" s="23"/>
      <c r="RL90" s="23"/>
      <c r="RM90" s="23"/>
      <c r="RN90" s="23"/>
      <c r="RO90" s="23"/>
      <c r="RP90" s="23"/>
      <c r="RQ90" s="23"/>
      <c r="RR90" s="23"/>
      <c r="RS90" s="23"/>
      <c r="RT90" s="23"/>
      <c r="RU90" s="23"/>
      <c r="RV90" s="23"/>
      <c r="RW90" s="23"/>
      <c r="RX90" s="23"/>
      <c r="RY90" s="23"/>
      <c r="RZ90" s="23"/>
      <c r="SA90" s="23"/>
      <c r="SB90" s="23"/>
      <c r="SC90" s="23"/>
      <c r="SD90" s="23"/>
      <c r="SE90" s="23"/>
      <c r="SF90" s="23"/>
      <c r="SG90" s="23"/>
      <c r="SH90" s="23"/>
      <c r="SI90" s="23"/>
      <c r="SJ90" s="23"/>
      <c r="SK90" s="23"/>
      <c r="SL90" s="23"/>
      <c r="SM90" s="23"/>
      <c r="SN90" s="23"/>
      <c r="SO90" s="23"/>
      <c r="SP90" s="23"/>
      <c r="SQ90" s="23"/>
      <c r="SR90" s="23"/>
      <c r="SS90" s="23"/>
      <c r="ST90" s="23"/>
      <c r="SU90" s="23"/>
      <c r="SV90" s="23"/>
      <c r="SW90" s="23"/>
      <c r="SX90" s="23"/>
      <c r="SY90" s="23"/>
      <c r="SZ90" s="23"/>
      <c r="TA90" s="23"/>
      <c r="TB90" s="23"/>
      <c r="TC90" s="23"/>
      <c r="TD90" s="23"/>
      <c r="TE90" s="23"/>
      <c r="TF90" s="23"/>
      <c r="TG90" s="23"/>
    </row>
    <row r="91" spans="1:527" s="22" customFormat="1" ht="31.5" x14ac:dyDescent="0.25">
      <c r="A91" s="60" t="s">
        <v>492</v>
      </c>
      <c r="B91" s="60" t="s">
        <v>493</v>
      </c>
      <c r="C91" s="60" t="s">
        <v>59</v>
      </c>
      <c r="D91" s="61" t="s">
        <v>494</v>
      </c>
      <c r="E91" s="103">
        <f t="shared" si="27"/>
        <v>431850</v>
      </c>
      <c r="F91" s="103">
        <v>431850</v>
      </c>
      <c r="G91" s="103">
        <v>266200</v>
      </c>
      <c r="H91" s="103">
        <v>52650</v>
      </c>
      <c r="I91" s="103"/>
      <c r="J91" s="103">
        <f t="shared" si="29"/>
        <v>0</v>
      </c>
      <c r="K91" s="103"/>
      <c r="L91" s="103"/>
      <c r="M91" s="103"/>
      <c r="N91" s="103"/>
      <c r="O91" s="103"/>
      <c r="P91" s="103">
        <f t="shared" si="28"/>
        <v>431850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F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  <c r="LQ91" s="23"/>
      <c r="LR91" s="23"/>
      <c r="LS91" s="23"/>
      <c r="LT91" s="23"/>
      <c r="LU91" s="23"/>
      <c r="LV91" s="23"/>
      <c r="LW91" s="23"/>
      <c r="LX91" s="23"/>
      <c r="LY91" s="23"/>
      <c r="LZ91" s="23"/>
      <c r="MA91" s="23"/>
      <c r="MB91" s="23"/>
      <c r="MC91" s="23"/>
      <c r="MD91" s="23"/>
      <c r="ME91" s="23"/>
      <c r="MF91" s="23"/>
      <c r="MG91" s="23"/>
      <c r="MH91" s="23"/>
      <c r="MI91" s="23"/>
      <c r="MJ91" s="23"/>
      <c r="MK91" s="23"/>
      <c r="ML91" s="23"/>
      <c r="MM91" s="23"/>
      <c r="MN91" s="23"/>
      <c r="MO91" s="23"/>
      <c r="MP91" s="23"/>
      <c r="MQ91" s="23"/>
      <c r="MR91" s="23"/>
      <c r="MS91" s="23"/>
      <c r="MT91" s="23"/>
      <c r="MU91" s="23"/>
      <c r="MV91" s="23"/>
      <c r="MW91" s="23"/>
      <c r="MX91" s="23"/>
      <c r="MY91" s="23"/>
      <c r="MZ91" s="23"/>
      <c r="NA91" s="23"/>
      <c r="NB91" s="23"/>
      <c r="NC91" s="23"/>
      <c r="ND91" s="23"/>
      <c r="NE91" s="23"/>
      <c r="NF91" s="23"/>
      <c r="NG91" s="23"/>
      <c r="NH91" s="23"/>
      <c r="NI91" s="23"/>
      <c r="NJ91" s="23"/>
      <c r="NK91" s="23"/>
      <c r="NL91" s="23"/>
      <c r="NM91" s="23"/>
      <c r="NN91" s="23"/>
      <c r="NO91" s="23"/>
      <c r="NP91" s="23"/>
      <c r="NQ91" s="23"/>
      <c r="NR91" s="23"/>
      <c r="NS91" s="23"/>
      <c r="NT91" s="23"/>
      <c r="NU91" s="23"/>
      <c r="NV91" s="23"/>
      <c r="NW91" s="23"/>
      <c r="NX91" s="23"/>
      <c r="NY91" s="23"/>
      <c r="NZ91" s="23"/>
      <c r="OA91" s="23"/>
      <c r="OB91" s="23"/>
      <c r="OC91" s="23"/>
      <c r="OD91" s="23"/>
      <c r="OE91" s="23"/>
      <c r="OF91" s="23"/>
      <c r="OG91" s="23"/>
      <c r="OH91" s="23"/>
      <c r="OI91" s="23"/>
      <c r="OJ91" s="23"/>
      <c r="OK91" s="23"/>
      <c r="OL91" s="23"/>
      <c r="OM91" s="23"/>
      <c r="ON91" s="23"/>
      <c r="OO91" s="23"/>
      <c r="OP91" s="23"/>
      <c r="OQ91" s="23"/>
      <c r="OR91" s="23"/>
      <c r="OS91" s="23"/>
      <c r="OT91" s="23"/>
      <c r="OU91" s="23"/>
      <c r="OV91" s="23"/>
      <c r="OW91" s="23"/>
      <c r="OX91" s="23"/>
      <c r="OY91" s="23"/>
      <c r="OZ91" s="23"/>
      <c r="PA91" s="23"/>
      <c r="PB91" s="23"/>
      <c r="PC91" s="23"/>
      <c r="PD91" s="23"/>
      <c r="PE91" s="23"/>
      <c r="PF91" s="23"/>
      <c r="PG91" s="23"/>
      <c r="PH91" s="23"/>
      <c r="PI91" s="23"/>
      <c r="PJ91" s="23"/>
      <c r="PK91" s="23"/>
      <c r="PL91" s="23"/>
      <c r="PM91" s="23"/>
      <c r="PN91" s="23"/>
      <c r="PO91" s="23"/>
      <c r="PP91" s="23"/>
      <c r="PQ91" s="23"/>
      <c r="PR91" s="23"/>
      <c r="PS91" s="23"/>
      <c r="PT91" s="23"/>
      <c r="PU91" s="23"/>
      <c r="PV91" s="23"/>
      <c r="PW91" s="23"/>
      <c r="PX91" s="23"/>
      <c r="PY91" s="23"/>
      <c r="PZ91" s="23"/>
      <c r="QA91" s="23"/>
      <c r="QB91" s="23"/>
      <c r="QC91" s="23"/>
      <c r="QD91" s="23"/>
      <c r="QE91" s="23"/>
      <c r="QF91" s="23"/>
      <c r="QG91" s="23"/>
      <c r="QH91" s="23"/>
      <c r="QI91" s="23"/>
      <c r="QJ91" s="23"/>
      <c r="QK91" s="23"/>
      <c r="QL91" s="23"/>
      <c r="QM91" s="23"/>
      <c r="QN91" s="23"/>
      <c r="QO91" s="23"/>
      <c r="QP91" s="23"/>
      <c r="QQ91" s="23"/>
      <c r="QR91" s="23"/>
      <c r="QS91" s="23"/>
      <c r="QT91" s="23"/>
      <c r="QU91" s="23"/>
      <c r="QV91" s="23"/>
      <c r="QW91" s="23"/>
      <c r="QX91" s="23"/>
      <c r="QY91" s="23"/>
      <c r="QZ91" s="23"/>
      <c r="RA91" s="23"/>
      <c r="RB91" s="23"/>
      <c r="RC91" s="23"/>
      <c r="RD91" s="23"/>
      <c r="RE91" s="23"/>
      <c r="RF91" s="23"/>
      <c r="RG91" s="23"/>
      <c r="RH91" s="23"/>
      <c r="RI91" s="23"/>
      <c r="RJ91" s="23"/>
      <c r="RK91" s="23"/>
      <c r="RL91" s="23"/>
      <c r="RM91" s="23"/>
      <c r="RN91" s="23"/>
      <c r="RO91" s="23"/>
      <c r="RP91" s="23"/>
      <c r="RQ91" s="23"/>
      <c r="RR91" s="23"/>
      <c r="RS91" s="23"/>
      <c r="RT91" s="23"/>
      <c r="RU91" s="23"/>
      <c r="RV91" s="23"/>
      <c r="RW91" s="23"/>
      <c r="RX91" s="23"/>
      <c r="RY91" s="23"/>
      <c r="RZ91" s="23"/>
      <c r="SA91" s="23"/>
      <c r="SB91" s="23"/>
      <c r="SC91" s="23"/>
      <c r="SD91" s="23"/>
      <c r="SE91" s="23"/>
      <c r="SF91" s="23"/>
      <c r="SG91" s="23"/>
      <c r="SH91" s="23"/>
      <c r="SI91" s="23"/>
      <c r="SJ91" s="23"/>
      <c r="SK91" s="23"/>
      <c r="SL91" s="23"/>
      <c r="SM91" s="23"/>
      <c r="SN91" s="23"/>
      <c r="SO91" s="23"/>
      <c r="SP91" s="23"/>
      <c r="SQ91" s="23"/>
      <c r="SR91" s="23"/>
      <c r="SS91" s="23"/>
      <c r="ST91" s="23"/>
      <c r="SU91" s="23"/>
      <c r="SV91" s="23"/>
      <c r="SW91" s="23"/>
      <c r="SX91" s="23"/>
      <c r="SY91" s="23"/>
      <c r="SZ91" s="23"/>
      <c r="TA91" s="23"/>
      <c r="TB91" s="23"/>
      <c r="TC91" s="23"/>
      <c r="TD91" s="23"/>
      <c r="TE91" s="23"/>
      <c r="TF91" s="23"/>
      <c r="TG91" s="23"/>
    </row>
    <row r="92" spans="1:527" s="22" customFormat="1" ht="45.75" customHeight="1" x14ac:dyDescent="0.25">
      <c r="A92" s="60" t="s">
        <v>495</v>
      </c>
      <c r="B92" s="60" t="s">
        <v>496</v>
      </c>
      <c r="C92" s="60" t="str">
        <f>'дод 8'!B58</f>
        <v>0990</v>
      </c>
      <c r="D92" s="61" t="s">
        <v>516</v>
      </c>
      <c r="E92" s="103">
        <f t="shared" si="27"/>
        <v>1499036</v>
      </c>
      <c r="F92" s="103">
        <v>1499036</v>
      </c>
      <c r="G92" s="103">
        <v>1228720</v>
      </c>
      <c r="H92" s="103"/>
      <c r="I92" s="103"/>
      <c r="J92" s="103">
        <f t="shared" si="29"/>
        <v>0</v>
      </c>
      <c r="K92" s="103"/>
      <c r="L92" s="103"/>
      <c r="M92" s="103"/>
      <c r="N92" s="103"/>
      <c r="O92" s="103"/>
      <c r="P92" s="103">
        <f t="shared" si="28"/>
        <v>1499036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  <c r="IW92" s="23"/>
      <c r="IX92" s="23"/>
      <c r="IY92" s="23"/>
      <c r="IZ92" s="23"/>
      <c r="JA92" s="23"/>
      <c r="JB92" s="23"/>
      <c r="JC92" s="23"/>
      <c r="JD92" s="23"/>
      <c r="JE92" s="23"/>
      <c r="JF92" s="23"/>
      <c r="JG92" s="23"/>
      <c r="JH92" s="23"/>
      <c r="JI92" s="23"/>
      <c r="JJ92" s="23"/>
      <c r="JK92" s="23"/>
      <c r="JL92" s="23"/>
      <c r="JM92" s="23"/>
      <c r="JN92" s="23"/>
      <c r="JO92" s="23"/>
      <c r="JP92" s="23"/>
      <c r="JQ92" s="23"/>
      <c r="JR92" s="23"/>
      <c r="JS92" s="23"/>
      <c r="JT92" s="23"/>
      <c r="JU92" s="23"/>
      <c r="JV92" s="23"/>
      <c r="JW92" s="23"/>
      <c r="JX92" s="23"/>
      <c r="JY92" s="23"/>
      <c r="JZ92" s="23"/>
      <c r="KA92" s="23"/>
      <c r="KB92" s="23"/>
      <c r="KC92" s="23"/>
      <c r="KD92" s="23"/>
      <c r="KE92" s="23"/>
      <c r="KF92" s="23"/>
      <c r="KG92" s="23"/>
      <c r="KH92" s="23"/>
      <c r="KI92" s="23"/>
      <c r="KJ92" s="23"/>
      <c r="KK92" s="23"/>
      <c r="KL92" s="23"/>
      <c r="KM92" s="23"/>
      <c r="KN92" s="23"/>
      <c r="KO92" s="23"/>
      <c r="KP92" s="23"/>
      <c r="KQ92" s="23"/>
      <c r="KR92" s="23"/>
      <c r="KS92" s="23"/>
      <c r="KT92" s="23"/>
      <c r="KU92" s="23"/>
      <c r="KV92" s="23"/>
      <c r="KW92" s="23"/>
      <c r="KX92" s="23"/>
      <c r="KY92" s="23"/>
      <c r="KZ92" s="23"/>
      <c r="LA92" s="23"/>
      <c r="LB92" s="23"/>
      <c r="LC92" s="23"/>
      <c r="LD92" s="23"/>
      <c r="LE92" s="23"/>
      <c r="LF92" s="23"/>
      <c r="LG92" s="23"/>
      <c r="LH92" s="23"/>
      <c r="LI92" s="23"/>
      <c r="LJ92" s="23"/>
      <c r="LK92" s="23"/>
      <c r="LL92" s="23"/>
      <c r="LM92" s="23"/>
      <c r="LN92" s="23"/>
      <c r="LO92" s="23"/>
      <c r="LP92" s="23"/>
      <c r="LQ92" s="23"/>
      <c r="LR92" s="23"/>
      <c r="LS92" s="23"/>
      <c r="LT92" s="23"/>
      <c r="LU92" s="23"/>
      <c r="LV92" s="23"/>
      <c r="LW92" s="23"/>
      <c r="LX92" s="23"/>
      <c r="LY92" s="23"/>
      <c r="LZ92" s="23"/>
      <c r="MA92" s="23"/>
      <c r="MB92" s="23"/>
      <c r="MC92" s="23"/>
      <c r="MD92" s="23"/>
      <c r="ME92" s="23"/>
      <c r="MF92" s="23"/>
      <c r="MG92" s="23"/>
      <c r="MH92" s="23"/>
      <c r="MI92" s="23"/>
      <c r="MJ92" s="23"/>
      <c r="MK92" s="23"/>
      <c r="ML92" s="23"/>
      <c r="MM92" s="23"/>
      <c r="MN92" s="23"/>
      <c r="MO92" s="23"/>
      <c r="MP92" s="23"/>
      <c r="MQ92" s="23"/>
      <c r="MR92" s="23"/>
      <c r="MS92" s="23"/>
      <c r="MT92" s="23"/>
      <c r="MU92" s="23"/>
      <c r="MV92" s="23"/>
      <c r="MW92" s="23"/>
      <c r="MX92" s="23"/>
      <c r="MY92" s="23"/>
      <c r="MZ92" s="23"/>
      <c r="NA92" s="23"/>
      <c r="NB92" s="23"/>
      <c r="NC92" s="23"/>
      <c r="ND92" s="23"/>
      <c r="NE92" s="23"/>
      <c r="NF92" s="23"/>
      <c r="NG92" s="23"/>
      <c r="NH92" s="23"/>
      <c r="NI92" s="23"/>
      <c r="NJ92" s="23"/>
      <c r="NK92" s="23"/>
      <c r="NL92" s="23"/>
      <c r="NM92" s="23"/>
      <c r="NN92" s="23"/>
      <c r="NO92" s="23"/>
      <c r="NP92" s="23"/>
      <c r="NQ92" s="23"/>
      <c r="NR92" s="23"/>
      <c r="NS92" s="23"/>
      <c r="NT92" s="23"/>
      <c r="NU92" s="23"/>
      <c r="NV92" s="23"/>
      <c r="NW92" s="23"/>
      <c r="NX92" s="23"/>
      <c r="NY92" s="23"/>
      <c r="NZ92" s="23"/>
      <c r="OA92" s="23"/>
      <c r="OB92" s="23"/>
      <c r="OC92" s="23"/>
      <c r="OD92" s="23"/>
      <c r="OE92" s="23"/>
      <c r="OF92" s="23"/>
      <c r="OG92" s="23"/>
      <c r="OH92" s="23"/>
      <c r="OI92" s="23"/>
      <c r="OJ92" s="23"/>
      <c r="OK92" s="23"/>
      <c r="OL92" s="23"/>
      <c r="OM92" s="23"/>
      <c r="ON92" s="23"/>
      <c r="OO92" s="23"/>
      <c r="OP92" s="23"/>
      <c r="OQ92" s="23"/>
      <c r="OR92" s="23"/>
      <c r="OS92" s="23"/>
      <c r="OT92" s="23"/>
      <c r="OU92" s="23"/>
      <c r="OV92" s="23"/>
      <c r="OW92" s="23"/>
      <c r="OX92" s="23"/>
      <c r="OY92" s="23"/>
      <c r="OZ92" s="23"/>
      <c r="PA92" s="23"/>
      <c r="PB92" s="23"/>
      <c r="PC92" s="23"/>
      <c r="PD92" s="23"/>
      <c r="PE92" s="23"/>
      <c r="PF92" s="23"/>
      <c r="PG92" s="23"/>
      <c r="PH92" s="23"/>
      <c r="PI92" s="23"/>
      <c r="PJ92" s="23"/>
      <c r="PK92" s="23"/>
      <c r="PL92" s="23"/>
      <c r="PM92" s="23"/>
      <c r="PN92" s="23"/>
      <c r="PO92" s="23"/>
      <c r="PP92" s="23"/>
      <c r="PQ92" s="23"/>
      <c r="PR92" s="23"/>
      <c r="PS92" s="23"/>
      <c r="PT92" s="23"/>
      <c r="PU92" s="23"/>
      <c r="PV92" s="23"/>
      <c r="PW92" s="23"/>
      <c r="PX92" s="23"/>
      <c r="PY92" s="23"/>
      <c r="PZ92" s="23"/>
      <c r="QA92" s="23"/>
      <c r="QB92" s="23"/>
      <c r="QC92" s="23"/>
      <c r="QD92" s="23"/>
      <c r="QE92" s="23"/>
      <c r="QF92" s="23"/>
      <c r="QG92" s="23"/>
      <c r="QH92" s="23"/>
      <c r="QI92" s="23"/>
      <c r="QJ92" s="23"/>
      <c r="QK92" s="23"/>
      <c r="QL92" s="23"/>
      <c r="QM92" s="23"/>
      <c r="QN92" s="23"/>
      <c r="QO92" s="23"/>
      <c r="QP92" s="23"/>
      <c r="QQ92" s="23"/>
      <c r="QR92" s="23"/>
      <c r="QS92" s="23"/>
      <c r="QT92" s="23"/>
      <c r="QU92" s="23"/>
      <c r="QV92" s="23"/>
      <c r="QW92" s="23"/>
      <c r="QX92" s="23"/>
      <c r="QY92" s="23"/>
      <c r="QZ92" s="23"/>
      <c r="RA92" s="23"/>
      <c r="RB92" s="23"/>
      <c r="RC92" s="23"/>
      <c r="RD92" s="23"/>
      <c r="RE92" s="23"/>
      <c r="RF92" s="23"/>
      <c r="RG92" s="23"/>
      <c r="RH92" s="23"/>
      <c r="RI92" s="23"/>
      <c r="RJ92" s="23"/>
      <c r="RK92" s="23"/>
      <c r="RL92" s="23"/>
      <c r="RM92" s="23"/>
      <c r="RN92" s="23"/>
      <c r="RO92" s="23"/>
      <c r="RP92" s="23"/>
      <c r="RQ92" s="23"/>
      <c r="RR92" s="23"/>
      <c r="RS92" s="23"/>
      <c r="RT92" s="23"/>
      <c r="RU92" s="23"/>
      <c r="RV92" s="23"/>
      <c r="RW92" s="23"/>
      <c r="RX92" s="23"/>
      <c r="RY92" s="23"/>
      <c r="RZ92" s="23"/>
      <c r="SA92" s="23"/>
      <c r="SB92" s="23"/>
      <c r="SC92" s="23"/>
      <c r="SD92" s="23"/>
      <c r="SE92" s="23"/>
      <c r="SF92" s="23"/>
      <c r="SG92" s="23"/>
      <c r="SH92" s="23"/>
      <c r="SI92" s="23"/>
      <c r="SJ92" s="23"/>
      <c r="SK92" s="23"/>
      <c r="SL92" s="23"/>
      <c r="SM92" s="23"/>
      <c r="SN92" s="23"/>
      <c r="SO92" s="23"/>
      <c r="SP92" s="23"/>
      <c r="SQ92" s="23"/>
      <c r="SR92" s="23"/>
      <c r="SS92" s="23"/>
      <c r="ST92" s="23"/>
      <c r="SU92" s="23"/>
      <c r="SV92" s="23"/>
      <c r="SW92" s="23"/>
      <c r="SX92" s="23"/>
      <c r="SY92" s="23"/>
      <c r="SZ92" s="23"/>
      <c r="TA92" s="23"/>
      <c r="TB92" s="23"/>
      <c r="TC92" s="23"/>
      <c r="TD92" s="23"/>
      <c r="TE92" s="23"/>
      <c r="TF92" s="23"/>
      <c r="TG92" s="23"/>
    </row>
    <row r="93" spans="1:527" s="24" customFormat="1" ht="45.75" customHeight="1" x14ac:dyDescent="0.25">
      <c r="A93" s="88"/>
      <c r="B93" s="88"/>
      <c r="C93" s="88"/>
      <c r="D93" s="91" t="s">
        <v>386</v>
      </c>
      <c r="E93" s="105">
        <f t="shared" si="27"/>
        <v>1499036</v>
      </c>
      <c r="F93" s="105">
        <v>1499036</v>
      </c>
      <c r="G93" s="105">
        <v>1228720</v>
      </c>
      <c r="H93" s="105"/>
      <c r="I93" s="105"/>
      <c r="J93" s="105">
        <f t="shared" si="29"/>
        <v>0</v>
      </c>
      <c r="K93" s="105"/>
      <c r="L93" s="105"/>
      <c r="M93" s="105"/>
      <c r="N93" s="105"/>
      <c r="O93" s="105"/>
      <c r="P93" s="105">
        <f t="shared" si="28"/>
        <v>1499036</v>
      </c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30"/>
      <c r="NY93" s="30"/>
      <c r="NZ93" s="30"/>
      <c r="OA93" s="30"/>
      <c r="OB93" s="30"/>
      <c r="OC93" s="30"/>
      <c r="OD93" s="30"/>
      <c r="OE93" s="30"/>
      <c r="OF93" s="30"/>
      <c r="OG93" s="30"/>
      <c r="OH93" s="30"/>
      <c r="OI93" s="30"/>
      <c r="OJ93" s="30"/>
      <c r="OK93" s="30"/>
      <c r="OL93" s="30"/>
      <c r="OM93" s="30"/>
      <c r="ON93" s="30"/>
      <c r="OO93" s="30"/>
      <c r="OP93" s="30"/>
      <c r="OQ93" s="30"/>
      <c r="OR93" s="30"/>
      <c r="OS93" s="30"/>
      <c r="OT93" s="30"/>
      <c r="OU93" s="30"/>
      <c r="OV93" s="30"/>
      <c r="OW93" s="30"/>
      <c r="OX93" s="30"/>
      <c r="OY93" s="30"/>
      <c r="OZ93" s="30"/>
      <c r="PA93" s="30"/>
      <c r="PB93" s="30"/>
      <c r="PC93" s="30"/>
      <c r="PD93" s="30"/>
      <c r="PE93" s="30"/>
      <c r="PF93" s="30"/>
      <c r="PG93" s="30"/>
      <c r="PH93" s="30"/>
      <c r="PI93" s="30"/>
      <c r="PJ93" s="30"/>
      <c r="PK93" s="30"/>
      <c r="PL93" s="30"/>
      <c r="PM93" s="30"/>
      <c r="PN93" s="30"/>
      <c r="PO93" s="30"/>
      <c r="PP93" s="30"/>
      <c r="PQ93" s="30"/>
      <c r="PR93" s="30"/>
      <c r="PS93" s="30"/>
      <c r="PT93" s="30"/>
      <c r="PU93" s="30"/>
      <c r="PV93" s="30"/>
      <c r="PW93" s="30"/>
      <c r="PX93" s="30"/>
      <c r="PY93" s="30"/>
      <c r="PZ93" s="30"/>
      <c r="QA93" s="30"/>
      <c r="QB93" s="30"/>
      <c r="QC93" s="30"/>
      <c r="QD93" s="30"/>
      <c r="QE93" s="30"/>
      <c r="QF93" s="30"/>
      <c r="QG93" s="30"/>
      <c r="QH93" s="30"/>
      <c r="QI93" s="30"/>
      <c r="QJ93" s="30"/>
      <c r="QK93" s="30"/>
      <c r="QL93" s="30"/>
      <c r="QM93" s="30"/>
      <c r="QN93" s="30"/>
      <c r="QO93" s="30"/>
      <c r="QP93" s="30"/>
      <c r="QQ93" s="30"/>
      <c r="QR93" s="30"/>
      <c r="QS93" s="30"/>
      <c r="QT93" s="30"/>
      <c r="QU93" s="30"/>
      <c r="QV93" s="30"/>
      <c r="QW93" s="30"/>
      <c r="QX93" s="30"/>
      <c r="QY93" s="30"/>
      <c r="QZ93" s="30"/>
      <c r="RA93" s="30"/>
      <c r="RB93" s="30"/>
      <c r="RC93" s="30"/>
      <c r="RD93" s="30"/>
      <c r="RE93" s="30"/>
      <c r="RF93" s="30"/>
      <c r="RG93" s="30"/>
      <c r="RH93" s="30"/>
      <c r="RI93" s="30"/>
      <c r="RJ93" s="30"/>
      <c r="RK93" s="30"/>
      <c r="RL93" s="30"/>
      <c r="RM93" s="30"/>
      <c r="RN93" s="30"/>
      <c r="RO93" s="30"/>
      <c r="RP93" s="30"/>
      <c r="RQ93" s="30"/>
      <c r="RR93" s="30"/>
      <c r="RS93" s="30"/>
      <c r="RT93" s="30"/>
      <c r="RU93" s="30"/>
      <c r="RV93" s="30"/>
      <c r="RW93" s="30"/>
      <c r="RX93" s="30"/>
      <c r="RY93" s="30"/>
      <c r="RZ93" s="30"/>
      <c r="SA93" s="30"/>
      <c r="SB93" s="30"/>
      <c r="SC93" s="30"/>
      <c r="SD93" s="30"/>
      <c r="SE93" s="30"/>
      <c r="SF93" s="30"/>
      <c r="SG93" s="30"/>
      <c r="SH93" s="30"/>
      <c r="SI93" s="30"/>
      <c r="SJ93" s="30"/>
      <c r="SK93" s="30"/>
      <c r="SL93" s="30"/>
      <c r="SM93" s="30"/>
      <c r="SN93" s="30"/>
      <c r="SO93" s="30"/>
      <c r="SP93" s="30"/>
      <c r="SQ93" s="30"/>
      <c r="SR93" s="30"/>
      <c r="SS93" s="30"/>
      <c r="ST93" s="30"/>
      <c r="SU93" s="30"/>
      <c r="SV93" s="30"/>
      <c r="SW93" s="30"/>
      <c r="SX93" s="30"/>
      <c r="SY93" s="30"/>
      <c r="SZ93" s="30"/>
      <c r="TA93" s="30"/>
      <c r="TB93" s="30"/>
      <c r="TC93" s="30"/>
      <c r="TD93" s="30"/>
      <c r="TE93" s="30"/>
      <c r="TF93" s="30"/>
      <c r="TG93" s="30"/>
    </row>
    <row r="94" spans="1:527" s="22" customFormat="1" ht="36" customHeight="1" x14ac:dyDescent="0.25">
      <c r="A94" s="60" t="s">
        <v>497</v>
      </c>
      <c r="B94" s="60" t="s">
        <v>498</v>
      </c>
      <c r="C94" s="60" t="str">
        <f>'дод 8'!B59</f>
        <v>0990</v>
      </c>
      <c r="D94" s="61" t="s">
        <v>499</v>
      </c>
      <c r="E94" s="103">
        <f t="shared" si="27"/>
        <v>2512770</v>
      </c>
      <c r="F94" s="103">
        <f>2412770+100000</f>
        <v>2512770</v>
      </c>
      <c r="G94" s="103">
        <v>1880000</v>
      </c>
      <c r="H94" s="103">
        <v>84370</v>
      </c>
      <c r="I94" s="103"/>
      <c r="J94" s="103">
        <f t="shared" si="29"/>
        <v>50000</v>
      </c>
      <c r="K94" s="103">
        <v>50000</v>
      </c>
      <c r="L94" s="103"/>
      <c r="M94" s="103"/>
      <c r="N94" s="103"/>
      <c r="O94" s="103">
        <v>50000</v>
      </c>
      <c r="P94" s="103">
        <f t="shared" si="28"/>
        <v>2562770</v>
      </c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23"/>
      <c r="OZ94" s="23"/>
      <c r="PA94" s="23"/>
      <c r="PB94" s="23"/>
      <c r="PC94" s="23"/>
      <c r="PD94" s="23"/>
      <c r="PE94" s="23"/>
      <c r="PF94" s="23"/>
      <c r="PG94" s="23"/>
      <c r="PH94" s="23"/>
      <c r="PI94" s="23"/>
      <c r="PJ94" s="23"/>
      <c r="PK94" s="23"/>
      <c r="PL94" s="23"/>
      <c r="PM94" s="23"/>
      <c r="PN94" s="23"/>
      <c r="PO94" s="23"/>
      <c r="PP94" s="23"/>
      <c r="PQ94" s="23"/>
      <c r="PR94" s="23"/>
      <c r="PS94" s="23"/>
      <c r="PT94" s="23"/>
      <c r="PU94" s="23"/>
      <c r="PV94" s="23"/>
      <c r="PW94" s="23"/>
      <c r="PX94" s="23"/>
      <c r="PY94" s="23"/>
      <c r="PZ94" s="23"/>
      <c r="QA94" s="23"/>
      <c r="QB94" s="23"/>
      <c r="QC94" s="23"/>
      <c r="QD94" s="23"/>
      <c r="QE94" s="23"/>
      <c r="QF94" s="23"/>
      <c r="QG94" s="23"/>
      <c r="QH94" s="23"/>
      <c r="QI94" s="23"/>
      <c r="QJ94" s="23"/>
      <c r="QK94" s="23"/>
      <c r="QL94" s="23"/>
      <c r="QM94" s="23"/>
      <c r="QN94" s="23"/>
      <c r="QO94" s="23"/>
      <c r="QP94" s="23"/>
      <c r="QQ94" s="23"/>
      <c r="QR94" s="23"/>
      <c r="QS94" s="23"/>
      <c r="QT94" s="23"/>
      <c r="QU94" s="23"/>
      <c r="QV94" s="23"/>
      <c r="QW94" s="23"/>
      <c r="QX94" s="23"/>
      <c r="QY94" s="23"/>
      <c r="QZ94" s="23"/>
      <c r="RA94" s="23"/>
      <c r="RB94" s="23"/>
      <c r="RC94" s="23"/>
      <c r="RD94" s="23"/>
      <c r="RE94" s="23"/>
      <c r="RF94" s="23"/>
      <c r="RG94" s="23"/>
      <c r="RH94" s="23"/>
      <c r="RI94" s="23"/>
      <c r="RJ94" s="23"/>
      <c r="RK94" s="23"/>
      <c r="RL94" s="23"/>
      <c r="RM94" s="23"/>
      <c r="RN94" s="23"/>
      <c r="RO94" s="23"/>
      <c r="RP94" s="23"/>
      <c r="RQ94" s="23"/>
      <c r="RR94" s="23"/>
      <c r="RS94" s="23"/>
      <c r="RT94" s="23"/>
      <c r="RU94" s="23"/>
      <c r="RV94" s="23"/>
      <c r="RW94" s="23"/>
      <c r="RX94" s="23"/>
      <c r="RY94" s="23"/>
      <c r="RZ94" s="23"/>
      <c r="SA94" s="23"/>
      <c r="SB94" s="23"/>
      <c r="SC94" s="23"/>
      <c r="SD94" s="23"/>
      <c r="SE94" s="23"/>
      <c r="SF94" s="23"/>
      <c r="SG94" s="23"/>
      <c r="SH94" s="23"/>
      <c r="SI94" s="23"/>
      <c r="SJ94" s="23"/>
      <c r="SK94" s="23"/>
      <c r="SL94" s="23"/>
      <c r="SM94" s="23"/>
      <c r="SN94" s="23"/>
      <c r="SO94" s="23"/>
      <c r="SP94" s="23"/>
      <c r="SQ94" s="23"/>
      <c r="SR94" s="23"/>
      <c r="SS94" s="23"/>
      <c r="ST94" s="23"/>
      <c r="SU94" s="23"/>
      <c r="SV94" s="23"/>
      <c r="SW94" s="23"/>
      <c r="SX94" s="23"/>
      <c r="SY94" s="23"/>
      <c r="SZ94" s="23"/>
      <c r="TA94" s="23"/>
      <c r="TB94" s="23"/>
      <c r="TC94" s="23"/>
      <c r="TD94" s="23"/>
      <c r="TE94" s="23"/>
      <c r="TF94" s="23"/>
      <c r="TG94" s="23"/>
    </row>
    <row r="95" spans="1:527" s="22" customFormat="1" ht="65.25" customHeight="1" x14ac:dyDescent="0.25">
      <c r="A95" s="60" t="s">
        <v>500</v>
      </c>
      <c r="B95" s="60" t="s">
        <v>501</v>
      </c>
      <c r="C95" s="60" t="s">
        <v>59</v>
      </c>
      <c r="D95" s="98" t="s">
        <v>517</v>
      </c>
      <c r="E95" s="103">
        <f t="shared" si="27"/>
        <v>2612700</v>
      </c>
      <c r="F95" s="103">
        <f>1780860+805257+26583</f>
        <v>2612700</v>
      </c>
      <c r="G95" s="103">
        <v>1459720</v>
      </c>
      <c r="H95" s="103"/>
      <c r="I95" s="103"/>
      <c r="J95" s="103">
        <f t="shared" si="29"/>
        <v>72000</v>
      </c>
      <c r="K95" s="103">
        <f>903840-805257-26583</f>
        <v>72000</v>
      </c>
      <c r="L95" s="103"/>
      <c r="M95" s="103"/>
      <c r="N95" s="103"/>
      <c r="O95" s="103">
        <f>903840-805257-26583</f>
        <v>72000</v>
      </c>
      <c r="P95" s="103">
        <f t="shared" si="28"/>
        <v>2684700</v>
      </c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  <c r="SQ95" s="23"/>
      <c r="SR95" s="23"/>
      <c r="SS95" s="23"/>
      <c r="ST95" s="23"/>
      <c r="SU95" s="23"/>
      <c r="SV95" s="23"/>
      <c r="SW95" s="23"/>
      <c r="SX95" s="23"/>
      <c r="SY95" s="23"/>
      <c r="SZ95" s="23"/>
      <c r="TA95" s="23"/>
      <c r="TB95" s="23"/>
      <c r="TC95" s="23"/>
      <c r="TD95" s="23"/>
      <c r="TE95" s="23"/>
      <c r="TF95" s="23"/>
      <c r="TG95" s="23"/>
    </row>
    <row r="96" spans="1:527" s="24" customFormat="1" ht="63" x14ac:dyDescent="0.25">
      <c r="A96" s="88"/>
      <c r="B96" s="115"/>
      <c r="C96" s="115"/>
      <c r="D96" s="91" t="s">
        <v>385</v>
      </c>
      <c r="E96" s="105">
        <f t="shared" si="27"/>
        <v>2612700</v>
      </c>
      <c r="F96" s="105">
        <f>1780860+805257+26583</f>
        <v>2612700</v>
      </c>
      <c r="G96" s="105">
        <v>1459720</v>
      </c>
      <c r="H96" s="105"/>
      <c r="I96" s="105"/>
      <c r="J96" s="105">
        <f t="shared" si="29"/>
        <v>72000</v>
      </c>
      <c r="K96" s="105">
        <f>903840-805257-26583</f>
        <v>72000</v>
      </c>
      <c r="L96" s="105"/>
      <c r="M96" s="105"/>
      <c r="N96" s="105"/>
      <c r="O96" s="105">
        <f>903840-805257-26583</f>
        <v>72000</v>
      </c>
      <c r="P96" s="105">
        <f t="shared" si="28"/>
        <v>2684700</v>
      </c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30"/>
      <c r="JA96" s="30"/>
      <c r="JB96" s="30"/>
      <c r="JC96" s="30"/>
      <c r="JD96" s="30"/>
      <c r="JE96" s="30"/>
      <c r="JF96" s="30"/>
      <c r="JG96" s="30"/>
      <c r="JH96" s="30"/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/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  <c r="LU96" s="30"/>
      <c r="LV96" s="30"/>
      <c r="LW96" s="30"/>
      <c r="LX96" s="30"/>
      <c r="LY96" s="30"/>
      <c r="LZ96" s="30"/>
      <c r="MA96" s="30"/>
      <c r="MB96" s="30"/>
      <c r="MC96" s="30"/>
      <c r="MD96" s="30"/>
      <c r="ME96" s="30"/>
      <c r="MF96" s="30"/>
      <c r="MG96" s="30"/>
      <c r="MH96" s="30"/>
      <c r="MI96" s="30"/>
      <c r="MJ96" s="30"/>
      <c r="MK96" s="30"/>
      <c r="ML96" s="30"/>
      <c r="MM96" s="30"/>
      <c r="MN96" s="30"/>
      <c r="MO96" s="30"/>
      <c r="MP96" s="30"/>
      <c r="MQ96" s="30"/>
      <c r="MR96" s="30"/>
      <c r="MS96" s="30"/>
      <c r="MT96" s="30"/>
      <c r="MU96" s="30"/>
      <c r="MV96" s="30"/>
      <c r="MW96" s="30"/>
      <c r="MX96" s="30"/>
      <c r="MY96" s="30"/>
      <c r="MZ96" s="30"/>
      <c r="NA96" s="30"/>
      <c r="NB96" s="30"/>
      <c r="NC96" s="30"/>
      <c r="ND96" s="30"/>
      <c r="NE96" s="30"/>
      <c r="NF96" s="30"/>
      <c r="NG96" s="30"/>
      <c r="NH96" s="30"/>
      <c r="NI96" s="30"/>
      <c r="NJ96" s="30"/>
      <c r="NK96" s="30"/>
      <c r="NL96" s="30"/>
      <c r="NM96" s="30"/>
      <c r="NN96" s="30"/>
      <c r="NO96" s="30"/>
      <c r="NP96" s="30"/>
      <c r="NQ96" s="30"/>
      <c r="NR96" s="30"/>
      <c r="NS96" s="30"/>
      <c r="NT96" s="30"/>
      <c r="NU96" s="30"/>
      <c r="NV96" s="30"/>
      <c r="NW96" s="30"/>
      <c r="NX96" s="30"/>
      <c r="NY96" s="30"/>
      <c r="NZ96" s="30"/>
      <c r="OA96" s="30"/>
      <c r="OB96" s="30"/>
      <c r="OC96" s="30"/>
      <c r="OD96" s="30"/>
      <c r="OE96" s="30"/>
      <c r="OF96" s="30"/>
      <c r="OG96" s="30"/>
      <c r="OH96" s="30"/>
      <c r="OI96" s="30"/>
      <c r="OJ96" s="30"/>
      <c r="OK96" s="30"/>
      <c r="OL96" s="30"/>
      <c r="OM96" s="30"/>
      <c r="ON96" s="30"/>
      <c r="OO96" s="30"/>
      <c r="OP96" s="30"/>
      <c r="OQ96" s="30"/>
      <c r="OR96" s="30"/>
      <c r="OS96" s="30"/>
      <c r="OT96" s="30"/>
      <c r="OU96" s="30"/>
      <c r="OV96" s="30"/>
      <c r="OW96" s="30"/>
      <c r="OX96" s="30"/>
      <c r="OY96" s="30"/>
      <c r="OZ96" s="30"/>
      <c r="PA96" s="30"/>
      <c r="PB96" s="30"/>
      <c r="PC96" s="30"/>
      <c r="PD96" s="30"/>
      <c r="PE96" s="30"/>
      <c r="PF96" s="30"/>
      <c r="PG96" s="30"/>
      <c r="PH96" s="30"/>
      <c r="PI96" s="30"/>
      <c r="PJ96" s="30"/>
      <c r="PK96" s="30"/>
      <c r="PL96" s="30"/>
      <c r="PM96" s="30"/>
      <c r="PN96" s="30"/>
      <c r="PO96" s="30"/>
      <c r="PP96" s="30"/>
      <c r="PQ96" s="30"/>
      <c r="PR96" s="30"/>
      <c r="PS96" s="30"/>
      <c r="PT96" s="30"/>
      <c r="PU96" s="30"/>
      <c r="PV96" s="30"/>
      <c r="PW96" s="30"/>
      <c r="PX96" s="30"/>
      <c r="PY96" s="30"/>
      <c r="PZ96" s="30"/>
      <c r="QA96" s="30"/>
      <c r="QB96" s="30"/>
      <c r="QC96" s="30"/>
      <c r="QD96" s="30"/>
      <c r="QE96" s="30"/>
      <c r="QF96" s="30"/>
      <c r="QG96" s="30"/>
      <c r="QH96" s="30"/>
      <c r="QI96" s="30"/>
      <c r="QJ96" s="30"/>
      <c r="QK96" s="30"/>
      <c r="QL96" s="30"/>
      <c r="QM96" s="30"/>
      <c r="QN96" s="30"/>
      <c r="QO96" s="30"/>
      <c r="QP96" s="30"/>
      <c r="QQ96" s="30"/>
      <c r="QR96" s="30"/>
      <c r="QS96" s="30"/>
      <c r="QT96" s="30"/>
      <c r="QU96" s="30"/>
      <c r="QV96" s="30"/>
      <c r="QW96" s="30"/>
      <c r="QX96" s="30"/>
      <c r="QY96" s="30"/>
      <c r="QZ96" s="30"/>
      <c r="RA96" s="30"/>
      <c r="RB96" s="30"/>
      <c r="RC96" s="30"/>
      <c r="RD96" s="30"/>
      <c r="RE96" s="30"/>
      <c r="RF96" s="30"/>
      <c r="RG96" s="30"/>
      <c r="RH96" s="30"/>
      <c r="RI96" s="30"/>
      <c r="RJ96" s="30"/>
      <c r="RK96" s="30"/>
      <c r="RL96" s="30"/>
      <c r="RM96" s="30"/>
      <c r="RN96" s="30"/>
      <c r="RO96" s="30"/>
      <c r="RP96" s="30"/>
      <c r="RQ96" s="30"/>
      <c r="RR96" s="30"/>
      <c r="RS96" s="30"/>
      <c r="RT96" s="30"/>
      <c r="RU96" s="30"/>
      <c r="RV96" s="30"/>
      <c r="RW96" s="30"/>
      <c r="RX96" s="30"/>
      <c r="RY96" s="30"/>
      <c r="RZ96" s="30"/>
      <c r="SA96" s="30"/>
      <c r="SB96" s="30"/>
      <c r="SC96" s="30"/>
      <c r="SD96" s="30"/>
      <c r="SE96" s="30"/>
      <c r="SF96" s="30"/>
      <c r="SG96" s="30"/>
      <c r="SH96" s="30"/>
      <c r="SI96" s="30"/>
      <c r="SJ96" s="30"/>
      <c r="SK96" s="30"/>
      <c r="SL96" s="30"/>
      <c r="SM96" s="30"/>
      <c r="SN96" s="30"/>
      <c r="SO96" s="30"/>
      <c r="SP96" s="30"/>
      <c r="SQ96" s="30"/>
      <c r="SR96" s="30"/>
      <c r="SS96" s="30"/>
      <c r="ST96" s="30"/>
      <c r="SU96" s="30"/>
      <c r="SV96" s="30"/>
      <c r="SW96" s="30"/>
      <c r="SX96" s="30"/>
      <c r="SY96" s="30"/>
      <c r="SZ96" s="30"/>
      <c r="TA96" s="30"/>
      <c r="TB96" s="30"/>
      <c r="TC96" s="30"/>
      <c r="TD96" s="30"/>
      <c r="TE96" s="30"/>
      <c r="TF96" s="30"/>
      <c r="TG96" s="30"/>
    </row>
    <row r="97" spans="1:527" s="24" customFormat="1" ht="70.5" customHeight="1" x14ac:dyDescent="0.25">
      <c r="A97" s="60" t="s">
        <v>541</v>
      </c>
      <c r="B97" s="97">
        <v>1210</v>
      </c>
      <c r="C97" s="60" t="s">
        <v>59</v>
      </c>
      <c r="D97" s="36" t="s">
        <v>542</v>
      </c>
      <c r="E97" s="103">
        <f t="shared" si="27"/>
        <v>1174231</v>
      </c>
      <c r="F97" s="103">
        <v>1174231</v>
      </c>
      <c r="G97" s="103">
        <v>962484</v>
      </c>
      <c r="H97" s="105"/>
      <c r="I97" s="105"/>
      <c r="J97" s="103">
        <f t="shared" si="29"/>
        <v>0</v>
      </c>
      <c r="K97" s="105"/>
      <c r="L97" s="105"/>
      <c r="M97" s="105"/>
      <c r="N97" s="105"/>
      <c r="O97" s="105"/>
      <c r="P97" s="103">
        <f t="shared" si="28"/>
        <v>1174231</v>
      </c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0"/>
      <c r="KG97" s="30"/>
      <c r="KH97" s="30"/>
      <c r="KI97" s="30"/>
      <c r="KJ97" s="30"/>
      <c r="KK97" s="30"/>
      <c r="KL97" s="30"/>
      <c r="KM97" s="30"/>
      <c r="KN97" s="30"/>
      <c r="KO97" s="30"/>
      <c r="KP97" s="30"/>
      <c r="KQ97" s="30"/>
      <c r="KR97" s="30"/>
      <c r="KS97" s="30"/>
      <c r="KT97" s="30"/>
      <c r="KU97" s="30"/>
      <c r="KV97" s="30"/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/>
      <c r="LK97" s="30"/>
      <c r="LL97" s="30"/>
      <c r="LM97" s="30"/>
      <c r="LN97" s="30"/>
      <c r="LO97" s="30"/>
      <c r="LP97" s="30"/>
      <c r="LQ97" s="30"/>
      <c r="LR97" s="30"/>
      <c r="LS97" s="30"/>
      <c r="LT97" s="30"/>
      <c r="LU97" s="30"/>
      <c r="LV97" s="30"/>
      <c r="LW97" s="30"/>
      <c r="LX97" s="30"/>
      <c r="LY97" s="30"/>
      <c r="LZ97" s="30"/>
      <c r="MA97" s="30"/>
      <c r="MB97" s="30"/>
      <c r="MC97" s="30"/>
      <c r="MD97" s="30"/>
      <c r="ME97" s="30"/>
      <c r="MF97" s="30"/>
      <c r="MG97" s="30"/>
      <c r="MH97" s="30"/>
      <c r="MI97" s="30"/>
      <c r="MJ97" s="30"/>
      <c r="MK97" s="30"/>
      <c r="ML97" s="30"/>
      <c r="MM97" s="30"/>
      <c r="MN97" s="30"/>
      <c r="MO97" s="30"/>
      <c r="MP97" s="30"/>
      <c r="MQ97" s="30"/>
      <c r="MR97" s="30"/>
      <c r="MS97" s="30"/>
      <c r="MT97" s="30"/>
      <c r="MU97" s="30"/>
      <c r="MV97" s="30"/>
      <c r="MW97" s="30"/>
      <c r="MX97" s="30"/>
      <c r="MY97" s="30"/>
      <c r="MZ97" s="30"/>
      <c r="NA97" s="30"/>
      <c r="NB97" s="30"/>
      <c r="NC97" s="30"/>
      <c r="ND97" s="30"/>
      <c r="NE97" s="30"/>
      <c r="NF97" s="30"/>
      <c r="NG97" s="30"/>
      <c r="NH97" s="30"/>
      <c r="NI97" s="30"/>
      <c r="NJ97" s="30"/>
      <c r="NK97" s="30"/>
      <c r="NL97" s="30"/>
      <c r="NM97" s="30"/>
      <c r="NN97" s="30"/>
      <c r="NO97" s="30"/>
      <c r="NP97" s="30"/>
      <c r="NQ97" s="30"/>
      <c r="NR97" s="30"/>
      <c r="NS97" s="30"/>
      <c r="NT97" s="30"/>
      <c r="NU97" s="30"/>
      <c r="NV97" s="30"/>
      <c r="NW97" s="30"/>
      <c r="NX97" s="30"/>
      <c r="NY97" s="30"/>
      <c r="NZ97" s="30"/>
      <c r="OA97" s="30"/>
      <c r="OB97" s="30"/>
      <c r="OC97" s="30"/>
      <c r="OD97" s="30"/>
      <c r="OE97" s="30"/>
      <c r="OF97" s="30"/>
      <c r="OG97" s="30"/>
      <c r="OH97" s="30"/>
      <c r="OI97" s="30"/>
      <c r="OJ97" s="30"/>
      <c r="OK97" s="30"/>
      <c r="OL97" s="30"/>
      <c r="OM97" s="30"/>
      <c r="ON97" s="30"/>
      <c r="OO97" s="30"/>
      <c r="OP97" s="30"/>
      <c r="OQ97" s="30"/>
      <c r="OR97" s="30"/>
      <c r="OS97" s="30"/>
      <c r="OT97" s="30"/>
      <c r="OU97" s="30"/>
      <c r="OV97" s="30"/>
      <c r="OW97" s="30"/>
      <c r="OX97" s="30"/>
      <c r="OY97" s="30"/>
      <c r="OZ97" s="30"/>
      <c r="PA97" s="30"/>
      <c r="PB97" s="30"/>
      <c r="PC97" s="30"/>
      <c r="PD97" s="30"/>
      <c r="PE97" s="30"/>
      <c r="PF97" s="30"/>
      <c r="PG97" s="30"/>
      <c r="PH97" s="30"/>
      <c r="PI97" s="30"/>
      <c r="PJ97" s="30"/>
      <c r="PK97" s="30"/>
      <c r="PL97" s="30"/>
      <c r="PM97" s="30"/>
      <c r="PN97" s="30"/>
      <c r="PO97" s="30"/>
      <c r="PP97" s="30"/>
      <c r="PQ97" s="30"/>
      <c r="PR97" s="30"/>
      <c r="PS97" s="30"/>
      <c r="PT97" s="30"/>
      <c r="PU97" s="30"/>
      <c r="PV97" s="30"/>
      <c r="PW97" s="30"/>
      <c r="PX97" s="30"/>
      <c r="PY97" s="30"/>
      <c r="PZ97" s="30"/>
      <c r="QA97" s="30"/>
      <c r="QB97" s="30"/>
      <c r="QC97" s="30"/>
      <c r="QD97" s="30"/>
      <c r="QE97" s="30"/>
      <c r="QF97" s="30"/>
      <c r="QG97" s="30"/>
      <c r="QH97" s="30"/>
      <c r="QI97" s="30"/>
      <c r="QJ97" s="30"/>
      <c r="QK97" s="30"/>
      <c r="QL97" s="30"/>
      <c r="QM97" s="30"/>
      <c r="QN97" s="30"/>
      <c r="QO97" s="30"/>
      <c r="QP97" s="30"/>
      <c r="QQ97" s="30"/>
      <c r="QR97" s="30"/>
      <c r="QS97" s="30"/>
      <c r="QT97" s="30"/>
      <c r="QU97" s="30"/>
      <c r="QV97" s="30"/>
      <c r="QW97" s="30"/>
      <c r="QX97" s="30"/>
      <c r="QY97" s="30"/>
      <c r="QZ97" s="30"/>
      <c r="RA97" s="30"/>
      <c r="RB97" s="30"/>
      <c r="RC97" s="30"/>
      <c r="RD97" s="30"/>
      <c r="RE97" s="30"/>
      <c r="RF97" s="30"/>
      <c r="RG97" s="30"/>
      <c r="RH97" s="30"/>
      <c r="RI97" s="30"/>
      <c r="RJ97" s="30"/>
      <c r="RK97" s="30"/>
      <c r="RL97" s="30"/>
      <c r="RM97" s="30"/>
      <c r="RN97" s="30"/>
      <c r="RO97" s="30"/>
      <c r="RP97" s="30"/>
      <c r="RQ97" s="30"/>
      <c r="RR97" s="30"/>
      <c r="RS97" s="30"/>
      <c r="RT97" s="30"/>
      <c r="RU97" s="30"/>
      <c r="RV97" s="30"/>
      <c r="RW97" s="30"/>
      <c r="RX97" s="30"/>
      <c r="RY97" s="30"/>
      <c r="RZ97" s="30"/>
      <c r="SA97" s="30"/>
      <c r="SB97" s="30"/>
      <c r="SC97" s="30"/>
      <c r="SD97" s="30"/>
      <c r="SE97" s="30"/>
      <c r="SF97" s="30"/>
      <c r="SG97" s="30"/>
      <c r="SH97" s="30"/>
      <c r="SI97" s="30"/>
      <c r="SJ97" s="30"/>
      <c r="SK97" s="30"/>
      <c r="SL97" s="30"/>
      <c r="SM97" s="30"/>
      <c r="SN97" s="30"/>
      <c r="SO97" s="30"/>
      <c r="SP97" s="30"/>
      <c r="SQ97" s="30"/>
      <c r="SR97" s="30"/>
      <c r="SS97" s="30"/>
      <c r="ST97" s="30"/>
      <c r="SU97" s="30"/>
      <c r="SV97" s="30"/>
      <c r="SW97" s="30"/>
      <c r="SX97" s="30"/>
      <c r="SY97" s="30"/>
      <c r="SZ97" s="30"/>
      <c r="TA97" s="30"/>
      <c r="TB97" s="30"/>
      <c r="TC97" s="30"/>
      <c r="TD97" s="30"/>
      <c r="TE97" s="30"/>
      <c r="TF97" s="30"/>
      <c r="TG97" s="30"/>
    </row>
    <row r="98" spans="1:527" s="24" customFormat="1" ht="78.75" x14ac:dyDescent="0.25">
      <c r="A98" s="88"/>
      <c r="B98" s="115"/>
      <c r="C98" s="115"/>
      <c r="D98" s="91" t="s">
        <v>543</v>
      </c>
      <c r="E98" s="105">
        <f t="shared" si="27"/>
        <v>1174231</v>
      </c>
      <c r="F98" s="105">
        <v>1174231</v>
      </c>
      <c r="G98" s="105">
        <v>962484</v>
      </c>
      <c r="H98" s="105"/>
      <c r="I98" s="105"/>
      <c r="J98" s="105">
        <f t="shared" si="29"/>
        <v>0</v>
      </c>
      <c r="K98" s="105"/>
      <c r="L98" s="105"/>
      <c r="M98" s="105"/>
      <c r="N98" s="105"/>
      <c r="O98" s="105"/>
      <c r="P98" s="105">
        <f t="shared" si="28"/>
        <v>1174231</v>
      </c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  <c r="LU98" s="30"/>
      <c r="LV98" s="30"/>
      <c r="LW98" s="30"/>
      <c r="LX98" s="30"/>
      <c r="LY98" s="30"/>
      <c r="LZ98" s="30"/>
      <c r="MA98" s="30"/>
      <c r="MB98" s="30"/>
      <c r="MC98" s="30"/>
      <c r="MD98" s="30"/>
      <c r="ME98" s="30"/>
      <c r="MF98" s="30"/>
      <c r="MG98" s="30"/>
      <c r="MH98" s="30"/>
      <c r="MI98" s="30"/>
      <c r="MJ98" s="30"/>
      <c r="MK98" s="30"/>
      <c r="ML98" s="30"/>
      <c r="MM98" s="30"/>
      <c r="MN98" s="30"/>
      <c r="MO98" s="30"/>
      <c r="MP98" s="30"/>
      <c r="MQ98" s="30"/>
      <c r="MR98" s="30"/>
      <c r="MS98" s="30"/>
      <c r="MT98" s="30"/>
      <c r="MU98" s="30"/>
      <c r="MV98" s="30"/>
      <c r="MW98" s="30"/>
      <c r="MX98" s="30"/>
      <c r="MY98" s="30"/>
      <c r="MZ98" s="30"/>
      <c r="NA98" s="30"/>
      <c r="NB98" s="30"/>
      <c r="NC98" s="30"/>
      <c r="ND98" s="30"/>
      <c r="NE98" s="30"/>
      <c r="NF98" s="30"/>
      <c r="NG98" s="30"/>
      <c r="NH98" s="30"/>
      <c r="NI98" s="30"/>
      <c r="NJ98" s="30"/>
      <c r="NK98" s="30"/>
      <c r="NL98" s="30"/>
      <c r="NM98" s="30"/>
      <c r="NN98" s="30"/>
      <c r="NO98" s="30"/>
      <c r="NP98" s="30"/>
      <c r="NQ98" s="30"/>
      <c r="NR98" s="30"/>
      <c r="NS98" s="30"/>
      <c r="NT98" s="30"/>
      <c r="NU98" s="30"/>
      <c r="NV98" s="30"/>
      <c r="NW98" s="30"/>
      <c r="NX98" s="30"/>
      <c r="NY98" s="30"/>
      <c r="NZ98" s="30"/>
      <c r="OA98" s="30"/>
      <c r="OB98" s="30"/>
      <c r="OC98" s="30"/>
      <c r="OD98" s="30"/>
      <c r="OE98" s="30"/>
      <c r="OF98" s="30"/>
      <c r="OG98" s="30"/>
      <c r="OH98" s="30"/>
      <c r="OI98" s="30"/>
      <c r="OJ98" s="30"/>
      <c r="OK98" s="30"/>
      <c r="OL98" s="30"/>
      <c r="OM98" s="30"/>
      <c r="ON98" s="30"/>
      <c r="OO98" s="30"/>
      <c r="OP98" s="30"/>
      <c r="OQ98" s="30"/>
      <c r="OR98" s="30"/>
      <c r="OS98" s="30"/>
      <c r="OT98" s="30"/>
      <c r="OU98" s="30"/>
      <c r="OV98" s="30"/>
      <c r="OW98" s="30"/>
      <c r="OX98" s="30"/>
      <c r="OY98" s="30"/>
      <c r="OZ98" s="30"/>
      <c r="PA98" s="30"/>
      <c r="PB98" s="30"/>
      <c r="PC98" s="30"/>
      <c r="PD98" s="30"/>
      <c r="PE98" s="30"/>
      <c r="PF98" s="30"/>
      <c r="PG98" s="30"/>
      <c r="PH98" s="30"/>
      <c r="PI98" s="30"/>
      <c r="PJ98" s="30"/>
      <c r="PK98" s="30"/>
      <c r="PL98" s="30"/>
      <c r="PM98" s="30"/>
      <c r="PN98" s="30"/>
      <c r="PO98" s="30"/>
      <c r="PP98" s="30"/>
      <c r="PQ98" s="30"/>
      <c r="PR98" s="30"/>
      <c r="PS98" s="30"/>
      <c r="PT98" s="30"/>
      <c r="PU98" s="30"/>
      <c r="PV98" s="30"/>
      <c r="PW98" s="30"/>
      <c r="PX98" s="30"/>
      <c r="PY98" s="30"/>
      <c r="PZ98" s="30"/>
      <c r="QA98" s="30"/>
      <c r="QB98" s="30"/>
      <c r="QC98" s="30"/>
      <c r="QD98" s="30"/>
      <c r="QE98" s="30"/>
      <c r="QF98" s="30"/>
      <c r="QG98" s="30"/>
      <c r="QH98" s="30"/>
      <c r="QI98" s="30"/>
      <c r="QJ98" s="30"/>
      <c r="QK98" s="30"/>
      <c r="QL98" s="30"/>
      <c r="QM98" s="30"/>
      <c r="QN98" s="30"/>
      <c r="QO98" s="30"/>
      <c r="QP98" s="30"/>
      <c r="QQ98" s="30"/>
      <c r="QR98" s="30"/>
      <c r="QS98" s="30"/>
      <c r="QT98" s="30"/>
      <c r="QU98" s="30"/>
      <c r="QV98" s="30"/>
      <c r="QW98" s="30"/>
      <c r="QX98" s="30"/>
      <c r="QY98" s="30"/>
      <c r="QZ98" s="30"/>
      <c r="RA98" s="30"/>
      <c r="RB98" s="30"/>
      <c r="RC98" s="30"/>
      <c r="RD98" s="30"/>
      <c r="RE98" s="30"/>
      <c r="RF98" s="30"/>
      <c r="RG98" s="30"/>
      <c r="RH98" s="30"/>
      <c r="RI98" s="30"/>
      <c r="RJ98" s="30"/>
      <c r="RK98" s="30"/>
      <c r="RL98" s="30"/>
      <c r="RM98" s="30"/>
      <c r="RN98" s="30"/>
      <c r="RO98" s="30"/>
      <c r="RP98" s="30"/>
      <c r="RQ98" s="30"/>
      <c r="RR98" s="30"/>
      <c r="RS98" s="30"/>
      <c r="RT98" s="30"/>
      <c r="RU98" s="30"/>
      <c r="RV98" s="30"/>
      <c r="RW98" s="30"/>
      <c r="RX98" s="30"/>
      <c r="RY98" s="30"/>
      <c r="RZ98" s="30"/>
      <c r="SA98" s="30"/>
      <c r="SB98" s="30"/>
      <c r="SC98" s="30"/>
      <c r="SD98" s="30"/>
      <c r="SE98" s="30"/>
      <c r="SF98" s="30"/>
      <c r="SG98" s="30"/>
      <c r="SH98" s="30"/>
      <c r="SI98" s="30"/>
      <c r="SJ98" s="30"/>
      <c r="SK98" s="30"/>
      <c r="SL98" s="30"/>
      <c r="SM98" s="30"/>
      <c r="SN98" s="30"/>
      <c r="SO98" s="30"/>
      <c r="SP98" s="30"/>
      <c r="SQ98" s="30"/>
      <c r="SR98" s="30"/>
      <c r="SS98" s="30"/>
      <c r="ST98" s="30"/>
      <c r="SU98" s="30"/>
      <c r="SV98" s="30"/>
      <c r="SW98" s="30"/>
      <c r="SX98" s="30"/>
      <c r="SY98" s="30"/>
      <c r="SZ98" s="30"/>
      <c r="TA98" s="30"/>
      <c r="TB98" s="30"/>
      <c r="TC98" s="30"/>
      <c r="TD98" s="30"/>
      <c r="TE98" s="30"/>
      <c r="TF98" s="30"/>
      <c r="TG98" s="30"/>
    </row>
    <row r="99" spans="1:527" s="24" customFormat="1" ht="78.75" x14ac:dyDescent="0.25">
      <c r="A99" s="60" t="s">
        <v>502</v>
      </c>
      <c r="B99" s="97">
        <v>3140</v>
      </c>
      <c r="C99" s="97">
        <v>1040</v>
      </c>
      <c r="D99" s="6" t="s">
        <v>20</v>
      </c>
      <c r="E99" s="103">
        <f t="shared" si="27"/>
        <v>5500000</v>
      </c>
      <c r="F99" s="103">
        <f>3500000+2000000</f>
        <v>5500000</v>
      </c>
      <c r="G99" s="103"/>
      <c r="H99" s="103"/>
      <c r="I99" s="103"/>
      <c r="J99" s="103">
        <f t="shared" si="29"/>
        <v>0</v>
      </c>
      <c r="K99" s="105"/>
      <c r="L99" s="105"/>
      <c r="M99" s="105"/>
      <c r="N99" s="105"/>
      <c r="O99" s="105"/>
      <c r="P99" s="103">
        <f t="shared" si="28"/>
        <v>5500000</v>
      </c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</row>
    <row r="100" spans="1:527" s="24" customFormat="1" ht="31.5" x14ac:dyDescent="0.25">
      <c r="A100" s="60" t="s">
        <v>503</v>
      </c>
      <c r="B100" s="97">
        <v>3242</v>
      </c>
      <c r="C100" s="97">
        <v>1090</v>
      </c>
      <c r="D100" s="36" t="s">
        <v>414</v>
      </c>
      <c r="E100" s="103">
        <f t="shared" si="27"/>
        <v>54300</v>
      </c>
      <c r="F100" s="103">
        <v>54300</v>
      </c>
      <c r="G100" s="103"/>
      <c r="H100" s="103"/>
      <c r="I100" s="103"/>
      <c r="J100" s="103">
        <f t="shared" si="29"/>
        <v>0</v>
      </c>
      <c r="K100" s="105"/>
      <c r="L100" s="105"/>
      <c r="M100" s="105"/>
      <c r="N100" s="105"/>
      <c r="O100" s="105"/>
      <c r="P100" s="103">
        <f t="shared" si="28"/>
        <v>54300</v>
      </c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30"/>
      <c r="NY100" s="30"/>
      <c r="NZ100" s="30"/>
      <c r="OA100" s="30"/>
      <c r="OB100" s="30"/>
      <c r="OC100" s="30"/>
      <c r="OD100" s="30"/>
      <c r="OE100" s="30"/>
      <c r="OF100" s="30"/>
      <c r="OG100" s="30"/>
      <c r="OH100" s="30"/>
      <c r="OI100" s="30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30"/>
      <c r="PX100" s="30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0"/>
      <c r="RO100" s="30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  <c r="SQ100" s="30"/>
      <c r="SR100" s="30"/>
      <c r="SS100" s="30"/>
      <c r="ST100" s="30"/>
      <c r="SU100" s="30"/>
      <c r="SV100" s="30"/>
      <c r="SW100" s="30"/>
      <c r="SX100" s="30"/>
      <c r="SY100" s="30"/>
      <c r="SZ100" s="30"/>
      <c r="TA100" s="30"/>
      <c r="TB100" s="30"/>
      <c r="TC100" s="30"/>
      <c r="TD100" s="30"/>
      <c r="TE100" s="30"/>
      <c r="TF100" s="30"/>
      <c r="TG100" s="30"/>
    </row>
    <row r="101" spans="1:527" s="24" customFormat="1" ht="31.5" x14ac:dyDescent="0.25">
      <c r="A101" s="60" t="s">
        <v>505</v>
      </c>
      <c r="B101" s="97">
        <v>5031</v>
      </c>
      <c r="C101" s="60" t="s">
        <v>82</v>
      </c>
      <c r="D101" s="3" t="s">
        <v>22</v>
      </c>
      <c r="E101" s="103">
        <f t="shared" si="27"/>
        <v>8590600</v>
      </c>
      <c r="F101" s="103">
        <v>8590600</v>
      </c>
      <c r="G101" s="103">
        <v>6510800</v>
      </c>
      <c r="H101" s="103">
        <v>192500</v>
      </c>
      <c r="I101" s="103"/>
      <c r="J101" s="103">
        <f t="shared" si="29"/>
        <v>0</v>
      </c>
      <c r="K101" s="105"/>
      <c r="L101" s="105"/>
      <c r="M101" s="105"/>
      <c r="N101" s="105"/>
      <c r="O101" s="105"/>
      <c r="P101" s="103">
        <f t="shared" si="28"/>
        <v>8590600</v>
      </c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/>
      <c r="IY101" s="30"/>
      <c r="IZ101" s="30"/>
      <c r="JA101" s="30"/>
      <c r="JB101" s="30"/>
      <c r="JC101" s="30"/>
      <c r="JD101" s="30"/>
      <c r="JE101" s="30"/>
      <c r="JF101" s="30"/>
      <c r="JG101" s="30"/>
      <c r="JH101" s="30"/>
      <c r="JI101" s="30"/>
      <c r="JJ101" s="30"/>
      <c r="JK101" s="30"/>
      <c r="JL101" s="30"/>
      <c r="JM101" s="30"/>
      <c r="JN101" s="30"/>
      <c r="JO101" s="30"/>
      <c r="JP101" s="30"/>
      <c r="JQ101" s="30"/>
      <c r="JR101" s="30"/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0"/>
      <c r="KG101" s="30"/>
      <c r="KH101" s="30"/>
      <c r="KI101" s="30"/>
      <c r="KJ101" s="30"/>
      <c r="KK101" s="30"/>
      <c r="KL101" s="30"/>
      <c r="KM101" s="30"/>
      <c r="KN101" s="30"/>
      <c r="KO101" s="30"/>
      <c r="KP101" s="30"/>
      <c r="KQ101" s="30"/>
      <c r="KR101" s="30"/>
      <c r="KS101" s="30"/>
      <c r="KT101" s="30"/>
      <c r="KU101" s="30"/>
      <c r="KV101" s="30"/>
      <c r="KW101" s="30"/>
      <c r="KX101" s="30"/>
      <c r="KY101" s="30"/>
      <c r="KZ101" s="30"/>
      <c r="LA101" s="30"/>
      <c r="LB101" s="30"/>
      <c r="LC101" s="30"/>
      <c r="LD101" s="30"/>
      <c r="LE101" s="30"/>
      <c r="LF101" s="30"/>
      <c r="LG101" s="30"/>
      <c r="LH101" s="30"/>
      <c r="LI101" s="30"/>
      <c r="LJ101" s="30"/>
      <c r="LK101" s="30"/>
      <c r="LL101" s="30"/>
      <c r="LM101" s="30"/>
      <c r="LN101" s="30"/>
      <c r="LO101" s="30"/>
      <c r="LP101" s="30"/>
      <c r="LQ101" s="30"/>
      <c r="LR101" s="30"/>
      <c r="LS101" s="30"/>
      <c r="LT101" s="30"/>
      <c r="LU101" s="30"/>
      <c r="LV101" s="30"/>
      <c r="LW101" s="30"/>
      <c r="LX101" s="30"/>
      <c r="LY101" s="30"/>
      <c r="LZ101" s="30"/>
      <c r="MA101" s="30"/>
      <c r="MB101" s="30"/>
      <c r="MC101" s="30"/>
      <c r="MD101" s="30"/>
      <c r="ME101" s="30"/>
      <c r="MF101" s="30"/>
      <c r="MG101" s="30"/>
      <c r="MH101" s="30"/>
      <c r="MI101" s="30"/>
      <c r="MJ101" s="30"/>
      <c r="MK101" s="30"/>
      <c r="ML101" s="30"/>
      <c r="MM101" s="30"/>
      <c r="MN101" s="30"/>
      <c r="MO101" s="30"/>
      <c r="MP101" s="30"/>
      <c r="MQ101" s="30"/>
      <c r="MR101" s="30"/>
      <c r="MS101" s="30"/>
      <c r="MT101" s="30"/>
      <c r="MU101" s="30"/>
      <c r="MV101" s="30"/>
      <c r="MW101" s="30"/>
      <c r="MX101" s="30"/>
      <c r="MY101" s="30"/>
      <c r="MZ101" s="30"/>
      <c r="NA101" s="30"/>
      <c r="NB101" s="30"/>
      <c r="NC101" s="30"/>
      <c r="ND101" s="30"/>
      <c r="NE101" s="30"/>
      <c r="NF101" s="30"/>
      <c r="NG101" s="30"/>
      <c r="NH101" s="30"/>
      <c r="NI101" s="30"/>
      <c r="NJ101" s="30"/>
      <c r="NK101" s="30"/>
      <c r="NL101" s="30"/>
      <c r="NM101" s="30"/>
      <c r="NN101" s="30"/>
      <c r="NO101" s="30"/>
      <c r="NP101" s="30"/>
      <c r="NQ101" s="30"/>
      <c r="NR101" s="30"/>
      <c r="NS101" s="30"/>
      <c r="NT101" s="30"/>
      <c r="NU101" s="30"/>
      <c r="NV101" s="30"/>
      <c r="NW101" s="30"/>
      <c r="NX101" s="30"/>
      <c r="NY101" s="30"/>
      <c r="NZ101" s="30"/>
      <c r="OA101" s="30"/>
      <c r="OB101" s="30"/>
      <c r="OC101" s="30"/>
      <c r="OD101" s="30"/>
      <c r="OE101" s="30"/>
      <c r="OF101" s="30"/>
      <c r="OG101" s="30"/>
      <c r="OH101" s="30"/>
      <c r="OI101" s="30"/>
      <c r="OJ101" s="30"/>
      <c r="OK101" s="30"/>
      <c r="OL101" s="30"/>
      <c r="OM101" s="30"/>
      <c r="ON101" s="30"/>
      <c r="OO101" s="30"/>
      <c r="OP101" s="30"/>
      <c r="OQ101" s="30"/>
      <c r="OR101" s="30"/>
      <c r="OS101" s="30"/>
      <c r="OT101" s="30"/>
      <c r="OU101" s="30"/>
      <c r="OV101" s="30"/>
      <c r="OW101" s="30"/>
      <c r="OX101" s="30"/>
      <c r="OY101" s="30"/>
      <c r="OZ101" s="30"/>
      <c r="PA101" s="30"/>
      <c r="PB101" s="30"/>
      <c r="PC101" s="30"/>
      <c r="PD101" s="30"/>
      <c r="PE101" s="30"/>
      <c r="PF101" s="30"/>
      <c r="PG101" s="30"/>
      <c r="PH101" s="30"/>
      <c r="PI101" s="30"/>
      <c r="PJ101" s="30"/>
      <c r="PK101" s="30"/>
      <c r="PL101" s="30"/>
      <c r="PM101" s="30"/>
      <c r="PN101" s="30"/>
      <c r="PO101" s="30"/>
      <c r="PP101" s="30"/>
      <c r="PQ101" s="30"/>
      <c r="PR101" s="30"/>
      <c r="PS101" s="30"/>
      <c r="PT101" s="30"/>
      <c r="PU101" s="30"/>
      <c r="PV101" s="30"/>
      <c r="PW101" s="30"/>
      <c r="PX101" s="30"/>
      <c r="PY101" s="30"/>
      <c r="PZ101" s="30"/>
      <c r="QA101" s="30"/>
      <c r="QB101" s="30"/>
      <c r="QC101" s="30"/>
      <c r="QD101" s="30"/>
      <c r="QE101" s="30"/>
      <c r="QF101" s="30"/>
      <c r="QG101" s="30"/>
      <c r="QH101" s="30"/>
      <c r="QI101" s="30"/>
      <c r="QJ101" s="30"/>
      <c r="QK101" s="30"/>
      <c r="QL101" s="30"/>
      <c r="QM101" s="30"/>
      <c r="QN101" s="30"/>
      <c r="QO101" s="30"/>
      <c r="QP101" s="30"/>
      <c r="QQ101" s="30"/>
      <c r="QR101" s="30"/>
      <c r="QS101" s="30"/>
      <c r="QT101" s="30"/>
      <c r="QU101" s="30"/>
      <c r="QV101" s="30"/>
      <c r="QW101" s="30"/>
      <c r="QX101" s="30"/>
      <c r="QY101" s="30"/>
      <c r="QZ101" s="30"/>
      <c r="RA101" s="30"/>
      <c r="RB101" s="30"/>
      <c r="RC101" s="30"/>
      <c r="RD101" s="30"/>
      <c r="RE101" s="30"/>
      <c r="RF101" s="30"/>
      <c r="RG101" s="30"/>
      <c r="RH101" s="30"/>
      <c r="RI101" s="30"/>
      <c r="RJ101" s="30"/>
      <c r="RK101" s="30"/>
      <c r="RL101" s="30"/>
      <c r="RM101" s="30"/>
      <c r="RN101" s="30"/>
      <c r="RO101" s="30"/>
      <c r="RP101" s="30"/>
      <c r="RQ101" s="30"/>
      <c r="RR101" s="30"/>
      <c r="RS101" s="30"/>
      <c r="RT101" s="30"/>
      <c r="RU101" s="30"/>
      <c r="RV101" s="30"/>
      <c r="RW101" s="30"/>
      <c r="RX101" s="30"/>
      <c r="RY101" s="30"/>
      <c r="RZ101" s="30"/>
      <c r="SA101" s="30"/>
      <c r="SB101" s="30"/>
      <c r="SC101" s="30"/>
      <c r="SD101" s="30"/>
      <c r="SE101" s="30"/>
      <c r="SF101" s="30"/>
      <c r="SG101" s="30"/>
      <c r="SH101" s="30"/>
      <c r="SI101" s="30"/>
      <c r="SJ101" s="30"/>
      <c r="SK101" s="30"/>
      <c r="SL101" s="30"/>
      <c r="SM101" s="30"/>
      <c r="SN101" s="30"/>
      <c r="SO101" s="30"/>
      <c r="SP101" s="30"/>
      <c r="SQ101" s="30"/>
      <c r="SR101" s="30"/>
      <c r="SS101" s="30"/>
      <c r="ST101" s="30"/>
      <c r="SU101" s="30"/>
      <c r="SV101" s="30"/>
      <c r="SW101" s="30"/>
      <c r="SX101" s="30"/>
      <c r="SY101" s="30"/>
      <c r="SZ101" s="30"/>
      <c r="TA101" s="30"/>
      <c r="TB101" s="30"/>
      <c r="TC101" s="30"/>
      <c r="TD101" s="30"/>
      <c r="TE101" s="30"/>
      <c r="TF101" s="30"/>
      <c r="TG101" s="30"/>
    </row>
    <row r="102" spans="1:527" s="24" customFormat="1" ht="18.75" x14ac:dyDescent="0.25">
      <c r="A102" s="60" t="s">
        <v>506</v>
      </c>
      <c r="B102" s="97">
        <v>7321</v>
      </c>
      <c r="C102" s="60" t="s">
        <v>113</v>
      </c>
      <c r="D102" s="6" t="s">
        <v>569</v>
      </c>
      <c r="E102" s="103">
        <f t="shared" si="27"/>
        <v>0</v>
      </c>
      <c r="F102" s="103"/>
      <c r="G102" s="103"/>
      <c r="H102" s="103"/>
      <c r="I102" s="103"/>
      <c r="J102" s="103">
        <f t="shared" si="29"/>
        <v>23199718</v>
      </c>
      <c r="K102" s="103">
        <f>21660000+2000000+139385+600000+584918+112177+193520-969650+15000+146760+300000-380000-905000+49950-300000+517880+24778-160000-280000+50000-200000</f>
        <v>23199718</v>
      </c>
      <c r="L102" s="103"/>
      <c r="M102" s="103"/>
      <c r="N102" s="103"/>
      <c r="O102" s="103">
        <f>21660000+2000000+139385+600000+584918+112177+193520-969650+15000+146760+300000-380000-905000+49950-300000+517880+24778-160000-280000+50000-200000</f>
        <v>23199718</v>
      </c>
      <c r="P102" s="103">
        <f t="shared" si="28"/>
        <v>23199718</v>
      </c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0"/>
      <c r="KG102" s="30"/>
      <c r="KH102" s="30"/>
      <c r="KI102" s="30"/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30"/>
      <c r="KU102" s="30"/>
      <c r="KV102" s="30"/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  <c r="LU102" s="30"/>
      <c r="LV102" s="30"/>
      <c r="LW102" s="30"/>
      <c r="LX102" s="30"/>
      <c r="LY102" s="30"/>
      <c r="LZ102" s="30"/>
      <c r="MA102" s="30"/>
      <c r="MB102" s="30"/>
      <c r="MC102" s="30"/>
      <c r="MD102" s="30"/>
      <c r="ME102" s="30"/>
      <c r="MF102" s="30"/>
      <c r="MG102" s="30"/>
      <c r="MH102" s="30"/>
      <c r="MI102" s="30"/>
      <c r="MJ102" s="30"/>
      <c r="MK102" s="30"/>
      <c r="ML102" s="30"/>
      <c r="MM102" s="30"/>
      <c r="MN102" s="30"/>
      <c r="MO102" s="30"/>
      <c r="MP102" s="30"/>
      <c r="MQ102" s="30"/>
      <c r="MR102" s="30"/>
      <c r="MS102" s="30"/>
      <c r="MT102" s="30"/>
      <c r="MU102" s="30"/>
      <c r="MV102" s="30"/>
      <c r="MW102" s="30"/>
      <c r="MX102" s="30"/>
      <c r="MY102" s="30"/>
      <c r="MZ102" s="30"/>
      <c r="NA102" s="30"/>
      <c r="NB102" s="30"/>
      <c r="NC102" s="30"/>
      <c r="ND102" s="30"/>
      <c r="NE102" s="30"/>
      <c r="NF102" s="30"/>
      <c r="NG102" s="30"/>
      <c r="NH102" s="30"/>
      <c r="NI102" s="30"/>
      <c r="NJ102" s="30"/>
      <c r="NK102" s="30"/>
      <c r="NL102" s="30"/>
      <c r="NM102" s="30"/>
      <c r="NN102" s="30"/>
      <c r="NO102" s="30"/>
      <c r="NP102" s="30"/>
      <c r="NQ102" s="30"/>
      <c r="NR102" s="30"/>
      <c r="NS102" s="30"/>
      <c r="NT102" s="30"/>
      <c r="NU102" s="30"/>
      <c r="NV102" s="30"/>
      <c r="NW102" s="30"/>
      <c r="NX102" s="30"/>
      <c r="NY102" s="30"/>
      <c r="NZ102" s="30"/>
      <c r="OA102" s="30"/>
      <c r="OB102" s="30"/>
      <c r="OC102" s="30"/>
      <c r="OD102" s="30"/>
      <c r="OE102" s="30"/>
      <c r="OF102" s="30"/>
      <c r="OG102" s="30"/>
      <c r="OH102" s="30"/>
      <c r="OI102" s="30"/>
      <c r="OJ102" s="30"/>
      <c r="OK102" s="30"/>
      <c r="OL102" s="30"/>
      <c r="OM102" s="30"/>
      <c r="ON102" s="30"/>
      <c r="OO102" s="30"/>
      <c r="OP102" s="30"/>
      <c r="OQ102" s="30"/>
      <c r="OR102" s="30"/>
      <c r="OS102" s="30"/>
      <c r="OT102" s="30"/>
      <c r="OU102" s="30"/>
      <c r="OV102" s="30"/>
      <c r="OW102" s="30"/>
      <c r="OX102" s="30"/>
      <c r="OY102" s="30"/>
      <c r="OZ102" s="30"/>
      <c r="PA102" s="30"/>
      <c r="PB102" s="30"/>
      <c r="PC102" s="30"/>
      <c r="PD102" s="30"/>
      <c r="PE102" s="30"/>
      <c r="PF102" s="30"/>
      <c r="PG102" s="30"/>
      <c r="PH102" s="30"/>
      <c r="PI102" s="30"/>
      <c r="PJ102" s="30"/>
      <c r="PK102" s="30"/>
      <c r="PL102" s="30"/>
      <c r="PM102" s="30"/>
      <c r="PN102" s="30"/>
      <c r="PO102" s="30"/>
      <c r="PP102" s="30"/>
      <c r="PQ102" s="30"/>
      <c r="PR102" s="30"/>
      <c r="PS102" s="30"/>
      <c r="PT102" s="30"/>
      <c r="PU102" s="30"/>
      <c r="PV102" s="30"/>
      <c r="PW102" s="30"/>
      <c r="PX102" s="30"/>
      <c r="PY102" s="30"/>
      <c r="PZ102" s="30"/>
      <c r="QA102" s="30"/>
      <c r="QB102" s="30"/>
      <c r="QC102" s="30"/>
      <c r="QD102" s="30"/>
      <c r="QE102" s="30"/>
      <c r="QF102" s="30"/>
      <c r="QG102" s="30"/>
      <c r="QH102" s="30"/>
      <c r="QI102" s="30"/>
      <c r="QJ102" s="30"/>
      <c r="QK102" s="30"/>
      <c r="QL102" s="30"/>
      <c r="QM102" s="30"/>
      <c r="QN102" s="30"/>
      <c r="QO102" s="30"/>
      <c r="QP102" s="30"/>
      <c r="QQ102" s="30"/>
      <c r="QR102" s="30"/>
      <c r="QS102" s="30"/>
      <c r="QT102" s="30"/>
      <c r="QU102" s="30"/>
      <c r="QV102" s="30"/>
      <c r="QW102" s="30"/>
      <c r="QX102" s="30"/>
      <c r="QY102" s="30"/>
      <c r="QZ102" s="30"/>
      <c r="RA102" s="30"/>
      <c r="RB102" s="30"/>
      <c r="RC102" s="30"/>
      <c r="RD102" s="30"/>
      <c r="RE102" s="30"/>
      <c r="RF102" s="30"/>
      <c r="RG102" s="30"/>
      <c r="RH102" s="30"/>
      <c r="RI102" s="30"/>
      <c r="RJ102" s="30"/>
      <c r="RK102" s="30"/>
      <c r="RL102" s="30"/>
      <c r="RM102" s="30"/>
      <c r="RN102" s="30"/>
      <c r="RO102" s="30"/>
      <c r="RP102" s="30"/>
      <c r="RQ102" s="30"/>
      <c r="RR102" s="30"/>
      <c r="RS102" s="30"/>
      <c r="RT102" s="30"/>
      <c r="RU102" s="30"/>
      <c r="RV102" s="30"/>
      <c r="RW102" s="30"/>
      <c r="RX102" s="30"/>
      <c r="RY102" s="30"/>
      <c r="RZ102" s="30"/>
      <c r="SA102" s="30"/>
      <c r="SB102" s="30"/>
      <c r="SC102" s="30"/>
      <c r="SD102" s="30"/>
      <c r="SE102" s="30"/>
      <c r="SF102" s="30"/>
      <c r="SG102" s="30"/>
      <c r="SH102" s="30"/>
      <c r="SI102" s="30"/>
      <c r="SJ102" s="30"/>
      <c r="SK102" s="30"/>
      <c r="SL102" s="30"/>
      <c r="SM102" s="30"/>
      <c r="SN102" s="30"/>
      <c r="SO102" s="30"/>
      <c r="SP102" s="30"/>
      <c r="SQ102" s="30"/>
      <c r="SR102" s="30"/>
      <c r="SS102" s="30"/>
      <c r="ST102" s="30"/>
      <c r="SU102" s="30"/>
      <c r="SV102" s="30"/>
      <c r="SW102" s="30"/>
      <c r="SX102" s="30"/>
      <c r="SY102" s="30"/>
      <c r="SZ102" s="30"/>
      <c r="TA102" s="30"/>
      <c r="TB102" s="30"/>
      <c r="TC102" s="30"/>
      <c r="TD102" s="30"/>
      <c r="TE102" s="30"/>
      <c r="TF102" s="30"/>
      <c r="TG102" s="30"/>
    </row>
    <row r="103" spans="1:527" s="24" customFormat="1" ht="47.25" x14ac:dyDescent="0.25">
      <c r="A103" s="60" t="s">
        <v>575</v>
      </c>
      <c r="B103" s="97">
        <v>7363</v>
      </c>
      <c r="C103" s="60" t="s">
        <v>84</v>
      </c>
      <c r="D103" s="6" t="s">
        <v>400</v>
      </c>
      <c r="E103" s="103">
        <f t="shared" si="27"/>
        <v>0</v>
      </c>
      <c r="F103" s="103"/>
      <c r="G103" s="103"/>
      <c r="H103" s="103"/>
      <c r="I103" s="103"/>
      <c r="J103" s="103">
        <f t="shared" si="29"/>
        <v>2629959</v>
      </c>
      <c r="K103" s="103">
        <v>2629959</v>
      </c>
      <c r="L103" s="103"/>
      <c r="M103" s="103"/>
      <c r="N103" s="103"/>
      <c r="O103" s="103">
        <v>2629959</v>
      </c>
      <c r="P103" s="103">
        <f t="shared" si="28"/>
        <v>2629959</v>
      </c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  <c r="TF103" s="30"/>
      <c r="TG103" s="30"/>
    </row>
    <row r="104" spans="1:527" s="24" customFormat="1" ht="47.25" x14ac:dyDescent="0.25">
      <c r="A104" s="88"/>
      <c r="B104" s="115"/>
      <c r="C104" s="88"/>
      <c r="D104" s="85" t="s">
        <v>576</v>
      </c>
      <c r="E104" s="105">
        <f t="shared" si="27"/>
        <v>0</v>
      </c>
      <c r="F104" s="105"/>
      <c r="G104" s="105"/>
      <c r="H104" s="105"/>
      <c r="I104" s="105"/>
      <c r="J104" s="105">
        <f t="shared" si="29"/>
        <v>2629959</v>
      </c>
      <c r="K104" s="105">
        <v>2629959</v>
      </c>
      <c r="L104" s="105"/>
      <c r="M104" s="105"/>
      <c r="N104" s="105"/>
      <c r="O104" s="105">
        <v>2629959</v>
      </c>
      <c r="P104" s="105">
        <f t="shared" si="28"/>
        <v>2629959</v>
      </c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  <c r="SQ104" s="30"/>
      <c r="SR104" s="30"/>
      <c r="SS104" s="30"/>
      <c r="ST104" s="30"/>
      <c r="SU104" s="30"/>
      <c r="SV104" s="30"/>
      <c r="SW104" s="30"/>
      <c r="SX104" s="30"/>
      <c r="SY104" s="30"/>
      <c r="SZ104" s="30"/>
      <c r="TA104" s="30"/>
      <c r="TB104" s="30"/>
      <c r="TC104" s="30"/>
      <c r="TD104" s="30"/>
      <c r="TE104" s="30"/>
      <c r="TF104" s="30"/>
      <c r="TG104" s="30"/>
    </row>
    <row r="105" spans="1:527" s="24" customFormat="1" ht="15.75" x14ac:dyDescent="0.25">
      <c r="A105" s="60" t="s">
        <v>507</v>
      </c>
      <c r="B105" s="97">
        <v>7640</v>
      </c>
      <c r="C105" s="60" t="s">
        <v>88</v>
      </c>
      <c r="D105" s="3" t="s">
        <v>424</v>
      </c>
      <c r="E105" s="103">
        <f t="shared" si="27"/>
        <v>691000</v>
      </c>
      <c r="F105" s="103">
        <f>551000+140000</f>
        <v>691000</v>
      </c>
      <c r="G105" s="103"/>
      <c r="H105" s="103"/>
      <c r="I105" s="103"/>
      <c r="J105" s="103">
        <f t="shared" si="29"/>
        <v>11100000</v>
      </c>
      <c r="K105" s="103">
        <f>13040000-139385-1660615-140000</f>
        <v>11100000</v>
      </c>
      <c r="L105" s="103"/>
      <c r="M105" s="103"/>
      <c r="N105" s="103"/>
      <c r="O105" s="103">
        <f>13040000-139385-1660615-140000</f>
        <v>11100000</v>
      </c>
      <c r="P105" s="103">
        <f t="shared" si="28"/>
        <v>11791000</v>
      </c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30"/>
      <c r="NY105" s="30"/>
      <c r="NZ105" s="30"/>
      <c r="OA105" s="30"/>
      <c r="OB105" s="30"/>
      <c r="OC105" s="30"/>
      <c r="OD105" s="30"/>
      <c r="OE105" s="30"/>
      <c r="OF105" s="30"/>
      <c r="OG105" s="30"/>
      <c r="OH105" s="30"/>
      <c r="OI105" s="30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30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0"/>
      <c r="RO105" s="30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30"/>
      <c r="TD105" s="30"/>
      <c r="TE105" s="30"/>
      <c r="TF105" s="30"/>
      <c r="TG105" s="30"/>
    </row>
    <row r="106" spans="1:527" s="24" customFormat="1" ht="47.25" x14ac:dyDescent="0.25">
      <c r="A106" s="60" t="s">
        <v>510</v>
      </c>
      <c r="B106" s="97">
        <v>7700</v>
      </c>
      <c r="C106" s="60" t="s">
        <v>95</v>
      </c>
      <c r="D106" s="3" t="s">
        <v>364</v>
      </c>
      <c r="E106" s="103">
        <f t="shared" si="27"/>
        <v>0</v>
      </c>
      <c r="F106" s="103"/>
      <c r="G106" s="103"/>
      <c r="H106" s="103"/>
      <c r="I106" s="103"/>
      <c r="J106" s="103">
        <f t="shared" si="29"/>
        <v>630000</v>
      </c>
      <c r="K106" s="103"/>
      <c r="L106" s="103"/>
      <c r="M106" s="103"/>
      <c r="N106" s="103"/>
      <c r="O106" s="103">
        <v>630000</v>
      </c>
      <c r="P106" s="103">
        <f t="shared" si="28"/>
        <v>630000</v>
      </c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  <c r="TF106" s="30"/>
      <c r="TG106" s="30"/>
    </row>
    <row r="107" spans="1:527" s="24" customFormat="1" ht="37.5" customHeight="1" x14ac:dyDescent="0.25">
      <c r="A107" s="60" t="s">
        <v>508</v>
      </c>
      <c r="B107" s="97">
        <v>8340</v>
      </c>
      <c r="C107" s="60" t="s">
        <v>94</v>
      </c>
      <c r="D107" s="3" t="s">
        <v>10</v>
      </c>
      <c r="E107" s="103">
        <f t="shared" si="27"/>
        <v>0</v>
      </c>
      <c r="F107" s="103"/>
      <c r="G107" s="103"/>
      <c r="H107" s="103"/>
      <c r="I107" s="103"/>
      <c r="J107" s="103">
        <f t="shared" si="29"/>
        <v>625000</v>
      </c>
      <c r="K107" s="103"/>
      <c r="L107" s="103">
        <f>595000+30000-49900</f>
        <v>575100</v>
      </c>
      <c r="M107" s="103"/>
      <c r="N107" s="103"/>
      <c r="O107" s="103">
        <f>30000-30000+49900</f>
        <v>49900</v>
      </c>
      <c r="P107" s="103">
        <f t="shared" si="28"/>
        <v>625000</v>
      </c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</row>
    <row r="108" spans="1:527" s="24" customFormat="1" ht="15.75" x14ac:dyDescent="0.25">
      <c r="A108" s="60" t="s">
        <v>509</v>
      </c>
      <c r="B108" s="97">
        <v>9770</v>
      </c>
      <c r="C108" s="60" t="s">
        <v>46</v>
      </c>
      <c r="D108" s="6" t="s">
        <v>358</v>
      </c>
      <c r="E108" s="103">
        <f t="shared" si="27"/>
        <v>59310000</v>
      </c>
      <c r="F108" s="103">
        <f>59300000+10000</f>
        <v>59310000</v>
      </c>
      <c r="G108" s="103"/>
      <c r="H108" s="103"/>
      <c r="I108" s="103"/>
      <c r="J108" s="103">
        <f t="shared" si="29"/>
        <v>0</v>
      </c>
      <c r="K108" s="103"/>
      <c r="L108" s="103"/>
      <c r="M108" s="103"/>
      <c r="N108" s="103"/>
      <c r="O108" s="103"/>
      <c r="P108" s="103">
        <f t="shared" si="28"/>
        <v>59310000</v>
      </c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  <c r="TF108" s="30"/>
      <c r="TG108" s="30"/>
    </row>
    <row r="109" spans="1:527" s="24" customFormat="1" ht="47.25" x14ac:dyDescent="0.25">
      <c r="A109" s="60" t="s">
        <v>557</v>
      </c>
      <c r="B109" s="97">
        <v>9320</v>
      </c>
      <c r="C109" s="60" t="s">
        <v>46</v>
      </c>
      <c r="D109" s="6" t="s">
        <v>558</v>
      </c>
      <c r="E109" s="103">
        <f t="shared" si="27"/>
        <v>693000</v>
      </c>
      <c r="F109" s="103">
        <v>693000</v>
      </c>
      <c r="G109" s="103"/>
      <c r="H109" s="103"/>
      <c r="I109" s="103"/>
      <c r="J109" s="103">
        <f t="shared" si="29"/>
        <v>3307000</v>
      </c>
      <c r="K109" s="103">
        <v>3307000</v>
      </c>
      <c r="L109" s="103"/>
      <c r="M109" s="103"/>
      <c r="N109" s="103"/>
      <c r="O109" s="103">
        <v>3307000</v>
      </c>
      <c r="P109" s="103">
        <f t="shared" si="28"/>
        <v>4000000</v>
      </c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</row>
    <row r="110" spans="1:527" s="24" customFormat="1" ht="31.5" x14ac:dyDescent="0.25">
      <c r="A110" s="88"/>
      <c r="B110" s="115"/>
      <c r="C110" s="88"/>
      <c r="D110" s="91" t="s">
        <v>551</v>
      </c>
      <c r="E110" s="105">
        <f t="shared" si="27"/>
        <v>693000</v>
      </c>
      <c r="F110" s="105">
        <v>693000</v>
      </c>
      <c r="G110" s="105"/>
      <c r="H110" s="105"/>
      <c r="I110" s="105"/>
      <c r="J110" s="105">
        <f t="shared" si="29"/>
        <v>3307000</v>
      </c>
      <c r="K110" s="105">
        <v>3307000</v>
      </c>
      <c r="L110" s="105"/>
      <c r="M110" s="105"/>
      <c r="N110" s="105"/>
      <c r="O110" s="105">
        <v>3307000</v>
      </c>
      <c r="P110" s="105">
        <f t="shared" si="28"/>
        <v>4000000</v>
      </c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  <c r="SQ110" s="30"/>
      <c r="SR110" s="30"/>
      <c r="SS110" s="30"/>
      <c r="ST110" s="30"/>
      <c r="SU110" s="30"/>
      <c r="SV110" s="30"/>
      <c r="SW110" s="30"/>
      <c r="SX110" s="30"/>
      <c r="SY110" s="30"/>
      <c r="SZ110" s="30"/>
      <c r="TA110" s="30"/>
      <c r="TB110" s="30"/>
      <c r="TC110" s="30"/>
      <c r="TD110" s="30"/>
      <c r="TE110" s="30"/>
      <c r="TF110" s="30"/>
      <c r="TG110" s="30"/>
    </row>
    <row r="111" spans="1:527" s="24" customFormat="1" ht="48.75" customHeight="1" x14ac:dyDescent="0.25">
      <c r="A111" s="60" t="s">
        <v>546</v>
      </c>
      <c r="B111" s="97">
        <v>9800</v>
      </c>
      <c r="C111" s="60" t="s">
        <v>46</v>
      </c>
      <c r="D111" s="6" t="s">
        <v>369</v>
      </c>
      <c r="E111" s="103">
        <f t="shared" si="27"/>
        <v>49600</v>
      </c>
      <c r="F111" s="103">
        <v>49600</v>
      </c>
      <c r="G111" s="103"/>
      <c r="H111" s="103"/>
      <c r="I111" s="103"/>
      <c r="J111" s="103">
        <f t="shared" si="29"/>
        <v>0</v>
      </c>
      <c r="K111" s="103"/>
      <c r="L111" s="103"/>
      <c r="M111" s="103"/>
      <c r="N111" s="103"/>
      <c r="O111" s="103"/>
      <c r="P111" s="103">
        <f t="shared" si="28"/>
        <v>49600</v>
      </c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</row>
    <row r="112" spans="1:527" s="27" customFormat="1" ht="30.75" customHeight="1" x14ac:dyDescent="0.25">
      <c r="A112" s="114" t="s">
        <v>171</v>
      </c>
      <c r="B112" s="116"/>
      <c r="C112" s="116"/>
      <c r="D112" s="111" t="s">
        <v>467</v>
      </c>
      <c r="E112" s="99">
        <f>E113</f>
        <v>84964721</v>
      </c>
      <c r="F112" s="99">
        <f t="shared" ref="F112:P112" si="37">F113</f>
        <v>84964721</v>
      </c>
      <c r="G112" s="99">
        <f t="shared" si="37"/>
        <v>4343800</v>
      </c>
      <c r="H112" s="99">
        <f t="shared" si="37"/>
        <v>78600</v>
      </c>
      <c r="I112" s="99">
        <f t="shared" si="37"/>
        <v>0</v>
      </c>
      <c r="J112" s="99">
        <f t="shared" si="37"/>
        <v>113848090.53999999</v>
      </c>
      <c r="K112" s="99">
        <f t="shared" si="37"/>
        <v>113848090.53999999</v>
      </c>
      <c r="L112" s="99">
        <f t="shared" si="37"/>
        <v>0</v>
      </c>
      <c r="M112" s="99">
        <f t="shared" si="37"/>
        <v>0</v>
      </c>
      <c r="N112" s="99">
        <f t="shared" si="37"/>
        <v>0</v>
      </c>
      <c r="O112" s="99">
        <f t="shared" si="37"/>
        <v>113848090.53999999</v>
      </c>
      <c r="P112" s="99">
        <f t="shared" si="37"/>
        <v>198812811.53999999</v>
      </c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  <c r="IP112" s="32"/>
      <c r="IQ112" s="32"/>
      <c r="IR112" s="32"/>
      <c r="IS112" s="32"/>
      <c r="IT112" s="32"/>
      <c r="IU112" s="32"/>
      <c r="IV112" s="32"/>
      <c r="IW112" s="32"/>
      <c r="IX112" s="32"/>
      <c r="IY112" s="32"/>
      <c r="IZ112" s="32"/>
      <c r="JA112" s="32"/>
      <c r="JB112" s="32"/>
      <c r="JC112" s="32"/>
      <c r="JD112" s="32"/>
      <c r="JE112" s="32"/>
      <c r="JF112" s="32"/>
      <c r="JG112" s="32"/>
      <c r="JH112" s="32"/>
      <c r="JI112" s="32"/>
      <c r="JJ112" s="32"/>
      <c r="JK112" s="32"/>
      <c r="JL112" s="32"/>
      <c r="JM112" s="32"/>
      <c r="JN112" s="32"/>
      <c r="JO112" s="32"/>
      <c r="JP112" s="32"/>
      <c r="JQ112" s="32"/>
      <c r="JR112" s="32"/>
      <c r="JS112" s="32"/>
      <c r="JT112" s="32"/>
      <c r="JU112" s="32"/>
      <c r="JV112" s="32"/>
      <c r="JW112" s="32"/>
      <c r="JX112" s="32"/>
      <c r="JY112" s="32"/>
      <c r="JZ112" s="32"/>
      <c r="KA112" s="32"/>
      <c r="KB112" s="32"/>
      <c r="KC112" s="32"/>
      <c r="KD112" s="32"/>
      <c r="KE112" s="32"/>
      <c r="KF112" s="32"/>
      <c r="KG112" s="32"/>
      <c r="KH112" s="32"/>
      <c r="KI112" s="32"/>
      <c r="KJ112" s="32"/>
      <c r="KK112" s="32"/>
      <c r="KL112" s="32"/>
      <c r="KM112" s="32"/>
      <c r="KN112" s="32"/>
      <c r="KO112" s="32"/>
      <c r="KP112" s="32"/>
      <c r="KQ112" s="32"/>
      <c r="KR112" s="32"/>
      <c r="KS112" s="32"/>
      <c r="KT112" s="32"/>
      <c r="KU112" s="32"/>
      <c r="KV112" s="32"/>
      <c r="KW112" s="32"/>
      <c r="KX112" s="32"/>
      <c r="KY112" s="32"/>
      <c r="KZ112" s="32"/>
      <c r="LA112" s="32"/>
      <c r="LB112" s="32"/>
      <c r="LC112" s="32"/>
      <c r="LD112" s="32"/>
      <c r="LE112" s="32"/>
      <c r="LF112" s="32"/>
      <c r="LG112" s="32"/>
      <c r="LH112" s="32"/>
      <c r="LI112" s="32"/>
      <c r="LJ112" s="32"/>
      <c r="LK112" s="32"/>
      <c r="LL112" s="32"/>
      <c r="LM112" s="32"/>
      <c r="LN112" s="32"/>
      <c r="LO112" s="32"/>
      <c r="LP112" s="32"/>
      <c r="LQ112" s="32"/>
      <c r="LR112" s="32"/>
      <c r="LS112" s="32"/>
      <c r="LT112" s="32"/>
      <c r="LU112" s="32"/>
      <c r="LV112" s="32"/>
      <c r="LW112" s="32"/>
      <c r="LX112" s="32"/>
      <c r="LY112" s="32"/>
      <c r="LZ112" s="32"/>
      <c r="MA112" s="32"/>
      <c r="MB112" s="32"/>
      <c r="MC112" s="32"/>
      <c r="MD112" s="32"/>
      <c r="ME112" s="32"/>
      <c r="MF112" s="32"/>
      <c r="MG112" s="32"/>
      <c r="MH112" s="32"/>
      <c r="MI112" s="32"/>
      <c r="MJ112" s="32"/>
      <c r="MK112" s="32"/>
      <c r="ML112" s="32"/>
      <c r="MM112" s="32"/>
      <c r="MN112" s="32"/>
      <c r="MO112" s="32"/>
      <c r="MP112" s="32"/>
      <c r="MQ112" s="32"/>
      <c r="MR112" s="32"/>
      <c r="MS112" s="32"/>
      <c r="MT112" s="32"/>
      <c r="MU112" s="32"/>
      <c r="MV112" s="32"/>
      <c r="MW112" s="32"/>
      <c r="MX112" s="32"/>
      <c r="MY112" s="32"/>
      <c r="MZ112" s="32"/>
      <c r="NA112" s="32"/>
      <c r="NB112" s="32"/>
      <c r="NC112" s="32"/>
      <c r="ND112" s="32"/>
      <c r="NE112" s="32"/>
      <c r="NF112" s="32"/>
      <c r="NG112" s="32"/>
      <c r="NH112" s="32"/>
      <c r="NI112" s="32"/>
      <c r="NJ112" s="32"/>
      <c r="NK112" s="32"/>
      <c r="NL112" s="32"/>
      <c r="NM112" s="32"/>
      <c r="NN112" s="32"/>
      <c r="NO112" s="32"/>
      <c r="NP112" s="32"/>
      <c r="NQ112" s="32"/>
      <c r="NR112" s="32"/>
      <c r="NS112" s="32"/>
      <c r="NT112" s="32"/>
      <c r="NU112" s="32"/>
      <c r="NV112" s="32"/>
      <c r="NW112" s="32"/>
      <c r="NX112" s="32"/>
      <c r="NY112" s="32"/>
      <c r="NZ112" s="32"/>
      <c r="OA112" s="32"/>
      <c r="OB112" s="32"/>
      <c r="OC112" s="32"/>
      <c r="OD112" s="32"/>
      <c r="OE112" s="32"/>
      <c r="OF112" s="32"/>
      <c r="OG112" s="32"/>
      <c r="OH112" s="32"/>
      <c r="OI112" s="32"/>
      <c r="OJ112" s="32"/>
      <c r="OK112" s="32"/>
      <c r="OL112" s="32"/>
      <c r="OM112" s="32"/>
      <c r="ON112" s="32"/>
      <c r="OO112" s="32"/>
      <c r="OP112" s="32"/>
      <c r="OQ112" s="32"/>
      <c r="OR112" s="32"/>
      <c r="OS112" s="32"/>
      <c r="OT112" s="32"/>
      <c r="OU112" s="32"/>
      <c r="OV112" s="32"/>
      <c r="OW112" s="32"/>
      <c r="OX112" s="32"/>
      <c r="OY112" s="32"/>
      <c r="OZ112" s="32"/>
      <c r="PA112" s="32"/>
      <c r="PB112" s="32"/>
      <c r="PC112" s="32"/>
      <c r="PD112" s="32"/>
      <c r="PE112" s="32"/>
      <c r="PF112" s="32"/>
      <c r="PG112" s="32"/>
      <c r="PH112" s="32"/>
      <c r="PI112" s="32"/>
      <c r="PJ112" s="32"/>
      <c r="PK112" s="32"/>
      <c r="PL112" s="32"/>
      <c r="PM112" s="32"/>
      <c r="PN112" s="32"/>
      <c r="PO112" s="32"/>
      <c r="PP112" s="32"/>
      <c r="PQ112" s="32"/>
      <c r="PR112" s="32"/>
      <c r="PS112" s="32"/>
      <c r="PT112" s="32"/>
      <c r="PU112" s="32"/>
      <c r="PV112" s="32"/>
      <c r="PW112" s="32"/>
      <c r="PX112" s="32"/>
      <c r="PY112" s="32"/>
      <c r="PZ112" s="32"/>
      <c r="QA112" s="32"/>
      <c r="QB112" s="32"/>
      <c r="QC112" s="32"/>
      <c r="QD112" s="32"/>
      <c r="QE112" s="32"/>
      <c r="QF112" s="32"/>
      <c r="QG112" s="32"/>
      <c r="QH112" s="32"/>
      <c r="QI112" s="32"/>
      <c r="QJ112" s="32"/>
      <c r="QK112" s="32"/>
      <c r="QL112" s="32"/>
      <c r="QM112" s="32"/>
      <c r="QN112" s="32"/>
      <c r="QO112" s="32"/>
      <c r="QP112" s="32"/>
      <c r="QQ112" s="32"/>
      <c r="QR112" s="32"/>
      <c r="QS112" s="32"/>
      <c r="QT112" s="32"/>
      <c r="QU112" s="32"/>
      <c r="QV112" s="32"/>
      <c r="QW112" s="32"/>
      <c r="QX112" s="32"/>
      <c r="QY112" s="32"/>
      <c r="QZ112" s="32"/>
      <c r="RA112" s="32"/>
      <c r="RB112" s="32"/>
      <c r="RC112" s="32"/>
      <c r="RD112" s="32"/>
      <c r="RE112" s="32"/>
      <c r="RF112" s="32"/>
      <c r="RG112" s="32"/>
      <c r="RH112" s="32"/>
      <c r="RI112" s="32"/>
      <c r="RJ112" s="32"/>
      <c r="RK112" s="32"/>
      <c r="RL112" s="32"/>
      <c r="RM112" s="32"/>
      <c r="RN112" s="32"/>
      <c r="RO112" s="32"/>
      <c r="RP112" s="32"/>
      <c r="RQ112" s="32"/>
      <c r="RR112" s="32"/>
      <c r="RS112" s="32"/>
      <c r="RT112" s="32"/>
      <c r="RU112" s="32"/>
      <c r="RV112" s="32"/>
      <c r="RW112" s="32"/>
      <c r="RX112" s="32"/>
      <c r="RY112" s="32"/>
      <c r="RZ112" s="32"/>
      <c r="SA112" s="32"/>
      <c r="SB112" s="32"/>
      <c r="SC112" s="32"/>
      <c r="SD112" s="32"/>
      <c r="SE112" s="32"/>
      <c r="SF112" s="32"/>
      <c r="SG112" s="32"/>
      <c r="SH112" s="32"/>
      <c r="SI112" s="32"/>
      <c r="SJ112" s="32"/>
      <c r="SK112" s="32"/>
      <c r="SL112" s="32"/>
      <c r="SM112" s="32"/>
      <c r="SN112" s="32"/>
      <c r="SO112" s="32"/>
      <c r="SP112" s="32"/>
      <c r="SQ112" s="32"/>
      <c r="SR112" s="32"/>
      <c r="SS112" s="32"/>
      <c r="ST112" s="32"/>
      <c r="SU112" s="32"/>
      <c r="SV112" s="32"/>
      <c r="SW112" s="32"/>
      <c r="SX112" s="32"/>
      <c r="SY112" s="32"/>
      <c r="SZ112" s="32"/>
      <c r="TA112" s="32"/>
      <c r="TB112" s="32"/>
      <c r="TC112" s="32"/>
      <c r="TD112" s="32"/>
      <c r="TE112" s="32"/>
      <c r="TF112" s="32"/>
      <c r="TG112" s="32"/>
    </row>
    <row r="113" spans="1:527" s="34" customFormat="1" ht="30.75" customHeight="1" x14ac:dyDescent="0.25">
      <c r="A113" s="100" t="s">
        <v>172</v>
      </c>
      <c r="B113" s="113"/>
      <c r="C113" s="113"/>
      <c r="D113" s="81" t="s">
        <v>476</v>
      </c>
      <c r="E113" s="102">
        <f>E121+E122+E127+E129+E131+E133+E136+E137+E138+E139+E140+E142+E144+E145+E126</f>
        <v>84964721</v>
      </c>
      <c r="F113" s="102">
        <f t="shared" ref="F113:P113" si="38">F121+F122+F127+F129+F131+F133+F136+F137+F138+F139+F140+F142+F144+F145+F126</f>
        <v>84964721</v>
      </c>
      <c r="G113" s="102">
        <f t="shared" si="38"/>
        <v>4343800</v>
      </c>
      <c r="H113" s="102">
        <f t="shared" si="38"/>
        <v>78600</v>
      </c>
      <c r="I113" s="102">
        <f t="shared" si="38"/>
        <v>0</v>
      </c>
      <c r="J113" s="102">
        <f t="shared" si="38"/>
        <v>113848090.53999999</v>
      </c>
      <c r="K113" s="102">
        <f>K121+K122+K127+K129+K131+K133+K136+K137+K138+K139+K140+K142+K144+K145+K126</f>
        <v>113848090.53999999</v>
      </c>
      <c r="L113" s="102">
        <f t="shared" si="38"/>
        <v>0</v>
      </c>
      <c r="M113" s="102">
        <f t="shared" si="38"/>
        <v>0</v>
      </c>
      <c r="N113" s="102">
        <f t="shared" si="38"/>
        <v>0</v>
      </c>
      <c r="O113" s="102">
        <f t="shared" si="38"/>
        <v>113848090.53999999</v>
      </c>
      <c r="P113" s="102">
        <f t="shared" si="38"/>
        <v>198812811.53999999</v>
      </c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  <c r="IS113" s="33"/>
      <c r="IT113" s="33"/>
      <c r="IU113" s="33"/>
      <c r="IV113" s="33"/>
      <c r="IW113" s="33"/>
      <c r="IX113" s="33"/>
      <c r="IY113" s="33"/>
      <c r="IZ113" s="33"/>
      <c r="JA113" s="33"/>
      <c r="JB113" s="33"/>
      <c r="JC113" s="33"/>
      <c r="JD113" s="33"/>
      <c r="JE113" s="33"/>
      <c r="JF113" s="33"/>
      <c r="JG113" s="33"/>
      <c r="JH113" s="33"/>
      <c r="JI113" s="33"/>
      <c r="JJ113" s="33"/>
      <c r="JK113" s="33"/>
      <c r="JL113" s="33"/>
      <c r="JM113" s="33"/>
      <c r="JN113" s="33"/>
      <c r="JO113" s="33"/>
      <c r="JP113" s="33"/>
      <c r="JQ113" s="33"/>
      <c r="JR113" s="33"/>
      <c r="JS113" s="33"/>
      <c r="JT113" s="33"/>
      <c r="JU113" s="33"/>
      <c r="JV113" s="33"/>
      <c r="JW113" s="33"/>
      <c r="JX113" s="33"/>
      <c r="JY113" s="33"/>
      <c r="JZ113" s="33"/>
      <c r="KA113" s="33"/>
      <c r="KB113" s="33"/>
      <c r="KC113" s="33"/>
      <c r="KD113" s="33"/>
      <c r="KE113" s="33"/>
      <c r="KF113" s="33"/>
      <c r="KG113" s="33"/>
      <c r="KH113" s="33"/>
      <c r="KI113" s="33"/>
      <c r="KJ113" s="33"/>
      <c r="KK113" s="33"/>
      <c r="KL113" s="33"/>
      <c r="KM113" s="33"/>
      <c r="KN113" s="33"/>
      <c r="KO113" s="33"/>
      <c r="KP113" s="33"/>
      <c r="KQ113" s="33"/>
      <c r="KR113" s="33"/>
      <c r="KS113" s="33"/>
      <c r="KT113" s="33"/>
      <c r="KU113" s="33"/>
      <c r="KV113" s="33"/>
      <c r="KW113" s="33"/>
      <c r="KX113" s="33"/>
      <c r="KY113" s="33"/>
      <c r="KZ113" s="33"/>
      <c r="LA113" s="33"/>
      <c r="LB113" s="33"/>
      <c r="LC113" s="33"/>
      <c r="LD113" s="33"/>
      <c r="LE113" s="33"/>
      <c r="LF113" s="33"/>
      <c r="LG113" s="33"/>
      <c r="LH113" s="33"/>
      <c r="LI113" s="33"/>
      <c r="LJ113" s="33"/>
      <c r="LK113" s="33"/>
      <c r="LL113" s="33"/>
      <c r="LM113" s="33"/>
      <c r="LN113" s="33"/>
      <c r="LO113" s="33"/>
      <c r="LP113" s="33"/>
      <c r="LQ113" s="33"/>
      <c r="LR113" s="33"/>
      <c r="LS113" s="33"/>
      <c r="LT113" s="33"/>
      <c r="LU113" s="33"/>
      <c r="LV113" s="33"/>
      <c r="LW113" s="33"/>
      <c r="LX113" s="33"/>
      <c r="LY113" s="33"/>
      <c r="LZ113" s="33"/>
      <c r="MA113" s="33"/>
      <c r="MB113" s="33"/>
      <c r="MC113" s="33"/>
      <c r="MD113" s="33"/>
      <c r="ME113" s="33"/>
      <c r="MF113" s="33"/>
      <c r="MG113" s="33"/>
      <c r="MH113" s="33"/>
      <c r="MI113" s="33"/>
      <c r="MJ113" s="33"/>
      <c r="MK113" s="33"/>
      <c r="ML113" s="33"/>
      <c r="MM113" s="33"/>
      <c r="MN113" s="33"/>
      <c r="MO113" s="33"/>
      <c r="MP113" s="33"/>
      <c r="MQ113" s="33"/>
      <c r="MR113" s="33"/>
      <c r="MS113" s="33"/>
      <c r="MT113" s="33"/>
      <c r="MU113" s="33"/>
      <c r="MV113" s="33"/>
      <c r="MW113" s="33"/>
      <c r="MX113" s="33"/>
      <c r="MY113" s="33"/>
      <c r="MZ113" s="33"/>
      <c r="NA113" s="33"/>
      <c r="NB113" s="33"/>
      <c r="NC113" s="33"/>
      <c r="ND113" s="33"/>
      <c r="NE113" s="33"/>
      <c r="NF113" s="33"/>
      <c r="NG113" s="33"/>
      <c r="NH113" s="33"/>
      <c r="NI113" s="33"/>
      <c r="NJ113" s="33"/>
      <c r="NK113" s="33"/>
      <c r="NL113" s="33"/>
      <c r="NM113" s="33"/>
      <c r="NN113" s="33"/>
      <c r="NO113" s="33"/>
      <c r="NP113" s="33"/>
      <c r="NQ113" s="33"/>
      <c r="NR113" s="33"/>
      <c r="NS113" s="33"/>
      <c r="NT113" s="33"/>
      <c r="NU113" s="33"/>
      <c r="NV113" s="33"/>
      <c r="NW113" s="33"/>
      <c r="NX113" s="33"/>
      <c r="NY113" s="33"/>
      <c r="NZ113" s="33"/>
      <c r="OA113" s="33"/>
      <c r="OB113" s="33"/>
      <c r="OC113" s="33"/>
      <c r="OD113" s="33"/>
      <c r="OE113" s="33"/>
      <c r="OF113" s="33"/>
      <c r="OG113" s="33"/>
      <c r="OH113" s="33"/>
      <c r="OI113" s="33"/>
      <c r="OJ113" s="33"/>
      <c r="OK113" s="33"/>
      <c r="OL113" s="33"/>
      <c r="OM113" s="33"/>
      <c r="ON113" s="33"/>
      <c r="OO113" s="33"/>
      <c r="OP113" s="33"/>
      <c r="OQ113" s="33"/>
      <c r="OR113" s="33"/>
      <c r="OS113" s="33"/>
      <c r="OT113" s="33"/>
      <c r="OU113" s="33"/>
      <c r="OV113" s="33"/>
      <c r="OW113" s="33"/>
      <c r="OX113" s="33"/>
      <c r="OY113" s="33"/>
      <c r="OZ113" s="33"/>
      <c r="PA113" s="33"/>
      <c r="PB113" s="33"/>
      <c r="PC113" s="33"/>
      <c r="PD113" s="33"/>
      <c r="PE113" s="33"/>
      <c r="PF113" s="33"/>
      <c r="PG113" s="33"/>
      <c r="PH113" s="33"/>
      <c r="PI113" s="33"/>
      <c r="PJ113" s="33"/>
      <c r="PK113" s="33"/>
      <c r="PL113" s="33"/>
      <c r="PM113" s="33"/>
      <c r="PN113" s="33"/>
      <c r="PO113" s="33"/>
      <c r="PP113" s="33"/>
      <c r="PQ113" s="33"/>
      <c r="PR113" s="33"/>
      <c r="PS113" s="33"/>
      <c r="PT113" s="33"/>
      <c r="PU113" s="33"/>
      <c r="PV113" s="33"/>
      <c r="PW113" s="33"/>
      <c r="PX113" s="33"/>
      <c r="PY113" s="33"/>
      <c r="PZ113" s="33"/>
      <c r="QA113" s="33"/>
      <c r="QB113" s="33"/>
      <c r="QC113" s="33"/>
      <c r="QD113" s="33"/>
      <c r="QE113" s="33"/>
      <c r="QF113" s="33"/>
      <c r="QG113" s="33"/>
      <c r="QH113" s="33"/>
      <c r="QI113" s="33"/>
      <c r="QJ113" s="33"/>
      <c r="QK113" s="33"/>
      <c r="QL113" s="33"/>
      <c r="QM113" s="33"/>
      <c r="QN113" s="33"/>
      <c r="QO113" s="33"/>
      <c r="QP113" s="33"/>
      <c r="QQ113" s="33"/>
      <c r="QR113" s="33"/>
      <c r="QS113" s="33"/>
      <c r="QT113" s="33"/>
      <c r="QU113" s="33"/>
      <c r="QV113" s="33"/>
      <c r="QW113" s="33"/>
      <c r="QX113" s="33"/>
      <c r="QY113" s="33"/>
      <c r="QZ113" s="33"/>
      <c r="RA113" s="33"/>
      <c r="RB113" s="33"/>
      <c r="RC113" s="33"/>
      <c r="RD113" s="33"/>
      <c r="RE113" s="33"/>
      <c r="RF113" s="33"/>
      <c r="RG113" s="33"/>
      <c r="RH113" s="33"/>
      <c r="RI113" s="33"/>
      <c r="RJ113" s="33"/>
      <c r="RK113" s="33"/>
      <c r="RL113" s="33"/>
      <c r="RM113" s="33"/>
      <c r="RN113" s="33"/>
      <c r="RO113" s="33"/>
      <c r="RP113" s="33"/>
      <c r="RQ113" s="33"/>
      <c r="RR113" s="33"/>
      <c r="RS113" s="33"/>
      <c r="RT113" s="33"/>
      <c r="RU113" s="33"/>
      <c r="RV113" s="33"/>
      <c r="RW113" s="33"/>
      <c r="RX113" s="33"/>
      <c r="RY113" s="33"/>
      <c r="RZ113" s="33"/>
      <c r="SA113" s="33"/>
      <c r="SB113" s="33"/>
      <c r="SC113" s="33"/>
      <c r="SD113" s="33"/>
      <c r="SE113" s="33"/>
      <c r="SF113" s="33"/>
      <c r="SG113" s="33"/>
      <c r="SH113" s="33"/>
      <c r="SI113" s="33"/>
      <c r="SJ113" s="33"/>
      <c r="SK113" s="33"/>
      <c r="SL113" s="33"/>
      <c r="SM113" s="33"/>
      <c r="SN113" s="33"/>
      <c r="SO113" s="33"/>
      <c r="SP113" s="33"/>
      <c r="SQ113" s="33"/>
      <c r="SR113" s="33"/>
      <c r="SS113" s="33"/>
      <c r="ST113" s="33"/>
      <c r="SU113" s="33"/>
      <c r="SV113" s="33"/>
      <c r="SW113" s="33"/>
      <c r="SX113" s="33"/>
      <c r="SY113" s="33"/>
      <c r="SZ113" s="33"/>
      <c r="TA113" s="33"/>
      <c r="TB113" s="33"/>
      <c r="TC113" s="33"/>
      <c r="TD113" s="33"/>
      <c r="TE113" s="33"/>
      <c r="TF113" s="33"/>
      <c r="TG113" s="33"/>
    </row>
    <row r="114" spans="1:527" s="34" customFormat="1" ht="31.5" hidden="1" customHeight="1" x14ac:dyDescent="0.25">
      <c r="A114" s="100"/>
      <c r="B114" s="113"/>
      <c r="C114" s="113"/>
      <c r="D114" s="81" t="s">
        <v>392</v>
      </c>
      <c r="E114" s="102">
        <f>E123+E128+E130</f>
        <v>0</v>
      </c>
      <c r="F114" s="102">
        <f t="shared" ref="F114:P114" si="39">F123+F128+F130</f>
        <v>0</v>
      </c>
      <c r="G114" s="102">
        <f t="shared" si="39"/>
        <v>0</v>
      </c>
      <c r="H114" s="102">
        <f t="shared" si="39"/>
        <v>0</v>
      </c>
      <c r="I114" s="102">
        <f t="shared" si="39"/>
        <v>0</v>
      </c>
      <c r="J114" s="102">
        <f t="shared" si="39"/>
        <v>0</v>
      </c>
      <c r="K114" s="102">
        <f t="shared" si="39"/>
        <v>0</v>
      </c>
      <c r="L114" s="102">
        <f t="shared" si="39"/>
        <v>0</v>
      </c>
      <c r="M114" s="102">
        <f t="shared" si="39"/>
        <v>0</v>
      </c>
      <c r="N114" s="102">
        <f t="shared" si="39"/>
        <v>0</v>
      </c>
      <c r="O114" s="102">
        <f t="shared" si="39"/>
        <v>0</v>
      </c>
      <c r="P114" s="102">
        <f t="shared" si="39"/>
        <v>0</v>
      </c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  <c r="IW114" s="33"/>
      <c r="IX114" s="33"/>
      <c r="IY114" s="33"/>
      <c r="IZ114" s="33"/>
      <c r="JA114" s="33"/>
      <c r="JB114" s="33"/>
      <c r="JC114" s="33"/>
      <c r="JD114" s="33"/>
      <c r="JE114" s="33"/>
      <c r="JF114" s="33"/>
      <c r="JG114" s="33"/>
      <c r="JH114" s="33"/>
      <c r="JI114" s="33"/>
      <c r="JJ114" s="33"/>
      <c r="JK114" s="33"/>
      <c r="JL114" s="33"/>
      <c r="JM114" s="33"/>
      <c r="JN114" s="33"/>
      <c r="JO114" s="33"/>
      <c r="JP114" s="33"/>
      <c r="JQ114" s="33"/>
      <c r="JR114" s="33"/>
      <c r="JS114" s="33"/>
      <c r="JT114" s="33"/>
      <c r="JU114" s="33"/>
      <c r="JV114" s="33"/>
      <c r="JW114" s="33"/>
      <c r="JX114" s="33"/>
      <c r="JY114" s="33"/>
      <c r="JZ114" s="33"/>
      <c r="KA114" s="33"/>
      <c r="KB114" s="33"/>
      <c r="KC114" s="33"/>
      <c r="KD114" s="33"/>
      <c r="KE114" s="33"/>
      <c r="KF114" s="33"/>
      <c r="KG114" s="33"/>
      <c r="KH114" s="33"/>
      <c r="KI114" s="33"/>
      <c r="KJ114" s="33"/>
      <c r="KK114" s="33"/>
      <c r="KL114" s="33"/>
      <c r="KM114" s="33"/>
      <c r="KN114" s="33"/>
      <c r="KO114" s="33"/>
      <c r="KP114" s="33"/>
      <c r="KQ114" s="33"/>
      <c r="KR114" s="33"/>
      <c r="KS114" s="33"/>
      <c r="KT114" s="33"/>
      <c r="KU114" s="33"/>
      <c r="KV114" s="33"/>
      <c r="KW114" s="33"/>
      <c r="KX114" s="33"/>
      <c r="KY114" s="33"/>
      <c r="KZ114" s="33"/>
      <c r="LA114" s="33"/>
      <c r="LB114" s="33"/>
      <c r="LC114" s="33"/>
      <c r="LD114" s="33"/>
      <c r="LE114" s="33"/>
      <c r="LF114" s="33"/>
      <c r="LG114" s="33"/>
      <c r="LH114" s="33"/>
      <c r="LI114" s="33"/>
      <c r="LJ114" s="33"/>
      <c r="LK114" s="33"/>
      <c r="LL114" s="33"/>
      <c r="LM114" s="33"/>
      <c r="LN114" s="33"/>
      <c r="LO114" s="33"/>
      <c r="LP114" s="33"/>
      <c r="LQ114" s="33"/>
      <c r="LR114" s="33"/>
      <c r="LS114" s="33"/>
      <c r="LT114" s="33"/>
      <c r="LU114" s="33"/>
      <c r="LV114" s="33"/>
      <c r="LW114" s="33"/>
      <c r="LX114" s="33"/>
      <c r="LY114" s="33"/>
      <c r="LZ114" s="33"/>
      <c r="MA114" s="33"/>
      <c r="MB114" s="33"/>
      <c r="MC114" s="33"/>
      <c r="MD114" s="33"/>
      <c r="ME114" s="33"/>
      <c r="MF114" s="33"/>
      <c r="MG114" s="33"/>
      <c r="MH114" s="33"/>
      <c r="MI114" s="33"/>
      <c r="MJ114" s="33"/>
      <c r="MK114" s="33"/>
      <c r="ML114" s="33"/>
      <c r="MM114" s="33"/>
      <c r="MN114" s="33"/>
      <c r="MO114" s="33"/>
      <c r="MP114" s="33"/>
      <c r="MQ114" s="33"/>
      <c r="MR114" s="33"/>
      <c r="MS114" s="33"/>
      <c r="MT114" s="33"/>
      <c r="MU114" s="33"/>
      <c r="MV114" s="33"/>
      <c r="MW114" s="33"/>
      <c r="MX114" s="33"/>
      <c r="MY114" s="33"/>
      <c r="MZ114" s="33"/>
      <c r="NA114" s="33"/>
      <c r="NB114" s="33"/>
      <c r="NC114" s="33"/>
      <c r="ND114" s="33"/>
      <c r="NE114" s="33"/>
      <c r="NF114" s="33"/>
      <c r="NG114" s="33"/>
      <c r="NH114" s="33"/>
      <c r="NI114" s="33"/>
      <c r="NJ114" s="33"/>
      <c r="NK114" s="33"/>
      <c r="NL114" s="33"/>
      <c r="NM114" s="33"/>
      <c r="NN114" s="33"/>
      <c r="NO114" s="33"/>
      <c r="NP114" s="33"/>
      <c r="NQ114" s="33"/>
      <c r="NR114" s="33"/>
      <c r="NS114" s="33"/>
      <c r="NT114" s="33"/>
      <c r="NU114" s="33"/>
      <c r="NV114" s="33"/>
      <c r="NW114" s="33"/>
      <c r="NX114" s="33"/>
      <c r="NY114" s="33"/>
      <c r="NZ114" s="33"/>
      <c r="OA114" s="33"/>
      <c r="OB114" s="33"/>
      <c r="OC114" s="33"/>
      <c r="OD114" s="33"/>
      <c r="OE114" s="33"/>
      <c r="OF114" s="33"/>
      <c r="OG114" s="33"/>
      <c r="OH114" s="33"/>
      <c r="OI114" s="33"/>
      <c r="OJ114" s="33"/>
      <c r="OK114" s="33"/>
      <c r="OL114" s="33"/>
      <c r="OM114" s="33"/>
      <c r="ON114" s="33"/>
      <c r="OO114" s="33"/>
      <c r="OP114" s="33"/>
      <c r="OQ114" s="33"/>
      <c r="OR114" s="33"/>
      <c r="OS114" s="33"/>
      <c r="OT114" s="33"/>
      <c r="OU114" s="33"/>
      <c r="OV114" s="33"/>
      <c r="OW114" s="33"/>
      <c r="OX114" s="33"/>
      <c r="OY114" s="33"/>
      <c r="OZ114" s="33"/>
      <c r="PA114" s="33"/>
      <c r="PB114" s="33"/>
      <c r="PC114" s="33"/>
      <c r="PD114" s="33"/>
      <c r="PE114" s="33"/>
      <c r="PF114" s="33"/>
      <c r="PG114" s="33"/>
      <c r="PH114" s="33"/>
      <c r="PI114" s="33"/>
      <c r="PJ114" s="33"/>
      <c r="PK114" s="33"/>
      <c r="PL114" s="33"/>
      <c r="PM114" s="33"/>
      <c r="PN114" s="33"/>
      <c r="PO114" s="33"/>
      <c r="PP114" s="33"/>
      <c r="PQ114" s="33"/>
      <c r="PR114" s="33"/>
      <c r="PS114" s="33"/>
      <c r="PT114" s="33"/>
      <c r="PU114" s="33"/>
      <c r="PV114" s="33"/>
      <c r="PW114" s="33"/>
      <c r="PX114" s="33"/>
      <c r="PY114" s="33"/>
      <c r="PZ114" s="33"/>
      <c r="QA114" s="33"/>
      <c r="QB114" s="33"/>
      <c r="QC114" s="33"/>
      <c r="QD114" s="33"/>
      <c r="QE114" s="33"/>
      <c r="QF114" s="33"/>
      <c r="QG114" s="33"/>
      <c r="QH114" s="33"/>
      <c r="QI114" s="33"/>
      <c r="QJ114" s="33"/>
      <c r="QK114" s="33"/>
      <c r="QL114" s="33"/>
      <c r="QM114" s="33"/>
      <c r="QN114" s="33"/>
      <c r="QO114" s="33"/>
      <c r="QP114" s="33"/>
      <c r="QQ114" s="33"/>
      <c r="QR114" s="33"/>
      <c r="QS114" s="33"/>
      <c r="QT114" s="33"/>
      <c r="QU114" s="33"/>
      <c r="QV114" s="33"/>
      <c r="QW114" s="33"/>
      <c r="QX114" s="33"/>
      <c r="QY114" s="33"/>
      <c r="QZ114" s="33"/>
      <c r="RA114" s="33"/>
      <c r="RB114" s="33"/>
      <c r="RC114" s="33"/>
      <c r="RD114" s="33"/>
      <c r="RE114" s="33"/>
      <c r="RF114" s="33"/>
      <c r="RG114" s="33"/>
      <c r="RH114" s="33"/>
      <c r="RI114" s="33"/>
      <c r="RJ114" s="33"/>
      <c r="RK114" s="33"/>
      <c r="RL114" s="33"/>
      <c r="RM114" s="33"/>
      <c r="RN114" s="33"/>
      <c r="RO114" s="33"/>
      <c r="RP114" s="33"/>
      <c r="RQ114" s="33"/>
      <c r="RR114" s="33"/>
      <c r="RS114" s="33"/>
      <c r="RT114" s="33"/>
      <c r="RU114" s="33"/>
      <c r="RV114" s="33"/>
      <c r="RW114" s="33"/>
      <c r="RX114" s="33"/>
      <c r="RY114" s="33"/>
      <c r="RZ114" s="33"/>
      <c r="SA114" s="33"/>
      <c r="SB114" s="33"/>
      <c r="SC114" s="33"/>
      <c r="SD114" s="33"/>
      <c r="SE114" s="33"/>
      <c r="SF114" s="33"/>
      <c r="SG114" s="33"/>
      <c r="SH114" s="33"/>
      <c r="SI114" s="33"/>
      <c r="SJ114" s="33"/>
      <c r="SK114" s="33"/>
      <c r="SL114" s="33"/>
      <c r="SM114" s="33"/>
      <c r="SN114" s="33"/>
      <c r="SO114" s="33"/>
      <c r="SP114" s="33"/>
      <c r="SQ114" s="33"/>
      <c r="SR114" s="33"/>
      <c r="SS114" s="33"/>
      <c r="ST114" s="33"/>
      <c r="SU114" s="33"/>
      <c r="SV114" s="33"/>
      <c r="SW114" s="33"/>
      <c r="SX114" s="33"/>
      <c r="SY114" s="33"/>
      <c r="SZ114" s="33"/>
      <c r="TA114" s="33"/>
      <c r="TB114" s="33"/>
      <c r="TC114" s="33"/>
      <c r="TD114" s="33"/>
      <c r="TE114" s="33"/>
      <c r="TF114" s="33"/>
      <c r="TG114" s="33"/>
    </row>
    <row r="115" spans="1:527" s="34" customFormat="1" ht="63" hidden="1" customHeight="1" x14ac:dyDescent="0.25">
      <c r="A115" s="100"/>
      <c r="B115" s="113"/>
      <c r="C115" s="113"/>
      <c r="D115" s="81" t="s">
        <v>390</v>
      </c>
      <c r="E115" s="102">
        <f>E141</f>
        <v>0</v>
      </c>
      <c r="F115" s="102">
        <f>F141</f>
        <v>0</v>
      </c>
      <c r="G115" s="102">
        <f t="shared" ref="G115:I115" si="40">G141</f>
        <v>0</v>
      </c>
      <c r="H115" s="102">
        <f t="shared" si="40"/>
        <v>0</v>
      </c>
      <c r="I115" s="102">
        <f t="shared" si="40"/>
        <v>0</v>
      </c>
      <c r="J115" s="102">
        <f>J141</f>
        <v>156000</v>
      </c>
      <c r="K115" s="102">
        <f t="shared" ref="K115:P115" si="41">K141</f>
        <v>156000</v>
      </c>
      <c r="L115" s="102">
        <f t="shared" si="41"/>
        <v>0</v>
      </c>
      <c r="M115" s="102">
        <f t="shared" si="41"/>
        <v>0</v>
      </c>
      <c r="N115" s="102">
        <f t="shared" si="41"/>
        <v>0</v>
      </c>
      <c r="O115" s="102">
        <f t="shared" si="41"/>
        <v>156000</v>
      </c>
      <c r="P115" s="102">
        <f t="shared" si="41"/>
        <v>156000</v>
      </c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  <c r="IW115" s="33"/>
      <c r="IX115" s="33"/>
      <c r="IY115" s="33"/>
      <c r="IZ115" s="33"/>
      <c r="JA115" s="33"/>
      <c r="JB115" s="33"/>
      <c r="JC115" s="33"/>
      <c r="JD115" s="33"/>
      <c r="JE115" s="33"/>
      <c r="JF115" s="33"/>
      <c r="JG115" s="33"/>
      <c r="JH115" s="33"/>
      <c r="JI115" s="33"/>
      <c r="JJ115" s="33"/>
      <c r="JK115" s="33"/>
      <c r="JL115" s="33"/>
      <c r="JM115" s="33"/>
      <c r="JN115" s="33"/>
      <c r="JO115" s="33"/>
      <c r="JP115" s="33"/>
      <c r="JQ115" s="33"/>
      <c r="JR115" s="33"/>
      <c r="JS115" s="33"/>
      <c r="JT115" s="33"/>
      <c r="JU115" s="33"/>
      <c r="JV115" s="33"/>
      <c r="JW115" s="33"/>
      <c r="JX115" s="33"/>
      <c r="JY115" s="33"/>
      <c r="JZ115" s="33"/>
      <c r="KA115" s="33"/>
      <c r="KB115" s="33"/>
      <c r="KC115" s="33"/>
      <c r="KD115" s="33"/>
      <c r="KE115" s="33"/>
      <c r="KF115" s="33"/>
      <c r="KG115" s="33"/>
      <c r="KH115" s="33"/>
      <c r="KI115" s="33"/>
      <c r="KJ115" s="33"/>
      <c r="KK115" s="33"/>
      <c r="KL115" s="33"/>
      <c r="KM115" s="33"/>
      <c r="KN115" s="33"/>
      <c r="KO115" s="33"/>
      <c r="KP115" s="33"/>
      <c r="KQ115" s="33"/>
      <c r="KR115" s="33"/>
      <c r="KS115" s="33"/>
      <c r="KT115" s="33"/>
      <c r="KU115" s="33"/>
      <c r="KV115" s="33"/>
      <c r="KW115" s="33"/>
      <c r="KX115" s="33"/>
      <c r="KY115" s="33"/>
      <c r="KZ115" s="33"/>
      <c r="LA115" s="33"/>
      <c r="LB115" s="33"/>
      <c r="LC115" s="33"/>
      <c r="LD115" s="33"/>
      <c r="LE115" s="33"/>
      <c r="LF115" s="33"/>
      <c r="LG115" s="33"/>
      <c r="LH115" s="33"/>
      <c r="LI115" s="33"/>
      <c r="LJ115" s="33"/>
      <c r="LK115" s="33"/>
      <c r="LL115" s="33"/>
      <c r="LM115" s="33"/>
      <c r="LN115" s="33"/>
      <c r="LO115" s="33"/>
      <c r="LP115" s="33"/>
      <c r="LQ115" s="33"/>
      <c r="LR115" s="33"/>
      <c r="LS115" s="33"/>
      <c r="LT115" s="33"/>
      <c r="LU115" s="33"/>
      <c r="LV115" s="33"/>
      <c r="LW115" s="33"/>
      <c r="LX115" s="33"/>
      <c r="LY115" s="33"/>
      <c r="LZ115" s="33"/>
      <c r="MA115" s="33"/>
      <c r="MB115" s="33"/>
      <c r="MC115" s="33"/>
      <c r="MD115" s="33"/>
      <c r="ME115" s="33"/>
      <c r="MF115" s="33"/>
      <c r="MG115" s="33"/>
      <c r="MH115" s="33"/>
      <c r="MI115" s="33"/>
      <c r="MJ115" s="33"/>
      <c r="MK115" s="33"/>
      <c r="ML115" s="33"/>
      <c r="MM115" s="33"/>
      <c r="MN115" s="33"/>
      <c r="MO115" s="33"/>
      <c r="MP115" s="33"/>
      <c r="MQ115" s="33"/>
      <c r="MR115" s="33"/>
      <c r="MS115" s="33"/>
      <c r="MT115" s="33"/>
      <c r="MU115" s="33"/>
      <c r="MV115" s="33"/>
      <c r="MW115" s="33"/>
      <c r="MX115" s="33"/>
      <c r="MY115" s="33"/>
      <c r="MZ115" s="33"/>
      <c r="NA115" s="33"/>
      <c r="NB115" s="33"/>
      <c r="NC115" s="33"/>
      <c r="ND115" s="33"/>
      <c r="NE115" s="33"/>
      <c r="NF115" s="33"/>
      <c r="NG115" s="33"/>
      <c r="NH115" s="33"/>
      <c r="NI115" s="33"/>
      <c r="NJ115" s="33"/>
      <c r="NK115" s="33"/>
      <c r="NL115" s="33"/>
      <c r="NM115" s="33"/>
      <c r="NN115" s="33"/>
      <c r="NO115" s="33"/>
      <c r="NP115" s="33"/>
      <c r="NQ115" s="33"/>
      <c r="NR115" s="33"/>
      <c r="NS115" s="33"/>
      <c r="NT115" s="33"/>
      <c r="NU115" s="33"/>
      <c r="NV115" s="33"/>
      <c r="NW115" s="33"/>
      <c r="NX115" s="33"/>
      <c r="NY115" s="33"/>
      <c r="NZ115" s="33"/>
      <c r="OA115" s="33"/>
      <c r="OB115" s="33"/>
      <c r="OC115" s="33"/>
      <c r="OD115" s="33"/>
      <c r="OE115" s="33"/>
      <c r="OF115" s="33"/>
      <c r="OG115" s="33"/>
      <c r="OH115" s="33"/>
      <c r="OI115" s="33"/>
      <c r="OJ115" s="33"/>
      <c r="OK115" s="33"/>
      <c r="OL115" s="33"/>
      <c r="OM115" s="33"/>
      <c r="ON115" s="33"/>
      <c r="OO115" s="33"/>
      <c r="OP115" s="33"/>
      <c r="OQ115" s="33"/>
      <c r="OR115" s="33"/>
      <c r="OS115" s="33"/>
      <c r="OT115" s="33"/>
      <c r="OU115" s="33"/>
      <c r="OV115" s="33"/>
      <c r="OW115" s="33"/>
      <c r="OX115" s="33"/>
      <c r="OY115" s="33"/>
      <c r="OZ115" s="33"/>
      <c r="PA115" s="33"/>
      <c r="PB115" s="33"/>
      <c r="PC115" s="33"/>
      <c r="PD115" s="33"/>
      <c r="PE115" s="33"/>
      <c r="PF115" s="33"/>
      <c r="PG115" s="33"/>
      <c r="PH115" s="33"/>
      <c r="PI115" s="33"/>
      <c r="PJ115" s="33"/>
      <c r="PK115" s="33"/>
      <c r="PL115" s="33"/>
      <c r="PM115" s="33"/>
      <c r="PN115" s="33"/>
      <c r="PO115" s="33"/>
      <c r="PP115" s="33"/>
      <c r="PQ115" s="33"/>
      <c r="PR115" s="33"/>
      <c r="PS115" s="33"/>
      <c r="PT115" s="33"/>
      <c r="PU115" s="33"/>
      <c r="PV115" s="33"/>
      <c r="PW115" s="33"/>
      <c r="PX115" s="33"/>
      <c r="PY115" s="33"/>
      <c r="PZ115" s="33"/>
      <c r="QA115" s="33"/>
      <c r="QB115" s="33"/>
      <c r="QC115" s="33"/>
      <c r="QD115" s="33"/>
      <c r="QE115" s="33"/>
      <c r="QF115" s="33"/>
      <c r="QG115" s="33"/>
      <c r="QH115" s="33"/>
      <c r="QI115" s="33"/>
      <c r="QJ115" s="33"/>
      <c r="QK115" s="33"/>
      <c r="QL115" s="33"/>
      <c r="QM115" s="33"/>
      <c r="QN115" s="33"/>
      <c r="QO115" s="33"/>
      <c r="QP115" s="33"/>
      <c r="QQ115" s="33"/>
      <c r="QR115" s="33"/>
      <c r="QS115" s="33"/>
      <c r="QT115" s="33"/>
      <c r="QU115" s="33"/>
      <c r="QV115" s="33"/>
      <c r="QW115" s="33"/>
      <c r="QX115" s="33"/>
      <c r="QY115" s="33"/>
      <c r="QZ115" s="33"/>
      <c r="RA115" s="33"/>
      <c r="RB115" s="33"/>
      <c r="RC115" s="33"/>
      <c r="RD115" s="33"/>
      <c r="RE115" s="33"/>
      <c r="RF115" s="33"/>
      <c r="RG115" s="33"/>
      <c r="RH115" s="33"/>
      <c r="RI115" s="33"/>
      <c r="RJ115" s="33"/>
      <c r="RK115" s="33"/>
      <c r="RL115" s="33"/>
      <c r="RM115" s="33"/>
      <c r="RN115" s="33"/>
      <c r="RO115" s="33"/>
      <c r="RP115" s="33"/>
      <c r="RQ115" s="33"/>
      <c r="RR115" s="33"/>
      <c r="RS115" s="33"/>
      <c r="RT115" s="33"/>
      <c r="RU115" s="33"/>
      <c r="RV115" s="33"/>
      <c r="RW115" s="33"/>
      <c r="RX115" s="33"/>
      <c r="RY115" s="33"/>
      <c r="RZ115" s="33"/>
      <c r="SA115" s="33"/>
      <c r="SB115" s="33"/>
      <c r="SC115" s="33"/>
      <c r="SD115" s="33"/>
      <c r="SE115" s="33"/>
      <c r="SF115" s="33"/>
      <c r="SG115" s="33"/>
      <c r="SH115" s="33"/>
      <c r="SI115" s="33"/>
      <c r="SJ115" s="33"/>
      <c r="SK115" s="33"/>
      <c r="SL115" s="33"/>
      <c r="SM115" s="33"/>
      <c r="SN115" s="33"/>
      <c r="SO115" s="33"/>
      <c r="SP115" s="33"/>
      <c r="SQ115" s="33"/>
      <c r="SR115" s="33"/>
      <c r="SS115" s="33"/>
      <c r="ST115" s="33"/>
      <c r="SU115" s="33"/>
      <c r="SV115" s="33"/>
      <c r="SW115" s="33"/>
      <c r="SX115" s="33"/>
      <c r="SY115" s="33"/>
      <c r="SZ115" s="33"/>
      <c r="TA115" s="33"/>
      <c r="TB115" s="33"/>
      <c r="TC115" s="33"/>
      <c r="TD115" s="33"/>
      <c r="TE115" s="33"/>
      <c r="TF115" s="33"/>
      <c r="TG115" s="33"/>
    </row>
    <row r="116" spans="1:527" s="34" customFormat="1" ht="47.25" hidden="1" customHeight="1" x14ac:dyDescent="0.25">
      <c r="A116" s="100"/>
      <c r="B116" s="113"/>
      <c r="C116" s="113"/>
      <c r="D116" s="81" t="s">
        <v>393</v>
      </c>
      <c r="E116" s="102">
        <f>E124+E134</f>
        <v>0</v>
      </c>
      <c r="F116" s="102">
        <f t="shared" ref="F116:P116" si="42">F124+F134</f>
        <v>0</v>
      </c>
      <c r="G116" s="102">
        <f t="shared" si="42"/>
        <v>0</v>
      </c>
      <c r="H116" s="102">
        <f t="shared" si="42"/>
        <v>0</v>
      </c>
      <c r="I116" s="102">
        <f t="shared" si="42"/>
        <v>0</v>
      </c>
      <c r="J116" s="102">
        <f t="shared" si="42"/>
        <v>0</v>
      </c>
      <c r="K116" s="102">
        <f t="shared" si="42"/>
        <v>0</v>
      </c>
      <c r="L116" s="102">
        <f t="shared" si="42"/>
        <v>0</v>
      </c>
      <c r="M116" s="102">
        <f t="shared" si="42"/>
        <v>0</v>
      </c>
      <c r="N116" s="102">
        <f t="shared" si="42"/>
        <v>0</v>
      </c>
      <c r="O116" s="102">
        <f t="shared" si="42"/>
        <v>0</v>
      </c>
      <c r="P116" s="102">
        <f t="shared" si="42"/>
        <v>0</v>
      </c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  <c r="IW116" s="33"/>
      <c r="IX116" s="33"/>
      <c r="IY116" s="33"/>
      <c r="IZ116" s="33"/>
      <c r="JA116" s="33"/>
      <c r="JB116" s="33"/>
      <c r="JC116" s="33"/>
      <c r="JD116" s="33"/>
      <c r="JE116" s="33"/>
      <c r="JF116" s="33"/>
      <c r="JG116" s="33"/>
      <c r="JH116" s="33"/>
      <c r="JI116" s="33"/>
      <c r="JJ116" s="33"/>
      <c r="JK116" s="33"/>
      <c r="JL116" s="33"/>
      <c r="JM116" s="33"/>
      <c r="JN116" s="33"/>
      <c r="JO116" s="33"/>
      <c r="JP116" s="33"/>
      <c r="JQ116" s="33"/>
      <c r="JR116" s="33"/>
      <c r="JS116" s="33"/>
      <c r="JT116" s="33"/>
      <c r="JU116" s="33"/>
      <c r="JV116" s="33"/>
      <c r="JW116" s="33"/>
      <c r="JX116" s="33"/>
      <c r="JY116" s="33"/>
      <c r="JZ116" s="33"/>
      <c r="KA116" s="33"/>
      <c r="KB116" s="33"/>
      <c r="KC116" s="33"/>
      <c r="KD116" s="33"/>
      <c r="KE116" s="33"/>
      <c r="KF116" s="33"/>
      <c r="KG116" s="33"/>
      <c r="KH116" s="33"/>
      <c r="KI116" s="33"/>
      <c r="KJ116" s="33"/>
      <c r="KK116" s="33"/>
      <c r="KL116" s="33"/>
      <c r="KM116" s="33"/>
      <c r="KN116" s="33"/>
      <c r="KO116" s="33"/>
      <c r="KP116" s="33"/>
      <c r="KQ116" s="33"/>
      <c r="KR116" s="33"/>
      <c r="KS116" s="33"/>
      <c r="KT116" s="33"/>
      <c r="KU116" s="33"/>
      <c r="KV116" s="33"/>
      <c r="KW116" s="33"/>
      <c r="KX116" s="33"/>
      <c r="KY116" s="33"/>
      <c r="KZ116" s="33"/>
      <c r="LA116" s="33"/>
      <c r="LB116" s="33"/>
      <c r="LC116" s="33"/>
      <c r="LD116" s="33"/>
      <c r="LE116" s="33"/>
      <c r="LF116" s="33"/>
      <c r="LG116" s="33"/>
      <c r="LH116" s="33"/>
      <c r="LI116" s="33"/>
      <c r="LJ116" s="33"/>
      <c r="LK116" s="33"/>
      <c r="LL116" s="33"/>
      <c r="LM116" s="33"/>
      <c r="LN116" s="33"/>
      <c r="LO116" s="33"/>
      <c r="LP116" s="33"/>
      <c r="LQ116" s="33"/>
      <c r="LR116" s="33"/>
      <c r="LS116" s="33"/>
      <c r="LT116" s="33"/>
      <c r="LU116" s="33"/>
      <c r="LV116" s="33"/>
      <c r="LW116" s="33"/>
      <c r="LX116" s="33"/>
      <c r="LY116" s="33"/>
      <c r="LZ116" s="33"/>
      <c r="MA116" s="33"/>
      <c r="MB116" s="33"/>
      <c r="MC116" s="33"/>
      <c r="MD116" s="33"/>
      <c r="ME116" s="33"/>
      <c r="MF116" s="33"/>
      <c r="MG116" s="33"/>
      <c r="MH116" s="33"/>
      <c r="MI116" s="33"/>
      <c r="MJ116" s="33"/>
      <c r="MK116" s="33"/>
      <c r="ML116" s="33"/>
      <c r="MM116" s="33"/>
      <c r="MN116" s="33"/>
      <c r="MO116" s="33"/>
      <c r="MP116" s="33"/>
      <c r="MQ116" s="33"/>
      <c r="MR116" s="33"/>
      <c r="MS116" s="33"/>
      <c r="MT116" s="33"/>
      <c r="MU116" s="33"/>
      <c r="MV116" s="33"/>
      <c r="MW116" s="33"/>
      <c r="MX116" s="33"/>
      <c r="MY116" s="33"/>
      <c r="MZ116" s="33"/>
      <c r="NA116" s="33"/>
      <c r="NB116" s="33"/>
      <c r="NC116" s="33"/>
      <c r="ND116" s="33"/>
      <c r="NE116" s="33"/>
      <c r="NF116" s="33"/>
      <c r="NG116" s="33"/>
      <c r="NH116" s="33"/>
      <c r="NI116" s="33"/>
      <c r="NJ116" s="33"/>
      <c r="NK116" s="33"/>
      <c r="NL116" s="33"/>
      <c r="NM116" s="33"/>
      <c r="NN116" s="33"/>
      <c r="NO116" s="33"/>
      <c r="NP116" s="33"/>
      <c r="NQ116" s="33"/>
      <c r="NR116" s="33"/>
      <c r="NS116" s="33"/>
      <c r="NT116" s="33"/>
      <c r="NU116" s="33"/>
      <c r="NV116" s="33"/>
      <c r="NW116" s="33"/>
      <c r="NX116" s="33"/>
      <c r="NY116" s="33"/>
      <c r="NZ116" s="33"/>
      <c r="OA116" s="33"/>
      <c r="OB116" s="33"/>
      <c r="OC116" s="33"/>
      <c r="OD116" s="33"/>
      <c r="OE116" s="33"/>
      <c r="OF116" s="33"/>
      <c r="OG116" s="33"/>
      <c r="OH116" s="33"/>
      <c r="OI116" s="33"/>
      <c r="OJ116" s="33"/>
      <c r="OK116" s="33"/>
      <c r="OL116" s="33"/>
      <c r="OM116" s="33"/>
      <c r="ON116" s="33"/>
      <c r="OO116" s="33"/>
      <c r="OP116" s="33"/>
      <c r="OQ116" s="33"/>
      <c r="OR116" s="33"/>
      <c r="OS116" s="33"/>
      <c r="OT116" s="33"/>
      <c r="OU116" s="33"/>
      <c r="OV116" s="33"/>
      <c r="OW116" s="33"/>
      <c r="OX116" s="33"/>
      <c r="OY116" s="33"/>
      <c r="OZ116" s="33"/>
      <c r="PA116" s="33"/>
      <c r="PB116" s="33"/>
      <c r="PC116" s="33"/>
      <c r="PD116" s="33"/>
      <c r="PE116" s="33"/>
      <c r="PF116" s="33"/>
      <c r="PG116" s="33"/>
      <c r="PH116" s="33"/>
      <c r="PI116" s="33"/>
      <c r="PJ116" s="33"/>
      <c r="PK116" s="33"/>
      <c r="PL116" s="33"/>
      <c r="PM116" s="33"/>
      <c r="PN116" s="33"/>
      <c r="PO116" s="33"/>
      <c r="PP116" s="33"/>
      <c r="PQ116" s="33"/>
      <c r="PR116" s="33"/>
      <c r="PS116" s="33"/>
      <c r="PT116" s="33"/>
      <c r="PU116" s="33"/>
      <c r="PV116" s="33"/>
      <c r="PW116" s="33"/>
      <c r="PX116" s="33"/>
      <c r="PY116" s="33"/>
      <c r="PZ116" s="33"/>
      <c r="QA116" s="33"/>
      <c r="QB116" s="33"/>
      <c r="QC116" s="33"/>
      <c r="QD116" s="33"/>
      <c r="QE116" s="33"/>
      <c r="QF116" s="33"/>
      <c r="QG116" s="33"/>
      <c r="QH116" s="33"/>
      <c r="QI116" s="33"/>
      <c r="QJ116" s="33"/>
      <c r="QK116" s="33"/>
      <c r="QL116" s="33"/>
      <c r="QM116" s="33"/>
      <c r="QN116" s="33"/>
      <c r="QO116" s="33"/>
      <c r="QP116" s="33"/>
      <c r="QQ116" s="33"/>
      <c r="QR116" s="33"/>
      <c r="QS116" s="33"/>
      <c r="QT116" s="33"/>
      <c r="QU116" s="33"/>
      <c r="QV116" s="33"/>
      <c r="QW116" s="33"/>
      <c r="QX116" s="33"/>
      <c r="QY116" s="33"/>
      <c r="QZ116" s="33"/>
      <c r="RA116" s="33"/>
      <c r="RB116" s="33"/>
      <c r="RC116" s="33"/>
      <c r="RD116" s="33"/>
      <c r="RE116" s="33"/>
      <c r="RF116" s="33"/>
      <c r="RG116" s="33"/>
      <c r="RH116" s="33"/>
      <c r="RI116" s="33"/>
      <c r="RJ116" s="33"/>
      <c r="RK116" s="33"/>
      <c r="RL116" s="33"/>
      <c r="RM116" s="33"/>
      <c r="RN116" s="33"/>
      <c r="RO116" s="33"/>
      <c r="RP116" s="33"/>
      <c r="RQ116" s="33"/>
      <c r="RR116" s="33"/>
      <c r="RS116" s="33"/>
      <c r="RT116" s="33"/>
      <c r="RU116" s="33"/>
      <c r="RV116" s="33"/>
      <c r="RW116" s="33"/>
      <c r="RX116" s="33"/>
      <c r="RY116" s="33"/>
      <c r="RZ116" s="33"/>
      <c r="SA116" s="33"/>
      <c r="SB116" s="33"/>
      <c r="SC116" s="33"/>
      <c r="SD116" s="33"/>
      <c r="SE116" s="33"/>
      <c r="SF116" s="33"/>
      <c r="SG116" s="33"/>
      <c r="SH116" s="33"/>
      <c r="SI116" s="33"/>
      <c r="SJ116" s="33"/>
      <c r="SK116" s="33"/>
      <c r="SL116" s="33"/>
      <c r="SM116" s="33"/>
      <c r="SN116" s="33"/>
      <c r="SO116" s="33"/>
      <c r="SP116" s="33"/>
      <c r="SQ116" s="33"/>
      <c r="SR116" s="33"/>
      <c r="SS116" s="33"/>
      <c r="ST116" s="33"/>
      <c r="SU116" s="33"/>
      <c r="SV116" s="33"/>
      <c r="SW116" s="33"/>
      <c r="SX116" s="33"/>
      <c r="SY116" s="33"/>
      <c r="SZ116" s="33"/>
      <c r="TA116" s="33"/>
      <c r="TB116" s="33"/>
      <c r="TC116" s="33"/>
      <c r="TD116" s="33"/>
      <c r="TE116" s="33"/>
      <c r="TF116" s="33"/>
      <c r="TG116" s="33"/>
    </row>
    <row r="117" spans="1:527" s="34" customFormat="1" ht="15.75" hidden="1" customHeight="1" x14ac:dyDescent="0.25">
      <c r="A117" s="100"/>
      <c r="B117" s="113"/>
      <c r="C117" s="113"/>
      <c r="D117" s="81" t="s">
        <v>395</v>
      </c>
      <c r="E117" s="102">
        <f>E125</f>
        <v>0</v>
      </c>
      <c r="F117" s="102">
        <f t="shared" ref="F117:P117" si="43">F125</f>
        <v>0</v>
      </c>
      <c r="G117" s="102">
        <f t="shared" si="43"/>
        <v>0</v>
      </c>
      <c r="H117" s="102">
        <f t="shared" si="43"/>
        <v>0</v>
      </c>
      <c r="I117" s="102">
        <f t="shared" si="43"/>
        <v>0</v>
      </c>
      <c r="J117" s="102">
        <f t="shared" si="43"/>
        <v>0</v>
      </c>
      <c r="K117" s="102">
        <f t="shared" si="43"/>
        <v>0</v>
      </c>
      <c r="L117" s="102">
        <f t="shared" si="43"/>
        <v>0</v>
      </c>
      <c r="M117" s="102">
        <f t="shared" si="43"/>
        <v>0</v>
      </c>
      <c r="N117" s="102">
        <f t="shared" si="43"/>
        <v>0</v>
      </c>
      <c r="O117" s="102">
        <f t="shared" si="43"/>
        <v>0</v>
      </c>
      <c r="P117" s="102">
        <f t="shared" si="43"/>
        <v>0</v>
      </c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  <c r="IW117" s="33"/>
      <c r="IX117" s="33"/>
      <c r="IY117" s="33"/>
      <c r="IZ117" s="33"/>
      <c r="JA117" s="33"/>
      <c r="JB117" s="33"/>
      <c r="JC117" s="33"/>
      <c r="JD117" s="33"/>
      <c r="JE117" s="33"/>
      <c r="JF117" s="33"/>
      <c r="JG117" s="33"/>
      <c r="JH117" s="33"/>
      <c r="JI117" s="33"/>
      <c r="JJ117" s="33"/>
      <c r="JK117" s="33"/>
      <c r="JL117" s="33"/>
      <c r="JM117" s="33"/>
      <c r="JN117" s="33"/>
      <c r="JO117" s="33"/>
      <c r="JP117" s="33"/>
      <c r="JQ117" s="33"/>
      <c r="JR117" s="33"/>
      <c r="JS117" s="33"/>
      <c r="JT117" s="33"/>
      <c r="JU117" s="33"/>
      <c r="JV117" s="33"/>
      <c r="JW117" s="33"/>
      <c r="JX117" s="33"/>
      <c r="JY117" s="33"/>
      <c r="JZ117" s="33"/>
      <c r="KA117" s="33"/>
      <c r="KB117" s="33"/>
      <c r="KC117" s="33"/>
      <c r="KD117" s="33"/>
      <c r="KE117" s="33"/>
      <c r="KF117" s="33"/>
      <c r="KG117" s="33"/>
      <c r="KH117" s="33"/>
      <c r="KI117" s="33"/>
      <c r="KJ117" s="33"/>
      <c r="KK117" s="33"/>
      <c r="KL117" s="33"/>
      <c r="KM117" s="33"/>
      <c r="KN117" s="33"/>
      <c r="KO117" s="33"/>
      <c r="KP117" s="33"/>
      <c r="KQ117" s="33"/>
      <c r="KR117" s="33"/>
      <c r="KS117" s="33"/>
      <c r="KT117" s="33"/>
      <c r="KU117" s="33"/>
      <c r="KV117" s="33"/>
      <c r="KW117" s="33"/>
      <c r="KX117" s="33"/>
      <c r="KY117" s="33"/>
      <c r="KZ117" s="33"/>
      <c r="LA117" s="33"/>
      <c r="LB117" s="33"/>
      <c r="LC117" s="33"/>
      <c r="LD117" s="33"/>
      <c r="LE117" s="33"/>
      <c r="LF117" s="33"/>
      <c r="LG117" s="33"/>
      <c r="LH117" s="33"/>
      <c r="LI117" s="33"/>
      <c r="LJ117" s="33"/>
      <c r="LK117" s="33"/>
      <c r="LL117" s="33"/>
      <c r="LM117" s="33"/>
      <c r="LN117" s="33"/>
      <c r="LO117" s="33"/>
      <c r="LP117" s="33"/>
      <c r="LQ117" s="33"/>
      <c r="LR117" s="33"/>
      <c r="LS117" s="33"/>
      <c r="LT117" s="33"/>
      <c r="LU117" s="33"/>
      <c r="LV117" s="33"/>
      <c r="LW117" s="33"/>
      <c r="LX117" s="33"/>
      <c r="LY117" s="33"/>
      <c r="LZ117" s="33"/>
      <c r="MA117" s="33"/>
      <c r="MB117" s="33"/>
      <c r="MC117" s="33"/>
      <c r="MD117" s="33"/>
      <c r="ME117" s="33"/>
      <c r="MF117" s="33"/>
      <c r="MG117" s="33"/>
      <c r="MH117" s="33"/>
      <c r="MI117" s="33"/>
      <c r="MJ117" s="33"/>
      <c r="MK117" s="33"/>
      <c r="ML117" s="33"/>
      <c r="MM117" s="33"/>
      <c r="MN117" s="33"/>
      <c r="MO117" s="33"/>
      <c r="MP117" s="33"/>
      <c r="MQ117" s="33"/>
      <c r="MR117" s="33"/>
      <c r="MS117" s="33"/>
      <c r="MT117" s="33"/>
      <c r="MU117" s="33"/>
      <c r="MV117" s="33"/>
      <c r="MW117" s="33"/>
      <c r="MX117" s="33"/>
      <c r="MY117" s="33"/>
      <c r="MZ117" s="33"/>
      <c r="NA117" s="33"/>
      <c r="NB117" s="33"/>
      <c r="NC117" s="33"/>
      <c r="ND117" s="33"/>
      <c r="NE117" s="33"/>
      <c r="NF117" s="33"/>
      <c r="NG117" s="33"/>
      <c r="NH117" s="33"/>
      <c r="NI117" s="33"/>
      <c r="NJ117" s="33"/>
      <c r="NK117" s="33"/>
      <c r="NL117" s="33"/>
      <c r="NM117" s="33"/>
      <c r="NN117" s="33"/>
      <c r="NO117" s="33"/>
      <c r="NP117" s="33"/>
      <c r="NQ117" s="33"/>
      <c r="NR117" s="33"/>
      <c r="NS117" s="33"/>
      <c r="NT117" s="33"/>
      <c r="NU117" s="33"/>
      <c r="NV117" s="33"/>
      <c r="NW117" s="33"/>
      <c r="NX117" s="33"/>
      <c r="NY117" s="33"/>
      <c r="NZ117" s="33"/>
      <c r="OA117" s="33"/>
      <c r="OB117" s="33"/>
      <c r="OC117" s="33"/>
      <c r="OD117" s="33"/>
      <c r="OE117" s="33"/>
      <c r="OF117" s="33"/>
      <c r="OG117" s="33"/>
      <c r="OH117" s="33"/>
      <c r="OI117" s="33"/>
      <c r="OJ117" s="33"/>
      <c r="OK117" s="33"/>
      <c r="OL117" s="33"/>
      <c r="OM117" s="33"/>
      <c r="ON117" s="33"/>
      <c r="OO117" s="33"/>
      <c r="OP117" s="33"/>
      <c r="OQ117" s="33"/>
      <c r="OR117" s="33"/>
      <c r="OS117" s="33"/>
      <c r="OT117" s="33"/>
      <c r="OU117" s="33"/>
      <c r="OV117" s="33"/>
      <c r="OW117" s="33"/>
      <c r="OX117" s="33"/>
      <c r="OY117" s="33"/>
      <c r="OZ117" s="33"/>
      <c r="PA117" s="33"/>
      <c r="PB117" s="33"/>
      <c r="PC117" s="33"/>
      <c r="PD117" s="33"/>
      <c r="PE117" s="33"/>
      <c r="PF117" s="33"/>
      <c r="PG117" s="33"/>
      <c r="PH117" s="33"/>
      <c r="PI117" s="33"/>
      <c r="PJ117" s="33"/>
      <c r="PK117" s="33"/>
      <c r="PL117" s="33"/>
      <c r="PM117" s="33"/>
      <c r="PN117" s="33"/>
      <c r="PO117" s="33"/>
      <c r="PP117" s="33"/>
      <c r="PQ117" s="33"/>
      <c r="PR117" s="33"/>
      <c r="PS117" s="33"/>
      <c r="PT117" s="33"/>
      <c r="PU117" s="33"/>
      <c r="PV117" s="33"/>
      <c r="PW117" s="33"/>
      <c r="PX117" s="33"/>
      <c r="PY117" s="33"/>
      <c r="PZ117" s="33"/>
      <c r="QA117" s="33"/>
      <c r="QB117" s="33"/>
      <c r="QC117" s="33"/>
      <c r="QD117" s="33"/>
      <c r="QE117" s="33"/>
      <c r="QF117" s="33"/>
      <c r="QG117" s="33"/>
      <c r="QH117" s="33"/>
      <c r="QI117" s="33"/>
      <c r="QJ117" s="33"/>
      <c r="QK117" s="33"/>
      <c r="QL117" s="33"/>
      <c r="QM117" s="33"/>
      <c r="QN117" s="33"/>
      <c r="QO117" s="33"/>
      <c r="QP117" s="33"/>
      <c r="QQ117" s="33"/>
      <c r="QR117" s="33"/>
      <c r="QS117" s="33"/>
      <c r="QT117" s="33"/>
      <c r="QU117" s="33"/>
      <c r="QV117" s="33"/>
      <c r="QW117" s="33"/>
      <c r="QX117" s="33"/>
      <c r="QY117" s="33"/>
      <c r="QZ117" s="33"/>
      <c r="RA117" s="33"/>
      <c r="RB117" s="33"/>
      <c r="RC117" s="33"/>
      <c r="RD117" s="33"/>
      <c r="RE117" s="33"/>
      <c r="RF117" s="33"/>
      <c r="RG117" s="33"/>
      <c r="RH117" s="33"/>
      <c r="RI117" s="33"/>
      <c r="RJ117" s="33"/>
      <c r="RK117" s="33"/>
      <c r="RL117" s="33"/>
      <c r="RM117" s="33"/>
      <c r="RN117" s="33"/>
      <c r="RO117" s="33"/>
      <c r="RP117" s="33"/>
      <c r="RQ117" s="33"/>
      <c r="RR117" s="33"/>
      <c r="RS117" s="33"/>
      <c r="RT117" s="33"/>
      <c r="RU117" s="33"/>
      <c r="RV117" s="33"/>
      <c r="RW117" s="33"/>
      <c r="RX117" s="33"/>
      <c r="RY117" s="33"/>
      <c r="RZ117" s="33"/>
      <c r="SA117" s="33"/>
      <c r="SB117" s="33"/>
      <c r="SC117" s="33"/>
      <c r="SD117" s="33"/>
      <c r="SE117" s="33"/>
      <c r="SF117" s="33"/>
      <c r="SG117" s="33"/>
      <c r="SH117" s="33"/>
      <c r="SI117" s="33"/>
      <c r="SJ117" s="33"/>
      <c r="SK117" s="33"/>
      <c r="SL117" s="33"/>
      <c r="SM117" s="33"/>
      <c r="SN117" s="33"/>
      <c r="SO117" s="33"/>
      <c r="SP117" s="33"/>
      <c r="SQ117" s="33"/>
      <c r="SR117" s="33"/>
      <c r="SS117" s="33"/>
      <c r="ST117" s="33"/>
      <c r="SU117" s="33"/>
      <c r="SV117" s="33"/>
      <c r="SW117" s="33"/>
      <c r="SX117" s="33"/>
      <c r="SY117" s="33"/>
      <c r="SZ117" s="33"/>
      <c r="TA117" s="33"/>
      <c r="TB117" s="33"/>
      <c r="TC117" s="33"/>
      <c r="TD117" s="33"/>
      <c r="TE117" s="33"/>
      <c r="TF117" s="33"/>
      <c r="TG117" s="33"/>
    </row>
    <row r="118" spans="1:527" s="34" customFormat="1" ht="63" x14ac:dyDescent="0.25">
      <c r="A118" s="100"/>
      <c r="B118" s="113"/>
      <c r="C118" s="113"/>
      <c r="D118" s="81" t="s">
        <v>394</v>
      </c>
      <c r="E118" s="102">
        <f>E132+E135</f>
        <v>11403700</v>
      </c>
      <c r="F118" s="102">
        <f t="shared" ref="F118:P118" si="44">F132+F135</f>
        <v>11403700</v>
      </c>
      <c r="G118" s="102">
        <f t="shared" si="44"/>
        <v>0</v>
      </c>
      <c r="H118" s="102">
        <f t="shared" si="44"/>
        <v>0</v>
      </c>
      <c r="I118" s="102">
        <f t="shared" si="44"/>
        <v>0</v>
      </c>
      <c r="J118" s="102">
        <f t="shared" si="44"/>
        <v>0</v>
      </c>
      <c r="K118" s="102">
        <f>K132+K135</f>
        <v>0</v>
      </c>
      <c r="L118" s="102">
        <f t="shared" si="44"/>
        <v>0</v>
      </c>
      <c r="M118" s="102">
        <f t="shared" si="44"/>
        <v>0</v>
      </c>
      <c r="N118" s="102">
        <f t="shared" si="44"/>
        <v>0</v>
      </c>
      <c r="O118" s="102">
        <f t="shared" si="44"/>
        <v>0</v>
      </c>
      <c r="P118" s="102">
        <f t="shared" si="44"/>
        <v>11403700</v>
      </c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  <c r="IW118" s="33"/>
      <c r="IX118" s="33"/>
      <c r="IY118" s="33"/>
      <c r="IZ118" s="33"/>
      <c r="JA118" s="33"/>
      <c r="JB118" s="33"/>
      <c r="JC118" s="33"/>
      <c r="JD118" s="33"/>
      <c r="JE118" s="33"/>
      <c r="JF118" s="33"/>
      <c r="JG118" s="33"/>
      <c r="JH118" s="33"/>
      <c r="JI118" s="33"/>
      <c r="JJ118" s="33"/>
      <c r="JK118" s="33"/>
      <c r="JL118" s="33"/>
      <c r="JM118" s="33"/>
      <c r="JN118" s="33"/>
      <c r="JO118" s="33"/>
      <c r="JP118" s="33"/>
      <c r="JQ118" s="33"/>
      <c r="JR118" s="33"/>
      <c r="JS118" s="33"/>
      <c r="JT118" s="33"/>
      <c r="JU118" s="33"/>
      <c r="JV118" s="33"/>
      <c r="JW118" s="33"/>
      <c r="JX118" s="33"/>
      <c r="JY118" s="33"/>
      <c r="JZ118" s="33"/>
      <c r="KA118" s="33"/>
      <c r="KB118" s="33"/>
      <c r="KC118" s="33"/>
      <c r="KD118" s="33"/>
      <c r="KE118" s="33"/>
      <c r="KF118" s="33"/>
      <c r="KG118" s="33"/>
      <c r="KH118" s="33"/>
      <c r="KI118" s="33"/>
      <c r="KJ118" s="33"/>
      <c r="KK118" s="33"/>
      <c r="KL118" s="33"/>
      <c r="KM118" s="33"/>
      <c r="KN118" s="33"/>
      <c r="KO118" s="33"/>
      <c r="KP118" s="33"/>
      <c r="KQ118" s="33"/>
      <c r="KR118" s="33"/>
      <c r="KS118" s="33"/>
      <c r="KT118" s="33"/>
      <c r="KU118" s="33"/>
      <c r="KV118" s="33"/>
      <c r="KW118" s="33"/>
      <c r="KX118" s="33"/>
      <c r="KY118" s="33"/>
      <c r="KZ118" s="33"/>
      <c r="LA118" s="33"/>
      <c r="LB118" s="33"/>
      <c r="LC118" s="33"/>
      <c r="LD118" s="33"/>
      <c r="LE118" s="33"/>
      <c r="LF118" s="33"/>
      <c r="LG118" s="33"/>
      <c r="LH118" s="33"/>
      <c r="LI118" s="33"/>
      <c r="LJ118" s="33"/>
      <c r="LK118" s="33"/>
      <c r="LL118" s="33"/>
      <c r="LM118" s="33"/>
      <c r="LN118" s="33"/>
      <c r="LO118" s="33"/>
      <c r="LP118" s="33"/>
      <c r="LQ118" s="33"/>
      <c r="LR118" s="33"/>
      <c r="LS118" s="33"/>
      <c r="LT118" s="33"/>
      <c r="LU118" s="33"/>
      <c r="LV118" s="33"/>
      <c r="LW118" s="33"/>
      <c r="LX118" s="33"/>
      <c r="LY118" s="33"/>
      <c r="LZ118" s="33"/>
      <c r="MA118" s="33"/>
      <c r="MB118" s="33"/>
      <c r="MC118" s="33"/>
      <c r="MD118" s="33"/>
      <c r="ME118" s="33"/>
      <c r="MF118" s="33"/>
      <c r="MG118" s="33"/>
      <c r="MH118" s="33"/>
      <c r="MI118" s="33"/>
      <c r="MJ118" s="33"/>
      <c r="MK118" s="33"/>
      <c r="ML118" s="33"/>
      <c r="MM118" s="33"/>
      <c r="MN118" s="33"/>
      <c r="MO118" s="33"/>
      <c r="MP118" s="33"/>
      <c r="MQ118" s="33"/>
      <c r="MR118" s="33"/>
      <c r="MS118" s="33"/>
      <c r="MT118" s="33"/>
      <c r="MU118" s="33"/>
      <c r="MV118" s="33"/>
      <c r="MW118" s="33"/>
      <c r="MX118" s="33"/>
      <c r="MY118" s="33"/>
      <c r="MZ118" s="33"/>
      <c r="NA118" s="33"/>
      <c r="NB118" s="33"/>
      <c r="NC118" s="33"/>
      <c r="ND118" s="33"/>
      <c r="NE118" s="33"/>
      <c r="NF118" s="33"/>
      <c r="NG118" s="33"/>
      <c r="NH118" s="33"/>
      <c r="NI118" s="33"/>
      <c r="NJ118" s="33"/>
      <c r="NK118" s="33"/>
      <c r="NL118" s="33"/>
      <c r="NM118" s="33"/>
      <c r="NN118" s="33"/>
      <c r="NO118" s="33"/>
      <c r="NP118" s="33"/>
      <c r="NQ118" s="33"/>
      <c r="NR118" s="33"/>
      <c r="NS118" s="33"/>
      <c r="NT118" s="33"/>
      <c r="NU118" s="33"/>
      <c r="NV118" s="33"/>
      <c r="NW118" s="33"/>
      <c r="NX118" s="33"/>
      <c r="NY118" s="33"/>
      <c r="NZ118" s="33"/>
      <c r="OA118" s="33"/>
      <c r="OB118" s="33"/>
      <c r="OC118" s="33"/>
      <c r="OD118" s="33"/>
      <c r="OE118" s="33"/>
      <c r="OF118" s="33"/>
      <c r="OG118" s="33"/>
      <c r="OH118" s="33"/>
      <c r="OI118" s="33"/>
      <c r="OJ118" s="33"/>
      <c r="OK118" s="33"/>
      <c r="OL118" s="33"/>
      <c r="OM118" s="33"/>
      <c r="ON118" s="33"/>
      <c r="OO118" s="33"/>
      <c r="OP118" s="33"/>
      <c r="OQ118" s="33"/>
      <c r="OR118" s="33"/>
      <c r="OS118" s="33"/>
      <c r="OT118" s="33"/>
      <c r="OU118" s="33"/>
      <c r="OV118" s="33"/>
      <c r="OW118" s="33"/>
      <c r="OX118" s="33"/>
      <c r="OY118" s="33"/>
      <c r="OZ118" s="33"/>
      <c r="PA118" s="33"/>
      <c r="PB118" s="33"/>
      <c r="PC118" s="33"/>
      <c r="PD118" s="33"/>
      <c r="PE118" s="33"/>
      <c r="PF118" s="33"/>
      <c r="PG118" s="33"/>
      <c r="PH118" s="33"/>
      <c r="PI118" s="33"/>
      <c r="PJ118" s="33"/>
      <c r="PK118" s="33"/>
      <c r="PL118" s="33"/>
      <c r="PM118" s="33"/>
      <c r="PN118" s="33"/>
      <c r="PO118" s="33"/>
      <c r="PP118" s="33"/>
      <c r="PQ118" s="33"/>
      <c r="PR118" s="33"/>
      <c r="PS118" s="33"/>
      <c r="PT118" s="33"/>
      <c r="PU118" s="33"/>
      <c r="PV118" s="33"/>
      <c r="PW118" s="33"/>
      <c r="PX118" s="33"/>
      <c r="PY118" s="33"/>
      <c r="PZ118" s="33"/>
      <c r="QA118" s="33"/>
      <c r="QB118" s="33"/>
      <c r="QC118" s="33"/>
      <c r="QD118" s="33"/>
      <c r="QE118" s="33"/>
      <c r="QF118" s="33"/>
      <c r="QG118" s="33"/>
      <c r="QH118" s="33"/>
      <c r="QI118" s="33"/>
      <c r="QJ118" s="33"/>
      <c r="QK118" s="33"/>
      <c r="QL118" s="33"/>
      <c r="QM118" s="33"/>
      <c r="QN118" s="33"/>
      <c r="QO118" s="33"/>
      <c r="QP118" s="33"/>
      <c r="QQ118" s="33"/>
      <c r="QR118" s="33"/>
      <c r="QS118" s="33"/>
      <c r="QT118" s="33"/>
      <c r="QU118" s="33"/>
      <c r="QV118" s="33"/>
      <c r="QW118" s="33"/>
      <c r="QX118" s="33"/>
      <c r="QY118" s="33"/>
      <c r="QZ118" s="33"/>
      <c r="RA118" s="33"/>
      <c r="RB118" s="33"/>
      <c r="RC118" s="33"/>
      <c r="RD118" s="33"/>
      <c r="RE118" s="33"/>
      <c r="RF118" s="33"/>
      <c r="RG118" s="33"/>
      <c r="RH118" s="33"/>
      <c r="RI118" s="33"/>
      <c r="RJ118" s="33"/>
      <c r="RK118" s="33"/>
      <c r="RL118" s="33"/>
      <c r="RM118" s="33"/>
      <c r="RN118" s="33"/>
      <c r="RO118" s="33"/>
      <c r="RP118" s="33"/>
      <c r="RQ118" s="33"/>
      <c r="RR118" s="33"/>
      <c r="RS118" s="33"/>
      <c r="RT118" s="33"/>
      <c r="RU118" s="33"/>
      <c r="RV118" s="33"/>
      <c r="RW118" s="33"/>
      <c r="RX118" s="33"/>
      <c r="RY118" s="33"/>
      <c r="RZ118" s="33"/>
      <c r="SA118" s="33"/>
      <c r="SB118" s="33"/>
      <c r="SC118" s="33"/>
      <c r="SD118" s="33"/>
      <c r="SE118" s="33"/>
      <c r="SF118" s="33"/>
      <c r="SG118" s="33"/>
      <c r="SH118" s="33"/>
      <c r="SI118" s="33"/>
      <c r="SJ118" s="33"/>
      <c r="SK118" s="33"/>
      <c r="SL118" s="33"/>
      <c r="SM118" s="33"/>
      <c r="SN118" s="33"/>
      <c r="SO118" s="33"/>
      <c r="SP118" s="33"/>
      <c r="SQ118" s="33"/>
      <c r="SR118" s="33"/>
      <c r="SS118" s="33"/>
      <c r="ST118" s="33"/>
      <c r="SU118" s="33"/>
      <c r="SV118" s="33"/>
      <c r="SW118" s="33"/>
      <c r="SX118" s="33"/>
      <c r="SY118" s="33"/>
      <c r="SZ118" s="33"/>
      <c r="TA118" s="33"/>
      <c r="TB118" s="33"/>
      <c r="TC118" s="33"/>
      <c r="TD118" s="33"/>
      <c r="TE118" s="33"/>
      <c r="TF118" s="33"/>
      <c r="TG118" s="33"/>
    </row>
    <row r="119" spans="1:527" s="34" customFormat="1" ht="49.5" customHeight="1" x14ac:dyDescent="0.25">
      <c r="A119" s="100"/>
      <c r="B119" s="113"/>
      <c r="C119" s="113"/>
      <c r="D119" s="81" t="s">
        <v>577</v>
      </c>
      <c r="E119" s="102">
        <f>E141</f>
        <v>0</v>
      </c>
      <c r="F119" s="102">
        <f t="shared" ref="F119:P119" si="45">F141</f>
        <v>0</v>
      </c>
      <c r="G119" s="102">
        <f t="shared" si="45"/>
        <v>0</v>
      </c>
      <c r="H119" s="102">
        <f t="shared" si="45"/>
        <v>0</v>
      </c>
      <c r="I119" s="102">
        <f t="shared" si="45"/>
        <v>0</v>
      </c>
      <c r="J119" s="102">
        <f t="shared" si="45"/>
        <v>156000</v>
      </c>
      <c r="K119" s="102">
        <f t="shared" si="45"/>
        <v>156000</v>
      </c>
      <c r="L119" s="102">
        <f t="shared" si="45"/>
        <v>0</v>
      </c>
      <c r="M119" s="102">
        <f t="shared" si="45"/>
        <v>0</v>
      </c>
      <c r="N119" s="102">
        <f t="shared" si="45"/>
        <v>0</v>
      </c>
      <c r="O119" s="102">
        <f t="shared" si="45"/>
        <v>156000</v>
      </c>
      <c r="P119" s="102">
        <f t="shared" si="45"/>
        <v>156000</v>
      </c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  <c r="IW119" s="33"/>
      <c r="IX119" s="33"/>
      <c r="IY119" s="33"/>
      <c r="IZ119" s="33"/>
      <c r="JA119" s="33"/>
      <c r="JB119" s="33"/>
      <c r="JC119" s="33"/>
      <c r="JD119" s="33"/>
      <c r="JE119" s="33"/>
      <c r="JF119" s="33"/>
      <c r="JG119" s="33"/>
      <c r="JH119" s="33"/>
      <c r="JI119" s="33"/>
      <c r="JJ119" s="33"/>
      <c r="JK119" s="33"/>
      <c r="JL119" s="33"/>
      <c r="JM119" s="33"/>
      <c r="JN119" s="33"/>
      <c r="JO119" s="33"/>
      <c r="JP119" s="33"/>
      <c r="JQ119" s="33"/>
      <c r="JR119" s="33"/>
      <c r="JS119" s="33"/>
      <c r="JT119" s="33"/>
      <c r="JU119" s="33"/>
      <c r="JV119" s="33"/>
      <c r="JW119" s="33"/>
      <c r="JX119" s="33"/>
      <c r="JY119" s="33"/>
      <c r="JZ119" s="33"/>
      <c r="KA119" s="33"/>
      <c r="KB119" s="33"/>
      <c r="KC119" s="33"/>
      <c r="KD119" s="33"/>
      <c r="KE119" s="33"/>
      <c r="KF119" s="33"/>
      <c r="KG119" s="33"/>
      <c r="KH119" s="33"/>
      <c r="KI119" s="33"/>
      <c r="KJ119" s="33"/>
      <c r="KK119" s="33"/>
      <c r="KL119" s="33"/>
      <c r="KM119" s="33"/>
      <c r="KN119" s="33"/>
      <c r="KO119" s="33"/>
      <c r="KP119" s="33"/>
      <c r="KQ119" s="33"/>
      <c r="KR119" s="33"/>
      <c r="KS119" s="33"/>
      <c r="KT119" s="33"/>
      <c r="KU119" s="33"/>
      <c r="KV119" s="33"/>
      <c r="KW119" s="33"/>
      <c r="KX119" s="33"/>
      <c r="KY119" s="33"/>
      <c r="KZ119" s="33"/>
      <c r="LA119" s="33"/>
      <c r="LB119" s="33"/>
      <c r="LC119" s="33"/>
      <c r="LD119" s="33"/>
      <c r="LE119" s="33"/>
      <c r="LF119" s="33"/>
      <c r="LG119" s="33"/>
      <c r="LH119" s="33"/>
      <c r="LI119" s="33"/>
      <c r="LJ119" s="33"/>
      <c r="LK119" s="33"/>
      <c r="LL119" s="33"/>
      <c r="LM119" s="33"/>
      <c r="LN119" s="33"/>
      <c r="LO119" s="33"/>
      <c r="LP119" s="33"/>
      <c r="LQ119" s="33"/>
      <c r="LR119" s="33"/>
      <c r="LS119" s="33"/>
      <c r="LT119" s="33"/>
      <c r="LU119" s="33"/>
      <c r="LV119" s="33"/>
      <c r="LW119" s="33"/>
      <c r="LX119" s="33"/>
      <c r="LY119" s="33"/>
      <c r="LZ119" s="33"/>
      <c r="MA119" s="33"/>
      <c r="MB119" s="33"/>
      <c r="MC119" s="33"/>
      <c r="MD119" s="33"/>
      <c r="ME119" s="33"/>
      <c r="MF119" s="33"/>
      <c r="MG119" s="33"/>
      <c r="MH119" s="33"/>
      <c r="MI119" s="33"/>
      <c r="MJ119" s="33"/>
      <c r="MK119" s="33"/>
      <c r="ML119" s="33"/>
      <c r="MM119" s="33"/>
      <c r="MN119" s="33"/>
      <c r="MO119" s="33"/>
      <c r="MP119" s="33"/>
      <c r="MQ119" s="33"/>
      <c r="MR119" s="33"/>
      <c r="MS119" s="33"/>
      <c r="MT119" s="33"/>
      <c r="MU119" s="33"/>
      <c r="MV119" s="33"/>
      <c r="MW119" s="33"/>
      <c r="MX119" s="33"/>
      <c r="MY119" s="33"/>
      <c r="MZ119" s="33"/>
      <c r="NA119" s="33"/>
      <c r="NB119" s="33"/>
      <c r="NC119" s="33"/>
      <c r="ND119" s="33"/>
      <c r="NE119" s="33"/>
      <c r="NF119" s="33"/>
      <c r="NG119" s="33"/>
      <c r="NH119" s="33"/>
      <c r="NI119" s="33"/>
      <c r="NJ119" s="33"/>
      <c r="NK119" s="33"/>
      <c r="NL119" s="33"/>
      <c r="NM119" s="33"/>
      <c r="NN119" s="33"/>
      <c r="NO119" s="33"/>
      <c r="NP119" s="33"/>
      <c r="NQ119" s="33"/>
      <c r="NR119" s="33"/>
      <c r="NS119" s="33"/>
      <c r="NT119" s="33"/>
      <c r="NU119" s="33"/>
      <c r="NV119" s="33"/>
      <c r="NW119" s="33"/>
      <c r="NX119" s="33"/>
      <c r="NY119" s="33"/>
      <c r="NZ119" s="33"/>
      <c r="OA119" s="33"/>
      <c r="OB119" s="33"/>
      <c r="OC119" s="33"/>
      <c r="OD119" s="33"/>
      <c r="OE119" s="33"/>
      <c r="OF119" s="33"/>
      <c r="OG119" s="33"/>
      <c r="OH119" s="33"/>
      <c r="OI119" s="33"/>
      <c r="OJ119" s="33"/>
      <c r="OK119" s="33"/>
      <c r="OL119" s="33"/>
      <c r="OM119" s="33"/>
      <c r="ON119" s="33"/>
      <c r="OO119" s="33"/>
      <c r="OP119" s="33"/>
      <c r="OQ119" s="33"/>
      <c r="OR119" s="33"/>
      <c r="OS119" s="33"/>
      <c r="OT119" s="33"/>
      <c r="OU119" s="33"/>
      <c r="OV119" s="33"/>
      <c r="OW119" s="33"/>
      <c r="OX119" s="33"/>
      <c r="OY119" s="33"/>
      <c r="OZ119" s="33"/>
      <c r="PA119" s="33"/>
      <c r="PB119" s="33"/>
      <c r="PC119" s="33"/>
      <c r="PD119" s="33"/>
      <c r="PE119" s="33"/>
      <c r="PF119" s="33"/>
      <c r="PG119" s="33"/>
      <c r="PH119" s="33"/>
      <c r="PI119" s="33"/>
      <c r="PJ119" s="33"/>
      <c r="PK119" s="33"/>
      <c r="PL119" s="33"/>
      <c r="PM119" s="33"/>
      <c r="PN119" s="33"/>
      <c r="PO119" s="33"/>
      <c r="PP119" s="33"/>
      <c r="PQ119" s="33"/>
      <c r="PR119" s="33"/>
      <c r="PS119" s="33"/>
      <c r="PT119" s="33"/>
      <c r="PU119" s="33"/>
      <c r="PV119" s="33"/>
      <c r="PW119" s="33"/>
      <c r="PX119" s="33"/>
      <c r="PY119" s="33"/>
      <c r="PZ119" s="33"/>
      <c r="QA119" s="33"/>
      <c r="QB119" s="33"/>
      <c r="QC119" s="33"/>
      <c r="QD119" s="33"/>
      <c r="QE119" s="33"/>
      <c r="QF119" s="33"/>
      <c r="QG119" s="33"/>
      <c r="QH119" s="33"/>
      <c r="QI119" s="33"/>
      <c r="QJ119" s="33"/>
      <c r="QK119" s="33"/>
      <c r="QL119" s="33"/>
      <c r="QM119" s="33"/>
      <c r="QN119" s="33"/>
      <c r="QO119" s="33"/>
      <c r="QP119" s="33"/>
      <c r="QQ119" s="33"/>
      <c r="QR119" s="33"/>
      <c r="QS119" s="33"/>
      <c r="QT119" s="33"/>
      <c r="QU119" s="33"/>
      <c r="QV119" s="33"/>
      <c r="QW119" s="33"/>
      <c r="QX119" s="33"/>
      <c r="QY119" s="33"/>
      <c r="QZ119" s="33"/>
      <c r="RA119" s="33"/>
      <c r="RB119" s="33"/>
      <c r="RC119" s="33"/>
      <c r="RD119" s="33"/>
      <c r="RE119" s="33"/>
      <c r="RF119" s="33"/>
      <c r="RG119" s="33"/>
      <c r="RH119" s="33"/>
      <c r="RI119" s="33"/>
      <c r="RJ119" s="33"/>
      <c r="RK119" s="33"/>
      <c r="RL119" s="33"/>
      <c r="RM119" s="33"/>
      <c r="RN119" s="33"/>
      <c r="RO119" s="33"/>
      <c r="RP119" s="33"/>
      <c r="RQ119" s="33"/>
      <c r="RR119" s="33"/>
      <c r="RS119" s="33"/>
      <c r="RT119" s="33"/>
      <c r="RU119" s="33"/>
      <c r="RV119" s="33"/>
      <c r="RW119" s="33"/>
      <c r="RX119" s="33"/>
      <c r="RY119" s="33"/>
      <c r="RZ119" s="33"/>
      <c r="SA119" s="33"/>
      <c r="SB119" s="33"/>
      <c r="SC119" s="33"/>
      <c r="SD119" s="33"/>
      <c r="SE119" s="33"/>
      <c r="SF119" s="33"/>
      <c r="SG119" s="33"/>
      <c r="SH119" s="33"/>
      <c r="SI119" s="33"/>
      <c r="SJ119" s="33"/>
      <c r="SK119" s="33"/>
      <c r="SL119" s="33"/>
      <c r="SM119" s="33"/>
      <c r="SN119" s="33"/>
      <c r="SO119" s="33"/>
      <c r="SP119" s="33"/>
      <c r="SQ119" s="33"/>
      <c r="SR119" s="33"/>
      <c r="SS119" s="33"/>
      <c r="ST119" s="33"/>
      <c r="SU119" s="33"/>
      <c r="SV119" s="33"/>
      <c r="SW119" s="33"/>
      <c r="SX119" s="33"/>
      <c r="SY119" s="33"/>
      <c r="SZ119" s="33"/>
      <c r="TA119" s="33"/>
      <c r="TB119" s="33"/>
      <c r="TC119" s="33"/>
      <c r="TD119" s="33"/>
      <c r="TE119" s="33"/>
      <c r="TF119" s="33"/>
      <c r="TG119" s="33"/>
    </row>
    <row r="120" spans="1:527" s="34" customFormat="1" ht="15.75" x14ac:dyDescent="0.25">
      <c r="A120" s="100"/>
      <c r="B120" s="113"/>
      <c r="C120" s="113"/>
      <c r="D120" s="87" t="s">
        <v>421</v>
      </c>
      <c r="E120" s="102">
        <f>E143</f>
        <v>0</v>
      </c>
      <c r="F120" s="102">
        <f t="shared" ref="F120:P120" si="46">F143</f>
        <v>0</v>
      </c>
      <c r="G120" s="102">
        <f t="shared" si="46"/>
        <v>0</v>
      </c>
      <c r="H120" s="102">
        <f t="shared" si="46"/>
        <v>0</v>
      </c>
      <c r="I120" s="102">
        <f t="shared" si="46"/>
        <v>0</v>
      </c>
      <c r="J120" s="102">
        <f t="shared" si="46"/>
        <v>4662070.12</v>
      </c>
      <c r="K120" s="102">
        <f t="shared" si="46"/>
        <v>4662070.12</v>
      </c>
      <c r="L120" s="102">
        <f t="shared" si="46"/>
        <v>0</v>
      </c>
      <c r="M120" s="102">
        <f t="shared" si="46"/>
        <v>0</v>
      </c>
      <c r="N120" s="102">
        <f t="shared" si="46"/>
        <v>0</v>
      </c>
      <c r="O120" s="102">
        <f t="shared" si="46"/>
        <v>4662070.12</v>
      </c>
      <c r="P120" s="102">
        <f t="shared" si="46"/>
        <v>4662070.12</v>
      </c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3"/>
      <c r="LI120" s="33"/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3"/>
      <c r="ME120" s="33"/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33"/>
      <c r="NA120" s="33"/>
      <c r="NB120" s="33"/>
      <c r="NC120" s="33"/>
      <c r="ND120" s="33"/>
      <c r="NE120" s="33"/>
      <c r="NF120" s="33"/>
      <c r="NG120" s="33"/>
      <c r="NH120" s="33"/>
      <c r="NI120" s="33"/>
      <c r="NJ120" s="33"/>
      <c r="NK120" s="33"/>
      <c r="NL120" s="33"/>
      <c r="NM120" s="33"/>
      <c r="NN120" s="33"/>
      <c r="NO120" s="33"/>
      <c r="NP120" s="33"/>
      <c r="NQ120" s="33"/>
      <c r="NR120" s="33"/>
      <c r="NS120" s="33"/>
      <c r="NT120" s="33"/>
      <c r="NU120" s="33"/>
      <c r="NV120" s="33"/>
      <c r="NW120" s="33"/>
      <c r="NX120" s="33"/>
      <c r="NY120" s="33"/>
      <c r="NZ120" s="33"/>
      <c r="OA120" s="33"/>
      <c r="OB120" s="33"/>
      <c r="OC120" s="33"/>
      <c r="OD120" s="33"/>
      <c r="OE120" s="33"/>
      <c r="OF120" s="33"/>
      <c r="OG120" s="33"/>
      <c r="OH120" s="33"/>
      <c r="OI120" s="33"/>
      <c r="OJ120" s="33"/>
      <c r="OK120" s="33"/>
      <c r="OL120" s="33"/>
      <c r="OM120" s="33"/>
      <c r="ON120" s="33"/>
      <c r="OO120" s="33"/>
      <c r="OP120" s="33"/>
      <c r="OQ120" s="33"/>
      <c r="OR120" s="33"/>
      <c r="OS120" s="33"/>
      <c r="OT120" s="33"/>
      <c r="OU120" s="33"/>
      <c r="OV120" s="33"/>
      <c r="OW120" s="33"/>
      <c r="OX120" s="33"/>
      <c r="OY120" s="33"/>
      <c r="OZ120" s="33"/>
      <c r="PA120" s="33"/>
      <c r="PB120" s="33"/>
      <c r="PC120" s="33"/>
      <c r="PD120" s="33"/>
      <c r="PE120" s="33"/>
      <c r="PF120" s="33"/>
      <c r="PG120" s="33"/>
      <c r="PH120" s="33"/>
      <c r="PI120" s="33"/>
      <c r="PJ120" s="33"/>
      <c r="PK120" s="33"/>
      <c r="PL120" s="33"/>
      <c r="PM120" s="33"/>
      <c r="PN120" s="33"/>
      <c r="PO120" s="33"/>
      <c r="PP120" s="33"/>
      <c r="PQ120" s="33"/>
      <c r="PR120" s="33"/>
      <c r="PS120" s="33"/>
      <c r="PT120" s="33"/>
      <c r="PU120" s="33"/>
      <c r="PV120" s="33"/>
      <c r="PW120" s="33"/>
      <c r="PX120" s="33"/>
      <c r="PY120" s="33"/>
      <c r="PZ120" s="33"/>
      <c r="QA120" s="33"/>
      <c r="QB120" s="33"/>
      <c r="QC120" s="33"/>
      <c r="QD120" s="33"/>
      <c r="QE120" s="33"/>
      <c r="QF120" s="33"/>
      <c r="QG120" s="33"/>
      <c r="QH120" s="33"/>
      <c r="QI120" s="33"/>
      <c r="QJ120" s="33"/>
      <c r="QK120" s="33"/>
      <c r="QL120" s="33"/>
      <c r="QM120" s="33"/>
      <c r="QN120" s="33"/>
      <c r="QO120" s="33"/>
      <c r="QP120" s="33"/>
      <c r="QQ120" s="33"/>
      <c r="QR120" s="33"/>
      <c r="QS120" s="33"/>
      <c r="QT120" s="33"/>
      <c r="QU120" s="33"/>
      <c r="QV120" s="33"/>
      <c r="QW120" s="33"/>
      <c r="QX120" s="33"/>
      <c r="QY120" s="33"/>
      <c r="QZ120" s="33"/>
      <c r="RA120" s="33"/>
      <c r="RB120" s="33"/>
      <c r="RC120" s="33"/>
      <c r="RD120" s="33"/>
      <c r="RE120" s="33"/>
      <c r="RF120" s="33"/>
      <c r="RG120" s="33"/>
      <c r="RH120" s="33"/>
      <c r="RI120" s="33"/>
      <c r="RJ120" s="33"/>
      <c r="RK120" s="33"/>
      <c r="RL120" s="33"/>
      <c r="RM120" s="33"/>
      <c r="RN120" s="33"/>
      <c r="RO120" s="33"/>
      <c r="RP120" s="33"/>
      <c r="RQ120" s="33"/>
      <c r="RR120" s="33"/>
      <c r="RS120" s="33"/>
      <c r="RT120" s="33"/>
      <c r="RU120" s="33"/>
      <c r="RV120" s="33"/>
      <c r="RW120" s="33"/>
      <c r="RX120" s="33"/>
      <c r="RY120" s="33"/>
      <c r="RZ120" s="33"/>
      <c r="SA120" s="33"/>
      <c r="SB120" s="33"/>
      <c r="SC120" s="33"/>
      <c r="SD120" s="33"/>
      <c r="SE120" s="33"/>
      <c r="SF120" s="33"/>
      <c r="SG120" s="33"/>
      <c r="SH120" s="33"/>
      <c r="SI120" s="33"/>
      <c r="SJ120" s="33"/>
      <c r="SK120" s="33"/>
      <c r="SL120" s="33"/>
      <c r="SM120" s="33"/>
      <c r="SN120" s="33"/>
      <c r="SO120" s="33"/>
      <c r="SP120" s="33"/>
      <c r="SQ120" s="33"/>
      <c r="SR120" s="33"/>
      <c r="SS120" s="33"/>
      <c r="ST120" s="33"/>
      <c r="SU120" s="33"/>
      <c r="SV120" s="33"/>
      <c r="SW120" s="33"/>
      <c r="SX120" s="33"/>
      <c r="SY120" s="33"/>
      <c r="SZ120" s="33"/>
      <c r="TA120" s="33"/>
      <c r="TB120" s="33"/>
      <c r="TC120" s="33"/>
      <c r="TD120" s="33"/>
      <c r="TE120" s="33"/>
      <c r="TF120" s="33"/>
      <c r="TG120" s="33"/>
    </row>
    <row r="121" spans="1:527" s="22" customFormat="1" ht="48" customHeight="1" x14ac:dyDescent="0.25">
      <c r="A121" s="60" t="s">
        <v>173</v>
      </c>
      <c r="B121" s="97" t="str">
        <f>'дод 8'!A19</f>
        <v>0160</v>
      </c>
      <c r="C121" s="97" t="str">
        <f>'дод 8'!B19</f>
        <v>0111</v>
      </c>
      <c r="D121" s="36" t="s">
        <v>504</v>
      </c>
      <c r="E121" s="103">
        <f t="shared" ref="E121:E145" si="47">F121+I121</f>
        <v>2550200</v>
      </c>
      <c r="F121" s="103">
        <f>2547700+2500</f>
        <v>2550200</v>
      </c>
      <c r="G121" s="103">
        <v>1956200</v>
      </c>
      <c r="H121" s="103">
        <v>29900</v>
      </c>
      <c r="I121" s="103"/>
      <c r="J121" s="103">
        <f>L121+O121</f>
        <v>600000</v>
      </c>
      <c r="K121" s="103">
        <v>600000</v>
      </c>
      <c r="L121" s="103"/>
      <c r="M121" s="103"/>
      <c r="N121" s="103"/>
      <c r="O121" s="103">
        <v>600000</v>
      </c>
      <c r="P121" s="103">
        <f t="shared" ref="P121:P145" si="48">E121+J121</f>
        <v>3150200</v>
      </c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  <c r="IW121" s="23"/>
      <c r="IX121" s="23"/>
      <c r="IY121" s="23"/>
      <c r="IZ121" s="23"/>
      <c r="JA121" s="23"/>
      <c r="JB121" s="23"/>
      <c r="JC121" s="23"/>
      <c r="JD121" s="23"/>
      <c r="JE121" s="23"/>
      <c r="JF121" s="23"/>
      <c r="JG121" s="23"/>
      <c r="JH121" s="23"/>
      <c r="JI121" s="23"/>
      <c r="JJ121" s="23"/>
      <c r="JK121" s="23"/>
      <c r="JL121" s="23"/>
      <c r="JM121" s="23"/>
      <c r="JN121" s="23"/>
      <c r="JO121" s="23"/>
      <c r="JP121" s="23"/>
      <c r="JQ121" s="23"/>
      <c r="JR121" s="23"/>
      <c r="JS121" s="23"/>
      <c r="JT121" s="23"/>
      <c r="JU121" s="23"/>
      <c r="JV121" s="23"/>
      <c r="JW121" s="23"/>
      <c r="JX121" s="23"/>
      <c r="JY121" s="23"/>
      <c r="JZ121" s="23"/>
      <c r="KA121" s="23"/>
      <c r="KB121" s="23"/>
      <c r="KC121" s="23"/>
      <c r="KD121" s="23"/>
      <c r="KE121" s="23"/>
      <c r="KF121" s="23"/>
      <c r="KG121" s="23"/>
      <c r="KH121" s="23"/>
      <c r="KI121" s="23"/>
      <c r="KJ121" s="23"/>
      <c r="KK121" s="23"/>
      <c r="KL121" s="23"/>
      <c r="KM121" s="23"/>
      <c r="KN121" s="23"/>
      <c r="KO121" s="23"/>
      <c r="KP121" s="23"/>
      <c r="KQ121" s="23"/>
      <c r="KR121" s="23"/>
      <c r="KS121" s="23"/>
      <c r="KT121" s="23"/>
      <c r="KU121" s="23"/>
      <c r="KV121" s="23"/>
      <c r="KW121" s="23"/>
      <c r="KX121" s="23"/>
      <c r="KY121" s="23"/>
      <c r="KZ121" s="23"/>
      <c r="LA121" s="23"/>
      <c r="LB121" s="23"/>
      <c r="LC121" s="23"/>
      <c r="LD121" s="23"/>
      <c r="LE121" s="23"/>
      <c r="LF121" s="23"/>
      <c r="LG121" s="23"/>
      <c r="LH121" s="23"/>
      <c r="LI121" s="23"/>
      <c r="LJ121" s="23"/>
      <c r="LK121" s="23"/>
      <c r="LL121" s="23"/>
      <c r="LM121" s="23"/>
      <c r="LN121" s="23"/>
      <c r="LO121" s="23"/>
      <c r="LP121" s="23"/>
      <c r="LQ121" s="23"/>
      <c r="LR121" s="23"/>
      <c r="LS121" s="23"/>
      <c r="LT121" s="23"/>
      <c r="LU121" s="23"/>
      <c r="LV121" s="23"/>
      <c r="LW121" s="23"/>
      <c r="LX121" s="23"/>
      <c r="LY121" s="23"/>
      <c r="LZ121" s="23"/>
      <c r="MA121" s="23"/>
      <c r="MB121" s="23"/>
      <c r="MC121" s="23"/>
      <c r="MD121" s="23"/>
      <c r="ME121" s="23"/>
      <c r="MF121" s="23"/>
      <c r="MG121" s="23"/>
      <c r="MH121" s="23"/>
      <c r="MI121" s="23"/>
      <c r="MJ121" s="23"/>
      <c r="MK121" s="23"/>
      <c r="ML121" s="23"/>
      <c r="MM121" s="23"/>
      <c r="MN121" s="23"/>
      <c r="MO121" s="23"/>
      <c r="MP121" s="23"/>
      <c r="MQ121" s="23"/>
      <c r="MR121" s="23"/>
      <c r="MS121" s="23"/>
      <c r="MT121" s="23"/>
      <c r="MU121" s="23"/>
      <c r="MV121" s="23"/>
      <c r="MW121" s="23"/>
      <c r="MX121" s="23"/>
      <c r="MY121" s="23"/>
      <c r="MZ121" s="23"/>
      <c r="NA121" s="23"/>
      <c r="NB121" s="23"/>
      <c r="NC121" s="23"/>
      <c r="ND121" s="23"/>
      <c r="NE121" s="23"/>
      <c r="NF121" s="23"/>
      <c r="NG121" s="23"/>
      <c r="NH121" s="23"/>
      <c r="NI121" s="23"/>
      <c r="NJ121" s="23"/>
      <c r="NK121" s="23"/>
      <c r="NL121" s="23"/>
      <c r="NM121" s="23"/>
      <c r="NN121" s="23"/>
      <c r="NO121" s="23"/>
      <c r="NP121" s="23"/>
      <c r="NQ121" s="23"/>
      <c r="NR121" s="23"/>
      <c r="NS121" s="23"/>
      <c r="NT121" s="23"/>
      <c r="NU121" s="23"/>
      <c r="NV121" s="23"/>
      <c r="NW121" s="23"/>
      <c r="NX121" s="23"/>
      <c r="NY121" s="23"/>
      <c r="NZ121" s="23"/>
      <c r="OA121" s="23"/>
      <c r="OB121" s="23"/>
      <c r="OC121" s="23"/>
      <c r="OD121" s="23"/>
      <c r="OE121" s="23"/>
      <c r="OF121" s="23"/>
      <c r="OG121" s="23"/>
      <c r="OH121" s="23"/>
      <c r="OI121" s="23"/>
      <c r="OJ121" s="23"/>
      <c r="OK121" s="23"/>
      <c r="OL121" s="23"/>
      <c r="OM121" s="23"/>
      <c r="ON121" s="23"/>
      <c r="OO121" s="23"/>
      <c r="OP121" s="23"/>
      <c r="OQ121" s="23"/>
      <c r="OR121" s="23"/>
      <c r="OS121" s="23"/>
      <c r="OT121" s="23"/>
      <c r="OU121" s="23"/>
      <c r="OV121" s="23"/>
      <c r="OW121" s="23"/>
      <c r="OX121" s="23"/>
      <c r="OY121" s="23"/>
      <c r="OZ121" s="23"/>
      <c r="PA121" s="23"/>
      <c r="PB121" s="23"/>
      <c r="PC121" s="23"/>
      <c r="PD121" s="23"/>
      <c r="PE121" s="23"/>
      <c r="PF121" s="23"/>
      <c r="PG121" s="23"/>
      <c r="PH121" s="23"/>
      <c r="PI121" s="23"/>
      <c r="PJ121" s="23"/>
      <c r="PK121" s="23"/>
      <c r="PL121" s="23"/>
      <c r="PM121" s="23"/>
      <c r="PN121" s="23"/>
      <c r="PO121" s="23"/>
      <c r="PP121" s="23"/>
      <c r="PQ121" s="23"/>
      <c r="PR121" s="23"/>
      <c r="PS121" s="23"/>
      <c r="PT121" s="23"/>
      <c r="PU121" s="23"/>
      <c r="PV121" s="23"/>
      <c r="PW121" s="23"/>
      <c r="PX121" s="23"/>
      <c r="PY121" s="23"/>
      <c r="PZ121" s="23"/>
      <c r="QA121" s="23"/>
      <c r="QB121" s="23"/>
      <c r="QC121" s="23"/>
      <c r="QD121" s="23"/>
      <c r="QE121" s="23"/>
      <c r="QF121" s="23"/>
      <c r="QG121" s="23"/>
      <c r="QH121" s="23"/>
      <c r="QI121" s="23"/>
      <c r="QJ121" s="23"/>
      <c r="QK121" s="23"/>
      <c r="QL121" s="23"/>
      <c r="QM121" s="23"/>
      <c r="QN121" s="23"/>
      <c r="QO121" s="23"/>
      <c r="QP121" s="23"/>
      <c r="QQ121" s="23"/>
      <c r="QR121" s="23"/>
      <c r="QS121" s="23"/>
      <c r="QT121" s="23"/>
      <c r="QU121" s="23"/>
      <c r="QV121" s="23"/>
      <c r="QW121" s="23"/>
      <c r="QX121" s="23"/>
      <c r="QY121" s="23"/>
      <c r="QZ121" s="23"/>
      <c r="RA121" s="23"/>
      <c r="RB121" s="23"/>
      <c r="RC121" s="23"/>
      <c r="RD121" s="23"/>
      <c r="RE121" s="23"/>
      <c r="RF121" s="23"/>
      <c r="RG121" s="23"/>
      <c r="RH121" s="23"/>
      <c r="RI121" s="23"/>
      <c r="RJ121" s="23"/>
      <c r="RK121" s="23"/>
      <c r="RL121" s="23"/>
      <c r="RM121" s="23"/>
      <c r="RN121" s="23"/>
      <c r="RO121" s="23"/>
      <c r="RP121" s="23"/>
      <c r="RQ121" s="23"/>
      <c r="RR121" s="23"/>
      <c r="RS121" s="23"/>
      <c r="RT121" s="23"/>
      <c r="RU121" s="23"/>
      <c r="RV121" s="23"/>
      <c r="RW121" s="23"/>
      <c r="RX121" s="23"/>
      <c r="RY121" s="23"/>
      <c r="RZ121" s="23"/>
      <c r="SA121" s="23"/>
      <c r="SB121" s="23"/>
      <c r="SC121" s="23"/>
      <c r="SD121" s="23"/>
      <c r="SE121" s="23"/>
      <c r="SF121" s="23"/>
      <c r="SG121" s="23"/>
      <c r="SH121" s="23"/>
      <c r="SI121" s="23"/>
      <c r="SJ121" s="23"/>
      <c r="SK121" s="23"/>
      <c r="SL121" s="23"/>
      <c r="SM121" s="23"/>
      <c r="SN121" s="23"/>
      <c r="SO121" s="23"/>
      <c r="SP121" s="23"/>
      <c r="SQ121" s="23"/>
      <c r="SR121" s="23"/>
      <c r="SS121" s="23"/>
      <c r="ST121" s="23"/>
      <c r="SU121" s="23"/>
      <c r="SV121" s="23"/>
      <c r="SW121" s="23"/>
      <c r="SX121" s="23"/>
      <c r="SY121" s="23"/>
      <c r="SZ121" s="23"/>
      <c r="TA121" s="23"/>
      <c r="TB121" s="23"/>
      <c r="TC121" s="23"/>
      <c r="TD121" s="23"/>
      <c r="TE121" s="23"/>
      <c r="TF121" s="23"/>
      <c r="TG121" s="23"/>
    </row>
    <row r="122" spans="1:527" s="22" customFormat="1" ht="33" customHeight="1" x14ac:dyDescent="0.25">
      <c r="A122" s="60" t="s">
        <v>174</v>
      </c>
      <c r="B122" s="97" t="str">
        <f>'дод 8'!A71</f>
        <v>2010</v>
      </c>
      <c r="C122" s="97" t="str">
        <f>'дод 8'!B71</f>
        <v>0731</v>
      </c>
      <c r="D122" s="6" t="s">
        <v>468</v>
      </c>
      <c r="E122" s="103">
        <f t="shared" si="47"/>
        <v>34456321</v>
      </c>
      <c r="F122" s="103">
        <f>34393521+55800+234000+7000-234000</f>
        <v>34456321</v>
      </c>
      <c r="G122" s="103"/>
      <c r="H122" s="103"/>
      <c r="I122" s="117"/>
      <c r="J122" s="103">
        <f t="shared" ref="J122:J145" si="49">L122+O122</f>
        <v>38610682.82</v>
      </c>
      <c r="K122" s="103">
        <f>38610682.82-175339+175339</f>
        <v>38610682.82</v>
      </c>
      <c r="L122" s="103"/>
      <c r="M122" s="103"/>
      <c r="N122" s="103"/>
      <c r="O122" s="103">
        <f>38610682.82-175339+175339</f>
        <v>38610682.82</v>
      </c>
      <c r="P122" s="103">
        <f t="shared" si="48"/>
        <v>73067003.819999993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F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N122" s="23"/>
      <c r="MO122" s="23"/>
      <c r="MP122" s="23"/>
      <c r="MQ122" s="23"/>
      <c r="MR122" s="23"/>
      <c r="MS122" s="23"/>
      <c r="MT122" s="23"/>
      <c r="MU122" s="23"/>
      <c r="MV122" s="23"/>
      <c r="MW122" s="23"/>
      <c r="MX122" s="23"/>
      <c r="MY122" s="23"/>
      <c r="MZ122" s="23"/>
      <c r="NA122" s="23"/>
      <c r="NB122" s="23"/>
      <c r="NC122" s="23"/>
      <c r="ND122" s="23"/>
      <c r="NE122" s="23"/>
      <c r="NF122" s="23"/>
      <c r="NG122" s="23"/>
      <c r="NH122" s="23"/>
      <c r="NI122" s="23"/>
      <c r="NJ122" s="23"/>
      <c r="NK122" s="23"/>
      <c r="NL122" s="23"/>
      <c r="NM122" s="23"/>
      <c r="NN122" s="23"/>
      <c r="NO122" s="23"/>
      <c r="NP122" s="23"/>
      <c r="NQ122" s="23"/>
      <c r="NR122" s="23"/>
      <c r="NS122" s="23"/>
      <c r="NT122" s="23"/>
      <c r="NU122" s="23"/>
      <c r="NV122" s="23"/>
      <c r="NW122" s="23"/>
      <c r="NX122" s="23"/>
      <c r="NY122" s="23"/>
      <c r="NZ122" s="23"/>
      <c r="OA122" s="23"/>
      <c r="OB122" s="23"/>
      <c r="OC122" s="23"/>
      <c r="OD122" s="23"/>
      <c r="OE122" s="23"/>
      <c r="OF122" s="23"/>
      <c r="OG122" s="23"/>
      <c r="OH122" s="23"/>
      <c r="OI122" s="23"/>
      <c r="OJ122" s="23"/>
      <c r="OK122" s="23"/>
      <c r="OL122" s="23"/>
      <c r="OM122" s="23"/>
      <c r="ON122" s="23"/>
      <c r="OO122" s="23"/>
      <c r="OP122" s="23"/>
      <c r="OQ122" s="23"/>
      <c r="OR122" s="23"/>
      <c r="OS122" s="23"/>
      <c r="OT122" s="23"/>
      <c r="OU122" s="23"/>
      <c r="OV122" s="23"/>
      <c r="OW122" s="23"/>
      <c r="OX122" s="23"/>
      <c r="OY122" s="23"/>
      <c r="OZ122" s="23"/>
      <c r="PA122" s="23"/>
      <c r="PB122" s="23"/>
      <c r="PC122" s="23"/>
      <c r="PD122" s="23"/>
      <c r="PE122" s="23"/>
      <c r="PF122" s="23"/>
      <c r="PG122" s="23"/>
      <c r="PH122" s="23"/>
      <c r="PI122" s="23"/>
      <c r="PJ122" s="23"/>
      <c r="PK122" s="23"/>
      <c r="PL122" s="23"/>
      <c r="PM122" s="23"/>
      <c r="PN122" s="23"/>
      <c r="PO122" s="23"/>
      <c r="PP122" s="23"/>
      <c r="PQ122" s="23"/>
      <c r="PR122" s="23"/>
      <c r="PS122" s="23"/>
      <c r="PT122" s="23"/>
      <c r="PU122" s="23"/>
      <c r="PV122" s="23"/>
      <c r="PW122" s="23"/>
      <c r="PX122" s="23"/>
      <c r="PY122" s="23"/>
      <c r="PZ122" s="23"/>
      <c r="QA122" s="23"/>
      <c r="QB122" s="23"/>
      <c r="QC122" s="23"/>
      <c r="QD122" s="23"/>
      <c r="QE122" s="23"/>
      <c r="QF122" s="23"/>
      <c r="QG122" s="23"/>
      <c r="QH122" s="23"/>
      <c r="QI122" s="23"/>
      <c r="QJ122" s="23"/>
      <c r="QK122" s="23"/>
      <c r="QL122" s="23"/>
      <c r="QM122" s="23"/>
      <c r="QN122" s="23"/>
      <c r="QO122" s="23"/>
      <c r="QP122" s="23"/>
      <c r="QQ122" s="23"/>
      <c r="QR122" s="23"/>
      <c r="QS122" s="23"/>
      <c r="QT122" s="23"/>
      <c r="QU122" s="23"/>
      <c r="QV122" s="23"/>
      <c r="QW122" s="23"/>
      <c r="QX122" s="23"/>
      <c r="QY122" s="23"/>
      <c r="QZ122" s="23"/>
      <c r="RA122" s="23"/>
      <c r="RB122" s="23"/>
      <c r="RC122" s="23"/>
      <c r="RD122" s="23"/>
      <c r="RE122" s="23"/>
      <c r="RF122" s="23"/>
      <c r="RG122" s="23"/>
      <c r="RH122" s="23"/>
      <c r="RI122" s="23"/>
      <c r="RJ122" s="23"/>
      <c r="RK122" s="23"/>
      <c r="RL122" s="23"/>
      <c r="RM122" s="23"/>
      <c r="RN122" s="23"/>
      <c r="RO122" s="23"/>
      <c r="RP122" s="23"/>
      <c r="RQ122" s="23"/>
      <c r="RR122" s="23"/>
      <c r="RS122" s="23"/>
      <c r="RT122" s="23"/>
      <c r="RU122" s="23"/>
      <c r="RV122" s="23"/>
      <c r="RW122" s="23"/>
      <c r="RX122" s="23"/>
      <c r="RY122" s="23"/>
      <c r="RZ122" s="23"/>
      <c r="SA122" s="23"/>
      <c r="SB122" s="23"/>
      <c r="SC122" s="23"/>
      <c r="SD122" s="23"/>
      <c r="SE122" s="23"/>
      <c r="SF122" s="23"/>
      <c r="SG122" s="23"/>
      <c r="SH122" s="23"/>
      <c r="SI122" s="23"/>
      <c r="SJ122" s="23"/>
      <c r="SK122" s="23"/>
      <c r="SL122" s="23"/>
      <c r="SM122" s="23"/>
      <c r="SN122" s="23"/>
      <c r="SO122" s="23"/>
      <c r="SP122" s="23"/>
      <c r="SQ122" s="23"/>
      <c r="SR122" s="23"/>
      <c r="SS122" s="23"/>
      <c r="ST122" s="23"/>
      <c r="SU122" s="23"/>
      <c r="SV122" s="23"/>
      <c r="SW122" s="23"/>
      <c r="SX122" s="23"/>
      <c r="SY122" s="23"/>
      <c r="SZ122" s="23"/>
      <c r="TA122" s="23"/>
      <c r="TB122" s="23"/>
      <c r="TC122" s="23"/>
      <c r="TD122" s="23"/>
      <c r="TE122" s="23"/>
      <c r="TF122" s="23"/>
      <c r="TG122" s="23"/>
    </row>
    <row r="123" spans="1:527" s="24" customFormat="1" ht="30" hidden="1" customHeight="1" x14ac:dyDescent="0.25">
      <c r="A123" s="88"/>
      <c r="B123" s="115"/>
      <c r="C123" s="115"/>
      <c r="D123" s="91" t="s">
        <v>392</v>
      </c>
      <c r="E123" s="105">
        <f t="shared" si="47"/>
        <v>0</v>
      </c>
      <c r="F123" s="105"/>
      <c r="G123" s="105"/>
      <c r="H123" s="105"/>
      <c r="I123" s="118"/>
      <c r="J123" s="105">
        <f t="shared" si="49"/>
        <v>0</v>
      </c>
      <c r="K123" s="105"/>
      <c r="L123" s="105"/>
      <c r="M123" s="105"/>
      <c r="N123" s="105"/>
      <c r="O123" s="105"/>
      <c r="P123" s="105">
        <f t="shared" si="48"/>
        <v>0</v>
      </c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30"/>
      <c r="NY123" s="30"/>
      <c r="NZ123" s="30"/>
      <c r="OA123" s="30"/>
      <c r="OB123" s="30"/>
      <c r="OC123" s="30"/>
      <c r="OD123" s="30"/>
      <c r="OE123" s="30"/>
      <c r="OF123" s="30"/>
      <c r="OG123" s="30"/>
      <c r="OH123" s="30"/>
      <c r="OI123" s="30"/>
      <c r="OJ123" s="30"/>
      <c r="OK123" s="30"/>
      <c r="OL123" s="30"/>
      <c r="OM123" s="30"/>
      <c r="ON123" s="30"/>
      <c r="OO123" s="30"/>
      <c r="OP123" s="30"/>
      <c r="OQ123" s="30"/>
      <c r="OR123" s="30"/>
      <c r="OS123" s="30"/>
      <c r="OT123" s="30"/>
      <c r="OU123" s="30"/>
      <c r="OV123" s="30"/>
      <c r="OW123" s="30"/>
      <c r="OX123" s="30"/>
      <c r="OY123" s="30"/>
      <c r="OZ123" s="30"/>
      <c r="PA123" s="30"/>
      <c r="PB123" s="30"/>
      <c r="PC123" s="30"/>
      <c r="PD123" s="30"/>
      <c r="PE123" s="30"/>
      <c r="PF123" s="30"/>
      <c r="PG123" s="30"/>
      <c r="PH123" s="30"/>
      <c r="PI123" s="30"/>
      <c r="PJ123" s="30"/>
      <c r="PK123" s="30"/>
      <c r="PL123" s="30"/>
      <c r="PM123" s="30"/>
      <c r="PN123" s="30"/>
      <c r="PO123" s="30"/>
      <c r="PP123" s="30"/>
      <c r="PQ123" s="30"/>
      <c r="PR123" s="30"/>
      <c r="PS123" s="30"/>
      <c r="PT123" s="30"/>
      <c r="PU123" s="30"/>
      <c r="PV123" s="30"/>
      <c r="PW123" s="30"/>
      <c r="PX123" s="30"/>
      <c r="PY123" s="30"/>
      <c r="PZ123" s="30"/>
      <c r="QA123" s="30"/>
      <c r="QB123" s="30"/>
      <c r="QC123" s="30"/>
      <c r="QD123" s="30"/>
      <c r="QE123" s="30"/>
      <c r="QF123" s="30"/>
      <c r="QG123" s="30"/>
      <c r="QH123" s="30"/>
      <c r="QI123" s="30"/>
      <c r="QJ123" s="30"/>
      <c r="QK123" s="30"/>
      <c r="QL123" s="30"/>
      <c r="QM123" s="30"/>
      <c r="QN123" s="30"/>
      <c r="QO123" s="30"/>
      <c r="QP123" s="30"/>
      <c r="QQ123" s="30"/>
      <c r="QR123" s="30"/>
      <c r="QS123" s="30"/>
      <c r="QT123" s="30"/>
      <c r="QU123" s="30"/>
      <c r="QV123" s="30"/>
      <c r="QW123" s="30"/>
      <c r="QX123" s="30"/>
      <c r="QY123" s="30"/>
      <c r="QZ123" s="30"/>
      <c r="RA123" s="30"/>
      <c r="RB123" s="30"/>
      <c r="RC123" s="30"/>
      <c r="RD123" s="30"/>
      <c r="RE123" s="30"/>
      <c r="RF123" s="30"/>
      <c r="RG123" s="30"/>
      <c r="RH123" s="30"/>
      <c r="RI123" s="30"/>
      <c r="RJ123" s="30"/>
      <c r="RK123" s="30"/>
      <c r="RL123" s="30"/>
      <c r="RM123" s="30"/>
      <c r="RN123" s="30"/>
      <c r="RO123" s="30"/>
      <c r="RP123" s="30"/>
      <c r="RQ123" s="30"/>
      <c r="RR123" s="30"/>
      <c r="RS123" s="30"/>
      <c r="RT123" s="30"/>
      <c r="RU123" s="30"/>
      <c r="RV123" s="30"/>
      <c r="RW123" s="30"/>
      <c r="RX123" s="30"/>
      <c r="RY123" s="30"/>
      <c r="RZ123" s="30"/>
      <c r="SA123" s="30"/>
      <c r="SB123" s="30"/>
      <c r="SC123" s="30"/>
      <c r="SD123" s="30"/>
      <c r="SE123" s="30"/>
      <c r="SF123" s="30"/>
      <c r="SG123" s="30"/>
      <c r="SH123" s="30"/>
      <c r="SI123" s="30"/>
      <c r="SJ123" s="30"/>
      <c r="SK123" s="30"/>
      <c r="SL123" s="30"/>
      <c r="SM123" s="30"/>
      <c r="SN123" s="30"/>
      <c r="SO123" s="30"/>
      <c r="SP123" s="30"/>
      <c r="SQ123" s="30"/>
      <c r="SR123" s="30"/>
      <c r="SS123" s="30"/>
      <c r="ST123" s="30"/>
      <c r="SU123" s="30"/>
      <c r="SV123" s="30"/>
      <c r="SW123" s="30"/>
      <c r="SX123" s="30"/>
      <c r="SY123" s="30"/>
      <c r="SZ123" s="30"/>
      <c r="TA123" s="30"/>
      <c r="TB123" s="30"/>
      <c r="TC123" s="30"/>
      <c r="TD123" s="30"/>
      <c r="TE123" s="30"/>
      <c r="TF123" s="30"/>
      <c r="TG123" s="30"/>
    </row>
    <row r="124" spans="1:527" s="24" customFormat="1" ht="45" hidden="1" customHeight="1" x14ac:dyDescent="0.25">
      <c r="A124" s="88"/>
      <c r="B124" s="115"/>
      <c r="C124" s="115"/>
      <c r="D124" s="91" t="s">
        <v>393</v>
      </c>
      <c r="E124" s="105">
        <f t="shared" si="47"/>
        <v>0</v>
      </c>
      <c r="F124" s="105"/>
      <c r="G124" s="105"/>
      <c r="H124" s="105"/>
      <c r="I124" s="105"/>
      <c r="J124" s="105">
        <f t="shared" si="49"/>
        <v>0</v>
      </c>
      <c r="K124" s="105"/>
      <c r="L124" s="105"/>
      <c r="M124" s="105"/>
      <c r="N124" s="105"/>
      <c r="O124" s="105"/>
      <c r="P124" s="105">
        <f t="shared" si="48"/>
        <v>0</v>
      </c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  <c r="TF124" s="30"/>
      <c r="TG124" s="30"/>
    </row>
    <row r="125" spans="1:527" s="24" customFormat="1" ht="15" hidden="1" customHeight="1" x14ac:dyDescent="0.25">
      <c r="A125" s="88"/>
      <c r="B125" s="115"/>
      <c r="C125" s="115"/>
      <c r="D125" s="91" t="s">
        <v>395</v>
      </c>
      <c r="E125" s="105">
        <f t="shared" si="47"/>
        <v>0</v>
      </c>
      <c r="F125" s="105"/>
      <c r="G125" s="105"/>
      <c r="H125" s="105"/>
      <c r="I125" s="118"/>
      <c r="J125" s="105">
        <f t="shared" si="49"/>
        <v>0</v>
      </c>
      <c r="K125" s="105"/>
      <c r="L125" s="105"/>
      <c r="M125" s="105"/>
      <c r="N125" s="105"/>
      <c r="O125" s="105"/>
      <c r="P125" s="105">
        <f t="shared" si="48"/>
        <v>0</v>
      </c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  <c r="TF125" s="30"/>
      <c r="TG125" s="30"/>
    </row>
    <row r="126" spans="1:527" s="22" customFormat="1" ht="30" hidden="1" customHeight="1" x14ac:dyDescent="0.25">
      <c r="A126" s="60" t="s">
        <v>451</v>
      </c>
      <c r="B126" s="97">
        <v>2020</v>
      </c>
      <c r="C126" s="60" t="s">
        <v>452</v>
      </c>
      <c r="D126" s="61" t="str">
        <f>'дод 8'!C75</f>
        <v xml:space="preserve"> Спеціалізована стаціонарна медична допомога населенню</v>
      </c>
      <c r="E126" s="103">
        <f t="shared" si="47"/>
        <v>0</v>
      </c>
      <c r="F126" s="103"/>
      <c r="G126" s="117"/>
      <c r="H126" s="117"/>
      <c r="I126" s="117"/>
      <c r="J126" s="103">
        <f t="shared" si="49"/>
        <v>0</v>
      </c>
      <c r="K126" s="103"/>
      <c r="L126" s="103"/>
      <c r="M126" s="103"/>
      <c r="N126" s="103"/>
      <c r="O126" s="103"/>
      <c r="P126" s="103">
        <f t="shared" si="48"/>
        <v>0</v>
      </c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  <c r="IU126" s="23"/>
      <c r="IV126" s="23"/>
      <c r="IW126" s="23"/>
      <c r="IX126" s="23"/>
      <c r="IY126" s="23"/>
      <c r="IZ126" s="23"/>
      <c r="JA126" s="23"/>
      <c r="JB126" s="23"/>
      <c r="JC126" s="23"/>
      <c r="JD126" s="23"/>
      <c r="JE126" s="23"/>
      <c r="JF126" s="23"/>
      <c r="JG126" s="23"/>
      <c r="JH126" s="23"/>
      <c r="JI126" s="23"/>
      <c r="JJ126" s="23"/>
      <c r="JK126" s="23"/>
      <c r="JL126" s="23"/>
      <c r="JM126" s="23"/>
      <c r="JN126" s="23"/>
      <c r="JO126" s="23"/>
      <c r="JP126" s="23"/>
      <c r="JQ126" s="23"/>
      <c r="JR126" s="23"/>
      <c r="JS126" s="23"/>
      <c r="JT126" s="23"/>
      <c r="JU126" s="23"/>
      <c r="JV126" s="23"/>
      <c r="JW126" s="23"/>
      <c r="JX126" s="23"/>
      <c r="JY126" s="23"/>
      <c r="JZ126" s="23"/>
      <c r="KA126" s="23"/>
      <c r="KB126" s="23"/>
      <c r="KC126" s="23"/>
      <c r="KD126" s="23"/>
      <c r="KE126" s="23"/>
      <c r="KF126" s="23"/>
      <c r="KG126" s="23"/>
      <c r="KH126" s="23"/>
      <c r="KI126" s="23"/>
      <c r="KJ126" s="23"/>
      <c r="KK126" s="23"/>
      <c r="KL126" s="23"/>
      <c r="KM126" s="23"/>
      <c r="KN126" s="23"/>
      <c r="KO126" s="23"/>
      <c r="KP126" s="23"/>
      <c r="KQ126" s="23"/>
      <c r="KR126" s="23"/>
      <c r="KS126" s="23"/>
      <c r="KT126" s="23"/>
      <c r="KU126" s="23"/>
      <c r="KV126" s="23"/>
      <c r="KW126" s="23"/>
      <c r="KX126" s="23"/>
      <c r="KY126" s="23"/>
      <c r="KZ126" s="23"/>
      <c r="LA126" s="23"/>
      <c r="LB126" s="23"/>
      <c r="LC126" s="23"/>
      <c r="LD126" s="23"/>
      <c r="LE126" s="23"/>
      <c r="LF126" s="23"/>
      <c r="LG126" s="23"/>
      <c r="LH126" s="23"/>
      <c r="LI126" s="23"/>
      <c r="LJ126" s="23"/>
      <c r="LK126" s="23"/>
      <c r="LL126" s="23"/>
      <c r="LM126" s="23"/>
      <c r="LN126" s="23"/>
      <c r="LO126" s="23"/>
      <c r="LP126" s="23"/>
      <c r="LQ126" s="23"/>
      <c r="LR126" s="23"/>
      <c r="LS126" s="23"/>
      <c r="LT126" s="23"/>
      <c r="LU126" s="23"/>
      <c r="LV126" s="23"/>
      <c r="LW126" s="23"/>
      <c r="LX126" s="23"/>
      <c r="LY126" s="23"/>
      <c r="LZ126" s="23"/>
      <c r="MA126" s="23"/>
      <c r="MB126" s="23"/>
      <c r="MC126" s="23"/>
      <c r="MD126" s="23"/>
      <c r="ME126" s="23"/>
      <c r="MF126" s="23"/>
      <c r="MG126" s="23"/>
      <c r="MH126" s="23"/>
      <c r="MI126" s="23"/>
      <c r="MJ126" s="23"/>
      <c r="MK126" s="23"/>
      <c r="ML126" s="23"/>
      <c r="MM126" s="23"/>
      <c r="MN126" s="23"/>
      <c r="MO126" s="23"/>
      <c r="MP126" s="23"/>
      <c r="MQ126" s="23"/>
      <c r="MR126" s="23"/>
      <c r="MS126" s="23"/>
      <c r="MT126" s="23"/>
      <c r="MU126" s="23"/>
      <c r="MV126" s="23"/>
      <c r="MW126" s="23"/>
      <c r="MX126" s="23"/>
      <c r="MY126" s="23"/>
      <c r="MZ126" s="23"/>
      <c r="NA126" s="23"/>
      <c r="NB126" s="23"/>
      <c r="NC126" s="23"/>
      <c r="ND126" s="23"/>
      <c r="NE126" s="23"/>
      <c r="NF126" s="23"/>
      <c r="NG126" s="23"/>
      <c r="NH126" s="23"/>
      <c r="NI126" s="23"/>
      <c r="NJ126" s="23"/>
      <c r="NK126" s="23"/>
      <c r="NL126" s="23"/>
      <c r="NM126" s="23"/>
      <c r="NN126" s="23"/>
      <c r="NO126" s="23"/>
      <c r="NP126" s="23"/>
      <c r="NQ126" s="23"/>
      <c r="NR126" s="23"/>
      <c r="NS126" s="23"/>
      <c r="NT126" s="23"/>
      <c r="NU126" s="23"/>
      <c r="NV126" s="23"/>
      <c r="NW126" s="23"/>
      <c r="NX126" s="23"/>
      <c r="NY126" s="23"/>
      <c r="NZ126" s="23"/>
      <c r="OA126" s="23"/>
      <c r="OB126" s="23"/>
      <c r="OC126" s="23"/>
      <c r="OD126" s="23"/>
      <c r="OE126" s="23"/>
      <c r="OF126" s="23"/>
      <c r="OG126" s="23"/>
      <c r="OH126" s="23"/>
      <c r="OI126" s="23"/>
      <c r="OJ126" s="23"/>
      <c r="OK126" s="23"/>
      <c r="OL126" s="23"/>
      <c r="OM126" s="23"/>
      <c r="ON126" s="23"/>
      <c r="OO126" s="23"/>
      <c r="OP126" s="23"/>
      <c r="OQ126" s="23"/>
      <c r="OR126" s="23"/>
      <c r="OS126" s="23"/>
      <c r="OT126" s="23"/>
      <c r="OU126" s="23"/>
      <c r="OV126" s="23"/>
      <c r="OW126" s="23"/>
      <c r="OX126" s="23"/>
      <c r="OY126" s="23"/>
      <c r="OZ126" s="23"/>
      <c r="PA126" s="23"/>
      <c r="PB126" s="23"/>
      <c r="PC126" s="23"/>
      <c r="PD126" s="23"/>
      <c r="PE126" s="23"/>
      <c r="PF126" s="23"/>
      <c r="PG126" s="23"/>
      <c r="PH126" s="23"/>
      <c r="PI126" s="23"/>
      <c r="PJ126" s="23"/>
      <c r="PK126" s="23"/>
      <c r="PL126" s="23"/>
      <c r="PM126" s="23"/>
      <c r="PN126" s="23"/>
      <c r="PO126" s="23"/>
      <c r="PP126" s="23"/>
      <c r="PQ126" s="23"/>
      <c r="PR126" s="23"/>
      <c r="PS126" s="23"/>
      <c r="PT126" s="23"/>
      <c r="PU126" s="23"/>
      <c r="PV126" s="23"/>
      <c r="PW126" s="23"/>
      <c r="PX126" s="23"/>
      <c r="PY126" s="23"/>
      <c r="PZ126" s="23"/>
      <c r="QA126" s="23"/>
      <c r="QB126" s="23"/>
      <c r="QC126" s="23"/>
      <c r="QD126" s="23"/>
      <c r="QE126" s="23"/>
      <c r="QF126" s="23"/>
      <c r="QG126" s="23"/>
      <c r="QH126" s="23"/>
      <c r="QI126" s="23"/>
      <c r="QJ126" s="23"/>
      <c r="QK126" s="23"/>
      <c r="QL126" s="23"/>
      <c r="QM126" s="23"/>
      <c r="QN126" s="23"/>
      <c r="QO126" s="23"/>
      <c r="QP126" s="23"/>
      <c r="QQ126" s="23"/>
      <c r="QR126" s="23"/>
      <c r="QS126" s="23"/>
      <c r="QT126" s="23"/>
      <c r="QU126" s="23"/>
      <c r="QV126" s="23"/>
      <c r="QW126" s="23"/>
      <c r="QX126" s="23"/>
      <c r="QY126" s="23"/>
      <c r="QZ126" s="23"/>
      <c r="RA126" s="23"/>
      <c r="RB126" s="23"/>
      <c r="RC126" s="23"/>
      <c r="RD126" s="23"/>
      <c r="RE126" s="23"/>
      <c r="RF126" s="23"/>
      <c r="RG126" s="23"/>
      <c r="RH126" s="23"/>
      <c r="RI126" s="23"/>
      <c r="RJ126" s="23"/>
      <c r="RK126" s="23"/>
      <c r="RL126" s="23"/>
      <c r="RM126" s="23"/>
      <c r="RN126" s="23"/>
      <c r="RO126" s="23"/>
      <c r="RP126" s="23"/>
      <c r="RQ126" s="23"/>
      <c r="RR126" s="23"/>
      <c r="RS126" s="23"/>
      <c r="RT126" s="23"/>
      <c r="RU126" s="23"/>
      <c r="RV126" s="23"/>
      <c r="RW126" s="23"/>
      <c r="RX126" s="23"/>
      <c r="RY126" s="23"/>
      <c r="RZ126" s="23"/>
      <c r="SA126" s="23"/>
      <c r="SB126" s="23"/>
      <c r="SC126" s="23"/>
      <c r="SD126" s="23"/>
      <c r="SE126" s="23"/>
      <c r="SF126" s="23"/>
      <c r="SG126" s="23"/>
      <c r="SH126" s="23"/>
      <c r="SI126" s="23"/>
      <c r="SJ126" s="23"/>
      <c r="SK126" s="23"/>
      <c r="SL126" s="23"/>
      <c r="SM126" s="23"/>
      <c r="SN126" s="23"/>
      <c r="SO126" s="23"/>
      <c r="SP126" s="23"/>
      <c r="SQ126" s="23"/>
      <c r="SR126" s="23"/>
      <c r="SS126" s="23"/>
      <c r="ST126" s="23"/>
      <c r="SU126" s="23"/>
      <c r="SV126" s="23"/>
      <c r="SW126" s="23"/>
      <c r="SX126" s="23"/>
      <c r="SY126" s="23"/>
      <c r="SZ126" s="23"/>
      <c r="TA126" s="23"/>
      <c r="TB126" s="23"/>
      <c r="TC126" s="23"/>
      <c r="TD126" s="23"/>
      <c r="TE126" s="23"/>
      <c r="TF126" s="23"/>
      <c r="TG126" s="23"/>
    </row>
    <row r="127" spans="1:527" s="22" customFormat="1" ht="36.75" customHeight="1" x14ac:dyDescent="0.25">
      <c r="A127" s="60" t="s">
        <v>179</v>
      </c>
      <c r="B127" s="97" t="str">
        <f>'дод 8'!A76</f>
        <v>2030</v>
      </c>
      <c r="C127" s="97" t="str">
        <f>'дод 8'!B76</f>
        <v>0733</v>
      </c>
      <c r="D127" s="61" t="s">
        <v>469</v>
      </c>
      <c r="E127" s="103">
        <f t="shared" si="47"/>
        <v>3317600</v>
      </c>
      <c r="F127" s="103">
        <v>3317600</v>
      </c>
      <c r="G127" s="119"/>
      <c r="H127" s="119"/>
      <c r="I127" s="117"/>
      <c r="J127" s="103">
        <f t="shared" si="49"/>
        <v>5100000</v>
      </c>
      <c r="K127" s="103">
        <v>5100000</v>
      </c>
      <c r="L127" s="103"/>
      <c r="M127" s="103"/>
      <c r="N127" s="103"/>
      <c r="O127" s="103">
        <v>5100000</v>
      </c>
      <c r="P127" s="103">
        <f t="shared" si="48"/>
        <v>8417600</v>
      </c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  <c r="IW127" s="23"/>
      <c r="IX127" s="23"/>
      <c r="IY127" s="23"/>
      <c r="IZ127" s="23"/>
      <c r="JA127" s="23"/>
      <c r="JB127" s="23"/>
      <c r="JC127" s="23"/>
      <c r="JD127" s="23"/>
      <c r="JE127" s="23"/>
      <c r="JF127" s="23"/>
      <c r="JG127" s="23"/>
      <c r="JH127" s="23"/>
      <c r="JI127" s="23"/>
      <c r="JJ127" s="23"/>
      <c r="JK127" s="23"/>
      <c r="JL127" s="23"/>
      <c r="JM127" s="23"/>
      <c r="JN127" s="23"/>
      <c r="JO127" s="23"/>
      <c r="JP127" s="23"/>
      <c r="JQ127" s="23"/>
      <c r="JR127" s="23"/>
      <c r="JS127" s="23"/>
      <c r="JT127" s="23"/>
      <c r="JU127" s="23"/>
      <c r="JV127" s="23"/>
      <c r="JW127" s="23"/>
      <c r="JX127" s="23"/>
      <c r="JY127" s="23"/>
      <c r="JZ127" s="23"/>
      <c r="KA127" s="23"/>
      <c r="KB127" s="23"/>
      <c r="KC127" s="23"/>
      <c r="KD127" s="23"/>
      <c r="KE127" s="23"/>
      <c r="KF127" s="23"/>
      <c r="KG127" s="23"/>
      <c r="KH127" s="23"/>
      <c r="KI127" s="23"/>
      <c r="KJ127" s="23"/>
      <c r="KK127" s="23"/>
      <c r="KL127" s="23"/>
      <c r="KM127" s="23"/>
      <c r="KN127" s="23"/>
      <c r="KO127" s="23"/>
      <c r="KP127" s="23"/>
      <c r="KQ127" s="23"/>
      <c r="KR127" s="23"/>
      <c r="KS127" s="23"/>
      <c r="KT127" s="23"/>
      <c r="KU127" s="23"/>
      <c r="KV127" s="23"/>
      <c r="KW127" s="23"/>
      <c r="KX127" s="23"/>
      <c r="KY127" s="23"/>
      <c r="KZ127" s="23"/>
      <c r="LA127" s="23"/>
      <c r="LB127" s="23"/>
      <c r="LC127" s="23"/>
      <c r="LD127" s="23"/>
      <c r="LE127" s="23"/>
      <c r="LF127" s="23"/>
      <c r="LG127" s="23"/>
      <c r="LH127" s="23"/>
      <c r="LI127" s="23"/>
      <c r="LJ127" s="23"/>
      <c r="LK127" s="23"/>
      <c r="LL127" s="23"/>
      <c r="LM127" s="23"/>
      <c r="LN127" s="23"/>
      <c r="LO127" s="23"/>
      <c r="LP127" s="23"/>
      <c r="LQ127" s="23"/>
      <c r="LR127" s="23"/>
      <c r="LS127" s="23"/>
      <c r="LT127" s="23"/>
      <c r="LU127" s="23"/>
      <c r="LV127" s="23"/>
      <c r="LW127" s="23"/>
      <c r="LX127" s="23"/>
      <c r="LY127" s="23"/>
      <c r="LZ127" s="23"/>
      <c r="MA127" s="23"/>
      <c r="MB127" s="23"/>
      <c r="MC127" s="23"/>
      <c r="MD127" s="23"/>
      <c r="ME127" s="23"/>
      <c r="MF127" s="23"/>
      <c r="MG127" s="23"/>
      <c r="MH127" s="23"/>
      <c r="MI127" s="23"/>
      <c r="MJ127" s="23"/>
      <c r="MK127" s="23"/>
      <c r="ML127" s="23"/>
      <c r="MM127" s="23"/>
      <c r="MN127" s="23"/>
      <c r="MO127" s="23"/>
      <c r="MP127" s="23"/>
      <c r="MQ127" s="23"/>
      <c r="MR127" s="23"/>
      <c r="MS127" s="23"/>
      <c r="MT127" s="23"/>
      <c r="MU127" s="23"/>
      <c r="MV127" s="23"/>
      <c r="MW127" s="23"/>
      <c r="MX127" s="23"/>
      <c r="MY127" s="23"/>
      <c r="MZ127" s="23"/>
      <c r="NA127" s="23"/>
      <c r="NB127" s="23"/>
      <c r="NC127" s="23"/>
      <c r="ND127" s="23"/>
      <c r="NE127" s="23"/>
      <c r="NF127" s="23"/>
      <c r="NG127" s="23"/>
      <c r="NH127" s="23"/>
      <c r="NI127" s="23"/>
      <c r="NJ127" s="23"/>
      <c r="NK127" s="23"/>
      <c r="NL127" s="23"/>
      <c r="NM127" s="23"/>
      <c r="NN127" s="23"/>
      <c r="NO127" s="23"/>
      <c r="NP127" s="23"/>
      <c r="NQ127" s="23"/>
      <c r="NR127" s="23"/>
      <c r="NS127" s="23"/>
      <c r="NT127" s="23"/>
      <c r="NU127" s="23"/>
      <c r="NV127" s="23"/>
      <c r="NW127" s="23"/>
      <c r="NX127" s="23"/>
      <c r="NY127" s="23"/>
      <c r="NZ127" s="23"/>
      <c r="OA127" s="23"/>
      <c r="OB127" s="23"/>
      <c r="OC127" s="23"/>
      <c r="OD127" s="23"/>
      <c r="OE127" s="23"/>
      <c r="OF127" s="23"/>
      <c r="OG127" s="23"/>
      <c r="OH127" s="23"/>
      <c r="OI127" s="23"/>
      <c r="OJ127" s="23"/>
      <c r="OK127" s="23"/>
      <c r="OL127" s="23"/>
      <c r="OM127" s="23"/>
      <c r="ON127" s="23"/>
      <c r="OO127" s="23"/>
      <c r="OP127" s="23"/>
      <c r="OQ127" s="23"/>
      <c r="OR127" s="23"/>
      <c r="OS127" s="23"/>
      <c r="OT127" s="23"/>
      <c r="OU127" s="23"/>
      <c r="OV127" s="23"/>
      <c r="OW127" s="23"/>
      <c r="OX127" s="23"/>
      <c r="OY127" s="23"/>
      <c r="OZ127" s="23"/>
      <c r="PA127" s="23"/>
      <c r="PB127" s="23"/>
      <c r="PC127" s="23"/>
      <c r="PD127" s="23"/>
      <c r="PE127" s="23"/>
      <c r="PF127" s="23"/>
      <c r="PG127" s="23"/>
      <c r="PH127" s="23"/>
      <c r="PI127" s="23"/>
      <c r="PJ127" s="23"/>
      <c r="PK127" s="23"/>
      <c r="PL127" s="23"/>
      <c r="PM127" s="23"/>
      <c r="PN127" s="23"/>
      <c r="PO127" s="23"/>
      <c r="PP127" s="23"/>
      <c r="PQ127" s="23"/>
      <c r="PR127" s="23"/>
      <c r="PS127" s="23"/>
      <c r="PT127" s="23"/>
      <c r="PU127" s="23"/>
      <c r="PV127" s="23"/>
      <c r="PW127" s="23"/>
      <c r="PX127" s="23"/>
      <c r="PY127" s="23"/>
      <c r="PZ127" s="23"/>
      <c r="QA127" s="23"/>
      <c r="QB127" s="23"/>
      <c r="QC127" s="23"/>
      <c r="QD127" s="23"/>
      <c r="QE127" s="23"/>
      <c r="QF127" s="23"/>
      <c r="QG127" s="23"/>
      <c r="QH127" s="23"/>
      <c r="QI127" s="23"/>
      <c r="QJ127" s="23"/>
      <c r="QK127" s="23"/>
      <c r="QL127" s="23"/>
      <c r="QM127" s="23"/>
      <c r="QN127" s="23"/>
      <c r="QO127" s="23"/>
      <c r="QP127" s="23"/>
      <c r="QQ127" s="23"/>
      <c r="QR127" s="23"/>
      <c r="QS127" s="23"/>
      <c r="QT127" s="23"/>
      <c r="QU127" s="23"/>
      <c r="QV127" s="23"/>
      <c r="QW127" s="23"/>
      <c r="QX127" s="23"/>
      <c r="QY127" s="23"/>
      <c r="QZ127" s="23"/>
      <c r="RA127" s="23"/>
      <c r="RB127" s="23"/>
      <c r="RC127" s="23"/>
      <c r="RD127" s="23"/>
      <c r="RE127" s="23"/>
      <c r="RF127" s="23"/>
      <c r="RG127" s="23"/>
      <c r="RH127" s="23"/>
      <c r="RI127" s="23"/>
      <c r="RJ127" s="23"/>
      <c r="RK127" s="23"/>
      <c r="RL127" s="23"/>
      <c r="RM127" s="23"/>
      <c r="RN127" s="23"/>
      <c r="RO127" s="23"/>
      <c r="RP127" s="23"/>
      <c r="RQ127" s="23"/>
      <c r="RR127" s="23"/>
      <c r="RS127" s="23"/>
      <c r="RT127" s="23"/>
      <c r="RU127" s="23"/>
      <c r="RV127" s="23"/>
      <c r="RW127" s="23"/>
      <c r="RX127" s="23"/>
      <c r="RY127" s="23"/>
      <c r="RZ127" s="23"/>
      <c r="SA127" s="23"/>
      <c r="SB127" s="23"/>
      <c r="SC127" s="23"/>
      <c r="SD127" s="23"/>
      <c r="SE127" s="23"/>
      <c r="SF127" s="23"/>
      <c r="SG127" s="23"/>
      <c r="SH127" s="23"/>
      <c r="SI127" s="23"/>
      <c r="SJ127" s="23"/>
      <c r="SK127" s="23"/>
      <c r="SL127" s="23"/>
      <c r="SM127" s="23"/>
      <c r="SN127" s="23"/>
      <c r="SO127" s="23"/>
      <c r="SP127" s="23"/>
      <c r="SQ127" s="23"/>
      <c r="SR127" s="23"/>
      <c r="SS127" s="23"/>
      <c r="ST127" s="23"/>
      <c r="SU127" s="23"/>
      <c r="SV127" s="23"/>
      <c r="SW127" s="23"/>
      <c r="SX127" s="23"/>
      <c r="SY127" s="23"/>
      <c r="SZ127" s="23"/>
      <c r="TA127" s="23"/>
      <c r="TB127" s="23"/>
      <c r="TC127" s="23"/>
      <c r="TD127" s="23"/>
      <c r="TE127" s="23"/>
      <c r="TF127" s="23"/>
      <c r="TG127" s="23"/>
    </row>
    <row r="128" spans="1:527" s="24" customFormat="1" ht="30" hidden="1" customHeight="1" x14ac:dyDescent="0.25">
      <c r="A128" s="88"/>
      <c r="B128" s="115"/>
      <c r="C128" s="115"/>
      <c r="D128" s="91" t="s">
        <v>392</v>
      </c>
      <c r="E128" s="105">
        <f t="shared" si="47"/>
        <v>0</v>
      </c>
      <c r="F128" s="105"/>
      <c r="G128" s="118"/>
      <c r="H128" s="118"/>
      <c r="I128" s="118"/>
      <c r="J128" s="105"/>
      <c r="K128" s="105"/>
      <c r="L128" s="105"/>
      <c r="M128" s="105"/>
      <c r="N128" s="105"/>
      <c r="O128" s="105"/>
      <c r="P128" s="105">
        <f t="shared" si="48"/>
        <v>0</v>
      </c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0"/>
      <c r="KG128" s="30"/>
      <c r="KH128" s="30"/>
      <c r="KI128" s="30"/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30"/>
      <c r="KU128" s="30"/>
      <c r="KV128" s="30"/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  <c r="LU128" s="30"/>
      <c r="LV128" s="30"/>
      <c r="LW128" s="30"/>
      <c r="LX128" s="30"/>
      <c r="LY128" s="30"/>
      <c r="LZ128" s="30"/>
      <c r="MA128" s="30"/>
      <c r="MB128" s="30"/>
      <c r="MC128" s="30"/>
      <c r="MD128" s="30"/>
      <c r="ME128" s="30"/>
      <c r="MF128" s="30"/>
      <c r="MG128" s="30"/>
      <c r="MH128" s="30"/>
      <c r="MI128" s="30"/>
      <c r="MJ128" s="30"/>
      <c r="MK128" s="30"/>
      <c r="ML128" s="30"/>
      <c r="MM128" s="30"/>
      <c r="MN128" s="30"/>
      <c r="MO128" s="30"/>
      <c r="MP128" s="30"/>
      <c r="MQ128" s="30"/>
      <c r="MR128" s="30"/>
      <c r="MS128" s="30"/>
      <c r="MT128" s="30"/>
      <c r="MU128" s="30"/>
      <c r="MV128" s="30"/>
      <c r="MW128" s="30"/>
      <c r="MX128" s="30"/>
      <c r="MY128" s="30"/>
      <c r="MZ128" s="30"/>
      <c r="NA128" s="30"/>
      <c r="NB128" s="30"/>
      <c r="NC128" s="30"/>
      <c r="ND128" s="30"/>
      <c r="NE128" s="30"/>
      <c r="NF128" s="30"/>
      <c r="NG128" s="30"/>
      <c r="NH128" s="30"/>
      <c r="NI128" s="30"/>
      <c r="NJ128" s="30"/>
      <c r="NK128" s="30"/>
      <c r="NL128" s="30"/>
      <c r="NM128" s="30"/>
      <c r="NN128" s="30"/>
      <c r="NO128" s="30"/>
      <c r="NP128" s="30"/>
      <c r="NQ128" s="30"/>
      <c r="NR128" s="30"/>
      <c r="NS128" s="30"/>
      <c r="NT128" s="30"/>
      <c r="NU128" s="30"/>
      <c r="NV128" s="30"/>
      <c r="NW128" s="30"/>
      <c r="NX128" s="30"/>
      <c r="NY128" s="30"/>
      <c r="NZ128" s="30"/>
      <c r="OA128" s="30"/>
      <c r="OB128" s="30"/>
      <c r="OC128" s="30"/>
      <c r="OD128" s="30"/>
      <c r="OE128" s="30"/>
      <c r="OF128" s="30"/>
      <c r="OG128" s="30"/>
      <c r="OH128" s="30"/>
      <c r="OI128" s="30"/>
      <c r="OJ128" s="30"/>
      <c r="OK128" s="30"/>
      <c r="OL128" s="30"/>
      <c r="OM128" s="30"/>
      <c r="ON128" s="30"/>
      <c r="OO128" s="30"/>
      <c r="OP128" s="30"/>
      <c r="OQ128" s="30"/>
      <c r="OR128" s="30"/>
      <c r="OS128" s="30"/>
      <c r="OT128" s="30"/>
      <c r="OU128" s="30"/>
      <c r="OV128" s="30"/>
      <c r="OW128" s="30"/>
      <c r="OX128" s="30"/>
      <c r="OY128" s="30"/>
      <c r="OZ128" s="30"/>
      <c r="PA128" s="30"/>
      <c r="PB128" s="30"/>
      <c r="PC128" s="30"/>
      <c r="PD128" s="30"/>
      <c r="PE128" s="30"/>
      <c r="PF128" s="30"/>
      <c r="PG128" s="30"/>
      <c r="PH128" s="30"/>
      <c r="PI128" s="30"/>
      <c r="PJ128" s="30"/>
      <c r="PK128" s="30"/>
      <c r="PL128" s="30"/>
      <c r="PM128" s="30"/>
      <c r="PN128" s="30"/>
      <c r="PO128" s="30"/>
      <c r="PP128" s="30"/>
      <c r="PQ128" s="30"/>
      <c r="PR128" s="30"/>
      <c r="PS128" s="30"/>
      <c r="PT128" s="30"/>
      <c r="PU128" s="30"/>
      <c r="PV128" s="30"/>
      <c r="PW128" s="30"/>
      <c r="PX128" s="30"/>
      <c r="PY128" s="30"/>
      <c r="PZ128" s="30"/>
      <c r="QA128" s="30"/>
      <c r="QB128" s="30"/>
      <c r="QC128" s="30"/>
      <c r="QD128" s="30"/>
      <c r="QE128" s="30"/>
      <c r="QF128" s="30"/>
      <c r="QG128" s="30"/>
      <c r="QH128" s="30"/>
      <c r="QI128" s="30"/>
      <c r="QJ128" s="30"/>
      <c r="QK128" s="30"/>
      <c r="QL128" s="30"/>
      <c r="QM128" s="30"/>
      <c r="QN128" s="30"/>
      <c r="QO128" s="30"/>
      <c r="QP128" s="30"/>
      <c r="QQ128" s="30"/>
      <c r="QR128" s="30"/>
      <c r="QS128" s="30"/>
      <c r="QT128" s="30"/>
      <c r="QU128" s="30"/>
      <c r="QV128" s="30"/>
      <c r="QW128" s="30"/>
      <c r="QX128" s="30"/>
      <c r="QY128" s="30"/>
      <c r="QZ128" s="30"/>
      <c r="RA128" s="30"/>
      <c r="RB128" s="30"/>
      <c r="RC128" s="30"/>
      <c r="RD128" s="30"/>
      <c r="RE128" s="30"/>
      <c r="RF128" s="30"/>
      <c r="RG128" s="30"/>
      <c r="RH128" s="30"/>
      <c r="RI128" s="30"/>
      <c r="RJ128" s="30"/>
      <c r="RK128" s="30"/>
      <c r="RL128" s="30"/>
      <c r="RM128" s="30"/>
      <c r="RN128" s="30"/>
      <c r="RO128" s="30"/>
      <c r="RP128" s="30"/>
      <c r="RQ128" s="30"/>
      <c r="RR128" s="30"/>
      <c r="RS128" s="30"/>
      <c r="RT128" s="30"/>
      <c r="RU128" s="30"/>
      <c r="RV128" s="30"/>
      <c r="RW128" s="30"/>
      <c r="RX128" s="30"/>
      <c r="RY128" s="30"/>
      <c r="RZ128" s="30"/>
      <c r="SA128" s="30"/>
      <c r="SB128" s="30"/>
      <c r="SC128" s="30"/>
      <c r="SD128" s="30"/>
      <c r="SE128" s="30"/>
      <c r="SF128" s="30"/>
      <c r="SG128" s="30"/>
      <c r="SH128" s="30"/>
      <c r="SI128" s="30"/>
      <c r="SJ128" s="30"/>
      <c r="SK128" s="30"/>
      <c r="SL128" s="30"/>
      <c r="SM128" s="30"/>
      <c r="SN128" s="30"/>
      <c r="SO128" s="30"/>
      <c r="SP128" s="30"/>
      <c r="SQ128" s="30"/>
      <c r="SR128" s="30"/>
      <c r="SS128" s="30"/>
      <c r="ST128" s="30"/>
      <c r="SU128" s="30"/>
      <c r="SV128" s="30"/>
      <c r="SW128" s="30"/>
      <c r="SX128" s="30"/>
      <c r="SY128" s="30"/>
      <c r="SZ128" s="30"/>
      <c r="TA128" s="30"/>
      <c r="TB128" s="30"/>
      <c r="TC128" s="30"/>
      <c r="TD128" s="30"/>
      <c r="TE128" s="30"/>
      <c r="TF128" s="30"/>
      <c r="TG128" s="30"/>
    </row>
    <row r="129" spans="1:527" s="22" customFormat="1" ht="24" customHeight="1" x14ac:dyDescent="0.25">
      <c r="A129" s="60" t="s">
        <v>178</v>
      </c>
      <c r="B129" s="97" t="str">
        <f>'дод 8'!A78</f>
        <v>2100</v>
      </c>
      <c r="C129" s="97" t="str">
        <f>'дод 8'!B78</f>
        <v>0722</v>
      </c>
      <c r="D129" s="61" t="str">
        <f>'дод 8'!C78</f>
        <v>Стоматологічна допомога населенню</v>
      </c>
      <c r="E129" s="103">
        <f t="shared" si="47"/>
        <v>7602100</v>
      </c>
      <c r="F129" s="103">
        <v>7602100</v>
      </c>
      <c r="G129" s="119"/>
      <c r="H129" s="119"/>
      <c r="I129" s="117"/>
      <c r="J129" s="103">
        <f t="shared" si="49"/>
        <v>0</v>
      </c>
      <c r="K129" s="103"/>
      <c r="L129" s="103"/>
      <c r="M129" s="103"/>
      <c r="N129" s="103"/>
      <c r="O129" s="103"/>
      <c r="P129" s="103">
        <f t="shared" si="48"/>
        <v>7602100</v>
      </c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  <c r="IW129" s="23"/>
      <c r="IX129" s="23"/>
      <c r="IY129" s="23"/>
      <c r="IZ129" s="23"/>
      <c r="JA129" s="23"/>
      <c r="JB129" s="23"/>
      <c r="JC129" s="23"/>
      <c r="JD129" s="23"/>
      <c r="JE129" s="23"/>
      <c r="JF129" s="23"/>
      <c r="JG129" s="23"/>
      <c r="JH129" s="23"/>
      <c r="JI129" s="23"/>
      <c r="JJ129" s="23"/>
      <c r="JK129" s="23"/>
      <c r="JL129" s="23"/>
      <c r="JM129" s="23"/>
      <c r="JN129" s="23"/>
      <c r="JO129" s="23"/>
      <c r="JP129" s="23"/>
      <c r="JQ129" s="23"/>
      <c r="JR129" s="23"/>
      <c r="JS129" s="23"/>
      <c r="JT129" s="23"/>
      <c r="JU129" s="23"/>
      <c r="JV129" s="23"/>
      <c r="JW129" s="23"/>
      <c r="JX129" s="23"/>
      <c r="JY129" s="23"/>
      <c r="JZ129" s="23"/>
      <c r="KA129" s="23"/>
      <c r="KB129" s="23"/>
      <c r="KC129" s="23"/>
      <c r="KD129" s="23"/>
      <c r="KE129" s="23"/>
      <c r="KF129" s="23"/>
      <c r="KG129" s="23"/>
      <c r="KH129" s="23"/>
      <c r="KI129" s="23"/>
      <c r="KJ129" s="23"/>
      <c r="KK129" s="23"/>
      <c r="KL129" s="23"/>
      <c r="KM129" s="23"/>
      <c r="KN129" s="23"/>
      <c r="KO129" s="23"/>
      <c r="KP129" s="23"/>
      <c r="KQ129" s="23"/>
      <c r="KR129" s="23"/>
      <c r="KS129" s="23"/>
      <c r="KT129" s="23"/>
      <c r="KU129" s="23"/>
      <c r="KV129" s="23"/>
      <c r="KW129" s="23"/>
      <c r="KX129" s="23"/>
      <c r="KY129" s="23"/>
      <c r="KZ129" s="23"/>
      <c r="LA129" s="23"/>
      <c r="LB129" s="23"/>
      <c r="LC129" s="23"/>
      <c r="LD129" s="23"/>
      <c r="LE129" s="23"/>
      <c r="LF129" s="23"/>
      <c r="LG129" s="23"/>
      <c r="LH129" s="23"/>
      <c r="LI129" s="23"/>
      <c r="LJ129" s="23"/>
      <c r="LK129" s="23"/>
      <c r="LL129" s="23"/>
      <c r="LM129" s="23"/>
      <c r="LN129" s="23"/>
      <c r="LO129" s="23"/>
      <c r="LP129" s="23"/>
      <c r="LQ129" s="23"/>
      <c r="LR129" s="23"/>
      <c r="LS129" s="23"/>
      <c r="LT129" s="23"/>
      <c r="LU129" s="23"/>
      <c r="LV129" s="23"/>
      <c r="LW129" s="23"/>
      <c r="LX129" s="23"/>
      <c r="LY129" s="23"/>
      <c r="LZ129" s="23"/>
      <c r="MA129" s="23"/>
      <c r="MB129" s="23"/>
      <c r="MC129" s="23"/>
      <c r="MD129" s="23"/>
      <c r="ME129" s="23"/>
      <c r="MF129" s="23"/>
      <c r="MG129" s="23"/>
      <c r="MH129" s="23"/>
      <c r="MI129" s="23"/>
      <c r="MJ129" s="23"/>
      <c r="MK129" s="23"/>
      <c r="ML129" s="23"/>
      <c r="MM129" s="23"/>
      <c r="MN129" s="23"/>
      <c r="MO129" s="23"/>
      <c r="MP129" s="23"/>
      <c r="MQ129" s="23"/>
      <c r="MR129" s="23"/>
      <c r="MS129" s="23"/>
      <c r="MT129" s="23"/>
      <c r="MU129" s="23"/>
      <c r="MV129" s="23"/>
      <c r="MW129" s="23"/>
      <c r="MX129" s="23"/>
      <c r="MY129" s="23"/>
      <c r="MZ129" s="23"/>
      <c r="NA129" s="23"/>
      <c r="NB129" s="23"/>
      <c r="NC129" s="23"/>
      <c r="ND129" s="23"/>
      <c r="NE129" s="23"/>
      <c r="NF129" s="23"/>
      <c r="NG129" s="23"/>
      <c r="NH129" s="23"/>
      <c r="NI129" s="23"/>
      <c r="NJ129" s="23"/>
      <c r="NK129" s="23"/>
      <c r="NL129" s="23"/>
      <c r="NM129" s="23"/>
      <c r="NN129" s="23"/>
      <c r="NO129" s="23"/>
      <c r="NP129" s="23"/>
      <c r="NQ129" s="23"/>
      <c r="NR129" s="23"/>
      <c r="NS129" s="23"/>
      <c r="NT129" s="23"/>
      <c r="NU129" s="23"/>
      <c r="NV129" s="23"/>
      <c r="NW129" s="23"/>
      <c r="NX129" s="23"/>
      <c r="NY129" s="23"/>
      <c r="NZ129" s="23"/>
      <c r="OA129" s="23"/>
      <c r="OB129" s="23"/>
      <c r="OC129" s="23"/>
      <c r="OD129" s="23"/>
      <c r="OE129" s="23"/>
      <c r="OF129" s="23"/>
      <c r="OG129" s="23"/>
      <c r="OH129" s="23"/>
      <c r="OI129" s="23"/>
      <c r="OJ129" s="23"/>
      <c r="OK129" s="23"/>
      <c r="OL129" s="23"/>
      <c r="OM129" s="23"/>
      <c r="ON129" s="23"/>
      <c r="OO129" s="23"/>
      <c r="OP129" s="23"/>
      <c r="OQ129" s="23"/>
      <c r="OR129" s="23"/>
      <c r="OS129" s="23"/>
      <c r="OT129" s="23"/>
      <c r="OU129" s="23"/>
      <c r="OV129" s="23"/>
      <c r="OW129" s="23"/>
      <c r="OX129" s="23"/>
      <c r="OY129" s="23"/>
      <c r="OZ129" s="23"/>
      <c r="PA129" s="23"/>
      <c r="PB129" s="23"/>
      <c r="PC129" s="23"/>
      <c r="PD129" s="23"/>
      <c r="PE129" s="23"/>
      <c r="PF129" s="23"/>
      <c r="PG129" s="23"/>
      <c r="PH129" s="23"/>
      <c r="PI129" s="23"/>
      <c r="PJ129" s="23"/>
      <c r="PK129" s="23"/>
      <c r="PL129" s="23"/>
      <c r="PM129" s="23"/>
      <c r="PN129" s="23"/>
      <c r="PO129" s="23"/>
      <c r="PP129" s="23"/>
      <c r="PQ129" s="23"/>
      <c r="PR129" s="23"/>
      <c r="PS129" s="23"/>
      <c r="PT129" s="23"/>
      <c r="PU129" s="23"/>
      <c r="PV129" s="23"/>
      <c r="PW129" s="23"/>
      <c r="PX129" s="23"/>
      <c r="PY129" s="23"/>
      <c r="PZ129" s="23"/>
      <c r="QA129" s="23"/>
      <c r="QB129" s="23"/>
      <c r="QC129" s="23"/>
      <c r="QD129" s="23"/>
      <c r="QE129" s="23"/>
      <c r="QF129" s="23"/>
      <c r="QG129" s="23"/>
      <c r="QH129" s="23"/>
      <c r="QI129" s="23"/>
      <c r="QJ129" s="23"/>
      <c r="QK129" s="23"/>
      <c r="QL129" s="23"/>
      <c r="QM129" s="23"/>
      <c r="QN129" s="23"/>
      <c r="QO129" s="23"/>
      <c r="QP129" s="23"/>
      <c r="QQ129" s="23"/>
      <c r="QR129" s="23"/>
      <c r="QS129" s="23"/>
      <c r="QT129" s="23"/>
      <c r="QU129" s="23"/>
      <c r="QV129" s="23"/>
      <c r="QW129" s="23"/>
      <c r="QX129" s="23"/>
      <c r="QY129" s="23"/>
      <c r="QZ129" s="23"/>
      <c r="RA129" s="23"/>
      <c r="RB129" s="23"/>
      <c r="RC129" s="23"/>
      <c r="RD129" s="23"/>
      <c r="RE129" s="23"/>
      <c r="RF129" s="23"/>
      <c r="RG129" s="23"/>
      <c r="RH129" s="23"/>
      <c r="RI129" s="23"/>
      <c r="RJ129" s="23"/>
      <c r="RK129" s="23"/>
      <c r="RL129" s="23"/>
      <c r="RM129" s="23"/>
      <c r="RN129" s="23"/>
      <c r="RO129" s="23"/>
      <c r="RP129" s="23"/>
      <c r="RQ129" s="23"/>
      <c r="RR129" s="23"/>
      <c r="RS129" s="23"/>
      <c r="RT129" s="23"/>
      <c r="RU129" s="23"/>
      <c r="RV129" s="23"/>
      <c r="RW129" s="23"/>
      <c r="RX129" s="23"/>
      <c r="RY129" s="23"/>
      <c r="RZ129" s="23"/>
      <c r="SA129" s="23"/>
      <c r="SB129" s="23"/>
      <c r="SC129" s="23"/>
      <c r="SD129" s="23"/>
      <c r="SE129" s="23"/>
      <c r="SF129" s="23"/>
      <c r="SG129" s="23"/>
      <c r="SH129" s="23"/>
      <c r="SI129" s="23"/>
      <c r="SJ129" s="23"/>
      <c r="SK129" s="23"/>
      <c r="SL129" s="23"/>
      <c r="SM129" s="23"/>
      <c r="SN129" s="23"/>
      <c r="SO129" s="23"/>
      <c r="SP129" s="23"/>
      <c r="SQ129" s="23"/>
      <c r="SR129" s="23"/>
      <c r="SS129" s="23"/>
      <c r="ST129" s="23"/>
      <c r="SU129" s="23"/>
      <c r="SV129" s="23"/>
      <c r="SW129" s="23"/>
      <c r="SX129" s="23"/>
      <c r="SY129" s="23"/>
      <c r="SZ129" s="23"/>
      <c r="TA129" s="23"/>
      <c r="TB129" s="23"/>
      <c r="TC129" s="23"/>
      <c r="TD129" s="23"/>
      <c r="TE129" s="23"/>
      <c r="TF129" s="23"/>
      <c r="TG129" s="23"/>
    </row>
    <row r="130" spans="1:527" s="24" customFormat="1" ht="30" hidden="1" customHeight="1" x14ac:dyDescent="0.25">
      <c r="A130" s="88"/>
      <c r="B130" s="115"/>
      <c r="C130" s="115"/>
      <c r="D130" s="91" t="s">
        <v>392</v>
      </c>
      <c r="E130" s="105">
        <f t="shared" si="47"/>
        <v>0</v>
      </c>
      <c r="F130" s="105"/>
      <c r="G130" s="118"/>
      <c r="H130" s="118"/>
      <c r="I130" s="118"/>
      <c r="J130" s="105">
        <f t="shared" si="49"/>
        <v>0</v>
      </c>
      <c r="K130" s="105"/>
      <c r="L130" s="105"/>
      <c r="M130" s="105"/>
      <c r="N130" s="105"/>
      <c r="O130" s="105"/>
      <c r="P130" s="105">
        <f t="shared" si="48"/>
        <v>0</v>
      </c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  <c r="IW130" s="30"/>
      <c r="IX130" s="30"/>
      <c r="IY130" s="30"/>
      <c r="IZ130" s="30"/>
      <c r="JA130" s="30"/>
      <c r="JB130" s="30"/>
      <c r="JC130" s="30"/>
      <c r="JD130" s="30"/>
      <c r="JE130" s="30"/>
      <c r="JF130" s="30"/>
      <c r="JG130" s="30"/>
      <c r="JH130" s="30"/>
      <c r="JI130" s="30"/>
      <c r="JJ130" s="30"/>
      <c r="JK130" s="30"/>
      <c r="JL130" s="30"/>
      <c r="JM130" s="30"/>
      <c r="JN130" s="30"/>
      <c r="JO130" s="30"/>
      <c r="JP130" s="30"/>
      <c r="JQ130" s="30"/>
      <c r="JR130" s="30"/>
      <c r="JS130" s="30"/>
      <c r="JT130" s="30"/>
      <c r="JU130" s="30"/>
      <c r="JV130" s="30"/>
      <c r="JW130" s="30"/>
      <c r="JX130" s="30"/>
      <c r="JY130" s="30"/>
      <c r="JZ130" s="30"/>
      <c r="KA130" s="30"/>
      <c r="KB130" s="30"/>
      <c r="KC130" s="30"/>
      <c r="KD130" s="30"/>
      <c r="KE130" s="30"/>
      <c r="KF130" s="30"/>
      <c r="KG130" s="30"/>
      <c r="KH130" s="30"/>
      <c r="KI130" s="30"/>
      <c r="KJ130" s="30"/>
      <c r="KK130" s="30"/>
      <c r="KL130" s="30"/>
      <c r="KM130" s="30"/>
      <c r="KN130" s="30"/>
      <c r="KO130" s="30"/>
      <c r="KP130" s="30"/>
      <c r="KQ130" s="30"/>
      <c r="KR130" s="30"/>
      <c r="KS130" s="30"/>
      <c r="KT130" s="30"/>
      <c r="KU130" s="30"/>
      <c r="KV130" s="30"/>
      <c r="KW130" s="30"/>
      <c r="KX130" s="30"/>
      <c r="KY130" s="30"/>
      <c r="KZ130" s="30"/>
      <c r="LA130" s="30"/>
      <c r="LB130" s="30"/>
      <c r="LC130" s="30"/>
      <c r="LD130" s="30"/>
      <c r="LE130" s="30"/>
      <c r="LF130" s="30"/>
      <c r="LG130" s="30"/>
      <c r="LH130" s="30"/>
      <c r="LI130" s="30"/>
      <c r="LJ130" s="30"/>
      <c r="LK130" s="30"/>
      <c r="LL130" s="30"/>
      <c r="LM130" s="30"/>
      <c r="LN130" s="30"/>
      <c r="LO130" s="30"/>
      <c r="LP130" s="30"/>
      <c r="LQ130" s="30"/>
      <c r="LR130" s="30"/>
      <c r="LS130" s="30"/>
      <c r="LT130" s="30"/>
      <c r="LU130" s="30"/>
      <c r="LV130" s="30"/>
      <c r="LW130" s="30"/>
      <c r="LX130" s="30"/>
      <c r="LY130" s="30"/>
      <c r="LZ130" s="30"/>
      <c r="MA130" s="30"/>
      <c r="MB130" s="30"/>
      <c r="MC130" s="30"/>
      <c r="MD130" s="30"/>
      <c r="ME130" s="30"/>
      <c r="MF130" s="30"/>
      <c r="MG130" s="30"/>
      <c r="MH130" s="30"/>
      <c r="MI130" s="30"/>
      <c r="MJ130" s="30"/>
      <c r="MK130" s="30"/>
      <c r="ML130" s="30"/>
      <c r="MM130" s="30"/>
      <c r="MN130" s="30"/>
      <c r="MO130" s="30"/>
      <c r="MP130" s="30"/>
      <c r="MQ130" s="30"/>
      <c r="MR130" s="30"/>
      <c r="MS130" s="30"/>
      <c r="MT130" s="30"/>
      <c r="MU130" s="30"/>
      <c r="MV130" s="30"/>
      <c r="MW130" s="30"/>
      <c r="MX130" s="30"/>
      <c r="MY130" s="30"/>
      <c r="MZ130" s="30"/>
      <c r="NA130" s="30"/>
      <c r="NB130" s="30"/>
      <c r="NC130" s="30"/>
      <c r="ND130" s="30"/>
      <c r="NE130" s="30"/>
      <c r="NF130" s="30"/>
      <c r="NG130" s="30"/>
      <c r="NH130" s="30"/>
      <c r="NI130" s="30"/>
      <c r="NJ130" s="30"/>
      <c r="NK130" s="30"/>
      <c r="NL130" s="30"/>
      <c r="NM130" s="30"/>
      <c r="NN130" s="30"/>
      <c r="NO130" s="30"/>
      <c r="NP130" s="30"/>
      <c r="NQ130" s="30"/>
      <c r="NR130" s="30"/>
      <c r="NS130" s="30"/>
      <c r="NT130" s="30"/>
      <c r="NU130" s="30"/>
      <c r="NV130" s="30"/>
      <c r="NW130" s="30"/>
      <c r="NX130" s="30"/>
      <c r="NY130" s="30"/>
      <c r="NZ130" s="30"/>
      <c r="OA130" s="30"/>
      <c r="OB130" s="30"/>
      <c r="OC130" s="30"/>
      <c r="OD130" s="30"/>
      <c r="OE130" s="30"/>
      <c r="OF130" s="30"/>
      <c r="OG130" s="30"/>
      <c r="OH130" s="30"/>
      <c r="OI130" s="30"/>
      <c r="OJ130" s="30"/>
      <c r="OK130" s="30"/>
      <c r="OL130" s="30"/>
      <c r="OM130" s="30"/>
      <c r="ON130" s="30"/>
      <c r="OO130" s="30"/>
      <c r="OP130" s="30"/>
      <c r="OQ130" s="30"/>
      <c r="OR130" s="30"/>
      <c r="OS130" s="30"/>
      <c r="OT130" s="30"/>
      <c r="OU130" s="30"/>
      <c r="OV130" s="30"/>
      <c r="OW130" s="30"/>
      <c r="OX130" s="30"/>
      <c r="OY130" s="30"/>
      <c r="OZ130" s="30"/>
      <c r="PA130" s="30"/>
      <c r="PB130" s="30"/>
      <c r="PC130" s="30"/>
      <c r="PD130" s="30"/>
      <c r="PE130" s="30"/>
      <c r="PF130" s="30"/>
      <c r="PG130" s="30"/>
      <c r="PH130" s="30"/>
      <c r="PI130" s="30"/>
      <c r="PJ130" s="30"/>
      <c r="PK130" s="30"/>
      <c r="PL130" s="30"/>
      <c r="PM130" s="30"/>
      <c r="PN130" s="30"/>
      <c r="PO130" s="30"/>
      <c r="PP130" s="30"/>
      <c r="PQ130" s="30"/>
      <c r="PR130" s="30"/>
      <c r="PS130" s="30"/>
      <c r="PT130" s="30"/>
      <c r="PU130" s="30"/>
      <c r="PV130" s="30"/>
      <c r="PW130" s="30"/>
      <c r="PX130" s="30"/>
      <c r="PY130" s="30"/>
      <c r="PZ130" s="30"/>
      <c r="QA130" s="30"/>
      <c r="QB130" s="30"/>
      <c r="QC130" s="30"/>
      <c r="QD130" s="30"/>
      <c r="QE130" s="30"/>
      <c r="QF130" s="30"/>
      <c r="QG130" s="30"/>
      <c r="QH130" s="30"/>
      <c r="QI130" s="30"/>
      <c r="QJ130" s="30"/>
      <c r="QK130" s="30"/>
      <c r="QL130" s="30"/>
      <c r="QM130" s="30"/>
      <c r="QN130" s="30"/>
      <c r="QO130" s="30"/>
      <c r="QP130" s="30"/>
      <c r="QQ130" s="30"/>
      <c r="QR130" s="30"/>
      <c r="QS130" s="30"/>
      <c r="QT130" s="30"/>
      <c r="QU130" s="30"/>
      <c r="QV130" s="30"/>
      <c r="QW130" s="30"/>
      <c r="QX130" s="30"/>
      <c r="QY130" s="30"/>
      <c r="QZ130" s="30"/>
      <c r="RA130" s="30"/>
      <c r="RB130" s="30"/>
      <c r="RC130" s="30"/>
      <c r="RD130" s="30"/>
      <c r="RE130" s="30"/>
      <c r="RF130" s="30"/>
      <c r="RG130" s="30"/>
      <c r="RH130" s="30"/>
      <c r="RI130" s="30"/>
      <c r="RJ130" s="30"/>
      <c r="RK130" s="30"/>
      <c r="RL130" s="30"/>
      <c r="RM130" s="30"/>
      <c r="RN130" s="30"/>
      <c r="RO130" s="30"/>
      <c r="RP130" s="30"/>
      <c r="RQ130" s="30"/>
      <c r="RR130" s="30"/>
      <c r="RS130" s="30"/>
      <c r="RT130" s="30"/>
      <c r="RU130" s="30"/>
      <c r="RV130" s="30"/>
      <c r="RW130" s="30"/>
      <c r="RX130" s="30"/>
      <c r="RY130" s="30"/>
      <c r="RZ130" s="30"/>
      <c r="SA130" s="30"/>
      <c r="SB130" s="30"/>
      <c r="SC130" s="30"/>
      <c r="SD130" s="30"/>
      <c r="SE130" s="30"/>
      <c r="SF130" s="30"/>
      <c r="SG130" s="30"/>
      <c r="SH130" s="30"/>
      <c r="SI130" s="30"/>
      <c r="SJ130" s="30"/>
      <c r="SK130" s="30"/>
      <c r="SL130" s="30"/>
      <c r="SM130" s="30"/>
      <c r="SN130" s="30"/>
      <c r="SO130" s="30"/>
      <c r="SP130" s="30"/>
      <c r="SQ130" s="30"/>
      <c r="SR130" s="30"/>
      <c r="SS130" s="30"/>
      <c r="ST130" s="30"/>
      <c r="SU130" s="30"/>
      <c r="SV130" s="30"/>
      <c r="SW130" s="30"/>
      <c r="SX130" s="30"/>
      <c r="SY130" s="30"/>
      <c r="SZ130" s="30"/>
      <c r="TA130" s="30"/>
      <c r="TB130" s="30"/>
      <c r="TC130" s="30"/>
      <c r="TD130" s="30"/>
      <c r="TE130" s="30"/>
      <c r="TF130" s="30"/>
      <c r="TG130" s="30"/>
    </row>
    <row r="131" spans="1:527" s="22" customFormat="1" ht="48" customHeight="1" x14ac:dyDescent="0.25">
      <c r="A131" s="60" t="s">
        <v>177</v>
      </c>
      <c r="B131" s="97" t="str">
        <f>'дод 8'!A80</f>
        <v>2111</v>
      </c>
      <c r="C131" s="97" t="str">
        <f>'дод 8'!B80</f>
        <v>0726</v>
      </c>
      <c r="D131" s="61" t="str">
        <f>'дод 8'!C80</f>
        <v>Первинна медична допомога населенню, що надається центрами первинної медичної (медико-санітарної) допомоги</v>
      </c>
      <c r="E131" s="103">
        <f t="shared" si="47"/>
        <v>2680200</v>
      </c>
      <c r="F131" s="103">
        <f>2736000-55800</f>
        <v>2680200</v>
      </c>
      <c r="G131" s="117"/>
      <c r="H131" s="119"/>
      <c r="I131" s="117"/>
      <c r="J131" s="103">
        <f t="shared" si="49"/>
        <v>0</v>
      </c>
      <c r="K131" s="103"/>
      <c r="L131" s="103"/>
      <c r="M131" s="103"/>
      <c r="N131" s="103"/>
      <c r="O131" s="103"/>
      <c r="P131" s="103">
        <f t="shared" si="48"/>
        <v>2680200</v>
      </c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  <c r="IV131" s="23"/>
      <c r="IW131" s="23"/>
      <c r="IX131" s="23"/>
      <c r="IY131" s="23"/>
      <c r="IZ131" s="23"/>
      <c r="JA131" s="23"/>
      <c r="JB131" s="23"/>
      <c r="JC131" s="23"/>
      <c r="JD131" s="23"/>
      <c r="JE131" s="23"/>
      <c r="JF131" s="23"/>
      <c r="JG131" s="23"/>
      <c r="JH131" s="23"/>
      <c r="JI131" s="23"/>
      <c r="JJ131" s="23"/>
      <c r="JK131" s="23"/>
      <c r="JL131" s="23"/>
      <c r="JM131" s="23"/>
      <c r="JN131" s="23"/>
      <c r="JO131" s="23"/>
      <c r="JP131" s="23"/>
      <c r="JQ131" s="23"/>
      <c r="JR131" s="23"/>
      <c r="JS131" s="23"/>
      <c r="JT131" s="23"/>
      <c r="JU131" s="23"/>
      <c r="JV131" s="23"/>
      <c r="JW131" s="23"/>
      <c r="JX131" s="23"/>
      <c r="JY131" s="23"/>
      <c r="JZ131" s="23"/>
      <c r="KA131" s="23"/>
      <c r="KB131" s="23"/>
      <c r="KC131" s="23"/>
      <c r="KD131" s="23"/>
      <c r="KE131" s="23"/>
      <c r="KF131" s="23"/>
      <c r="KG131" s="23"/>
      <c r="KH131" s="23"/>
      <c r="KI131" s="23"/>
      <c r="KJ131" s="23"/>
      <c r="KK131" s="23"/>
      <c r="KL131" s="23"/>
      <c r="KM131" s="23"/>
      <c r="KN131" s="23"/>
      <c r="KO131" s="23"/>
      <c r="KP131" s="23"/>
      <c r="KQ131" s="23"/>
      <c r="KR131" s="23"/>
      <c r="KS131" s="23"/>
      <c r="KT131" s="23"/>
      <c r="KU131" s="23"/>
      <c r="KV131" s="23"/>
      <c r="KW131" s="23"/>
      <c r="KX131" s="23"/>
      <c r="KY131" s="23"/>
      <c r="KZ131" s="23"/>
      <c r="LA131" s="23"/>
      <c r="LB131" s="23"/>
      <c r="LC131" s="23"/>
      <c r="LD131" s="23"/>
      <c r="LE131" s="23"/>
      <c r="LF131" s="23"/>
      <c r="LG131" s="23"/>
      <c r="LH131" s="23"/>
      <c r="LI131" s="23"/>
      <c r="LJ131" s="23"/>
      <c r="LK131" s="23"/>
      <c r="LL131" s="23"/>
      <c r="LM131" s="23"/>
      <c r="LN131" s="23"/>
      <c r="LO131" s="23"/>
      <c r="LP131" s="23"/>
      <c r="LQ131" s="23"/>
      <c r="LR131" s="23"/>
      <c r="LS131" s="23"/>
      <c r="LT131" s="23"/>
      <c r="LU131" s="23"/>
      <c r="LV131" s="23"/>
      <c r="LW131" s="23"/>
      <c r="LX131" s="23"/>
      <c r="LY131" s="23"/>
      <c r="LZ131" s="23"/>
      <c r="MA131" s="23"/>
      <c r="MB131" s="23"/>
      <c r="MC131" s="23"/>
      <c r="MD131" s="23"/>
      <c r="ME131" s="23"/>
      <c r="MF131" s="23"/>
      <c r="MG131" s="23"/>
      <c r="MH131" s="23"/>
      <c r="MI131" s="23"/>
      <c r="MJ131" s="23"/>
      <c r="MK131" s="23"/>
      <c r="ML131" s="23"/>
      <c r="MM131" s="23"/>
      <c r="MN131" s="23"/>
      <c r="MO131" s="23"/>
      <c r="MP131" s="23"/>
      <c r="MQ131" s="23"/>
      <c r="MR131" s="23"/>
      <c r="MS131" s="23"/>
      <c r="MT131" s="23"/>
      <c r="MU131" s="23"/>
      <c r="MV131" s="23"/>
      <c r="MW131" s="23"/>
      <c r="MX131" s="23"/>
      <c r="MY131" s="23"/>
      <c r="MZ131" s="23"/>
      <c r="NA131" s="23"/>
      <c r="NB131" s="23"/>
      <c r="NC131" s="23"/>
      <c r="ND131" s="23"/>
      <c r="NE131" s="23"/>
      <c r="NF131" s="23"/>
      <c r="NG131" s="23"/>
      <c r="NH131" s="23"/>
      <c r="NI131" s="23"/>
      <c r="NJ131" s="23"/>
      <c r="NK131" s="23"/>
      <c r="NL131" s="23"/>
      <c r="NM131" s="23"/>
      <c r="NN131" s="23"/>
      <c r="NO131" s="23"/>
      <c r="NP131" s="23"/>
      <c r="NQ131" s="23"/>
      <c r="NR131" s="23"/>
      <c r="NS131" s="23"/>
      <c r="NT131" s="23"/>
      <c r="NU131" s="23"/>
      <c r="NV131" s="23"/>
      <c r="NW131" s="23"/>
      <c r="NX131" s="23"/>
      <c r="NY131" s="23"/>
      <c r="NZ131" s="23"/>
      <c r="OA131" s="23"/>
      <c r="OB131" s="23"/>
      <c r="OC131" s="23"/>
      <c r="OD131" s="23"/>
      <c r="OE131" s="23"/>
      <c r="OF131" s="23"/>
      <c r="OG131" s="23"/>
      <c r="OH131" s="23"/>
      <c r="OI131" s="23"/>
      <c r="OJ131" s="23"/>
      <c r="OK131" s="23"/>
      <c r="OL131" s="23"/>
      <c r="OM131" s="23"/>
      <c r="ON131" s="23"/>
      <c r="OO131" s="23"/>
      <c r="OP131" s="23"/>
      <c r="OQ131" s="23"/>
      <c r="OR131" s="23"/>
      <c r="OS131" s="23"/>
      <c r="OT131" s="23"/>
      <c r="OU131" s="23"/>
      <c r="OV131" s="23"/>
      <c r="OW131" s="23"/>
      <c r="OX131" s="23"/>
      <c r="OY131" s="23"/>
      <c r="OZ131" s="23"/>
      <c r="PA131" s="23"/>
      <c r="PB131" s="23"/>
      <c r="PC131" s="23"/>
      <c r="PD131" s="23"/>
      <c r="PE131" s="23"/>
      <c r="PF131" s="23"/>
      <c r="PG131" s="23"/>
      <c r="PH131" s="23"/>
      <c r="PI131" s="23"/>
      <c r="PJ131" s="23"/>
      <c r="PK131" s="23"/>
      <c r="PL131" s="23"/>
      <c r="PM131" s="23"/>
      <c r="PN131" s="23"/>
      <c r="PO131" s="23"/>
      <c r="PP131" s="23"/>
      <c r="PQ131" s="23"/>
      <c r="PR131" s="23"/>
      <c r="PS131" s="23"/>
      <c r="PT131" s="23"/>
      <c r="PU131" s="23"/>
      <c r="PV131" s="23"/>
      <c r="PW131" s="23"/>
      <c r="PX131" s="23"/>
      <c r="PY131" s="23"/>
      <c r="PZ131" s="23"/>
      <c r="QA131" s="23"/>
      <c r="QB131" s="23"/>
      <c r="QC131" s="23"/>
      <c r="QD131" s="23"/>
      <c r="QE131" s="23"/>
      <c r="QF131" s="23"/>
      <c r="QG131" s="23"/>
      <c r="QH131" s="23"/>
      <c r="QI131" s="23"/>
      <c r="QJ131" s="23"/>
      <c r="QK131" s="23"/>
      <c r="QL131" s="23"/>
      <c r="QM131" s="23"/>
      <c r="QN131" s="23"/>
      <c r="QO131" s="23"/>
      <c r="QP131" s="23"/>
      <c r="QQ131" s="23"/>
      <c r="QR131" s="23"/>
      <c r="QS131" s="23"/>
      <c r="QT131" s="23"/>
      <c r="QU131" s="23"/>
      <c r="QV131" s="23"/>
      <c r="QW131" s="23"/>
      <c r="QX131" s="23"/>
      <c r="QY131" s="23"/>
      <c r="QZ131" s="23"/>
      <c r="RA131" s="23"/>
      <c r="RB131" s="23"/>
      <c r="RC131" s="23"/>
      <c r="RD131" s="23"/>
      <c r="RE131" s="23"/>
      <c r="RF131" s="23"/>
      <c r="RG131" s="23"/>
      <c r="RH131" s="23"/>
      <c r="RI131" s="23"/>
      <c r="RJ131" s="23"/>
      <c r="RK131" s="23"/>
      <c r="RL131" s="23"/>
      <c r="RM131" s="23"/>
      <c r="RN131" s="23"/>
      <c r="RO131" s="23"/>
      <c r="RP131" s="23"/>
      <c r="RQ131" s="23"/>
      <c r="RR131" s="23"/>
      <c r="RS131" s="23"/>
      <c r="RT131" s="23"/>
      <c r="RU131" s="23"/>
      <c r="RV131" s="23"/>
      <c r="RW131" s="23"/>
      <c r="RX131" s="23"/>
      <c r="RY131" s="23"/>
      <c r="RZ131" s="23"/>
      <c r="SA131" s="23"/>
      <c r="SB131" s="23"/>
      <c r="SC131" s="23"/>
      <c r="SD131" s="23"/>
      <c r="SE131" s="23"/>
      <c r="SF131" s="23"/>
      <c r="SG131" s="23"/>
      <c r="SH131" s="23"/>
      <c r="SI131" s="23"/>
      <c r="SJ131" s="23"/>
      <c r="SK131" s="23"/>
      <c r="SL131" s="23"/>
      <c r="SM131" s="23"/>
      <c r="SN131" s="23"/>
      <c r="SO131" s="23"/>
      <c r="SP131" s="23"/>
      <c r="SQ131" s="23"/>
      <c r="SR131" s="23"/>
      <c r="SS131" s="23"/>
      <c r="ST131" s="23"/>
      <c r="SU131" s="23"/>
      <c r="SV131" s="23"/>
      <c r="SW131" s="23"/>
      <c r="SX131" s="23"/>
      <c r="SY131" s="23"/>
      <c r="SZ131" s="23"/>
      <c r="TA131" s="23"/>
      <c r="TB131" s="23"/>
      <c r="TC131" s="23"/>
      <c r="TD131" s="23"/>
      <c r="TE131" s="23"/>
      <c r="TF131" s="23"/>
      <c r="TG131" s="23"/>
    </row>
    <row r="132" spans="1:527" s="24" customFormat="1" ht="63" hidden="1" customHeight="1" x14ac:dyDescent="0.25">
      <c r="A132" s="88"/>
      <c r="B132" s="115"/>
      <c r="C132" s="115"/>
      <c r="D132" s="89" t="s">
        <v>394</v>
      </c>
      <c r="E132" s="105">
        <f t="shared" si="47"/>
        <v>0</v>
      </c>
      <c r="F132" s="105"/>
      <c r="G132" s="118"/>
      <c r="H132" s="118"/>
      <c r="I132" s="118"/>
      <c r="J132" s="105">
        <f t="shared" si="49"/>
        <v>0</v>
      </c>
      <c r="K132" s="105"/>
      <c r="L132" s="105"/>
      <c r="M132" s="105"/>
      <c r="N132" s="105"/>
      <c r="O132" s="105"/>
      <c r="P132" s="105">
        <f t="shared" si="48"/>
        <v>0</v>
      </c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  <c r="IW132" s="30"/>
      <c r="IX132" s="30"/>
      <c r="IY132" s="30"/>
      <c r="IZ132" s="30"/>
      <c r="JA132" s="30"/>
      <c r="JB132" s="30"/>
      <c r="JC132" s="30"/>
      <c r="JD132" s="30"/>
      <c r="JE132" s="30"/>
      <c r="JF132" s="30"/>
      <c r="JG132" s="30"/>
      <c r="JH132" s="30"/>
      <c r="JI132" s="30"/>
      <c r="JJ132" s="30"/>
      <c r="JK132" s="30"/>
      <c r="JL132" s="30"/>
      <c r="JM132" s="30"/>
      <c r="JN132" s="30"/>
      <c r="JO132" s="30"/>
      <c r="JP132" s="30"/>
      <c r="JQ132" s="30"/>
      <c r="JR132" s="30"/>
      <c r="JS132" s="30"/>
      <c r="JT132" s="30"/>
      <c r="JU132" s="30"/>
      <c r="JV132" s="30"/>
      <c r="JW132" s="30"/>
      <c r="JX132" s="30"/>
      <c r="JY132" s="30"/>
      <c r="JZ132" s="30"/>
      <c r="KA132" s="30"/>
      <c r="KB132" s="30"/>
      <c r="KC132" s="30"/>
      <c r="KD132" s="30"/>
      <c r="KE132" s="30"/>
      <c r="KF132" s="30"/>
      <c r="KG132" s="30"/>
      <c r="KH132" s="30"/>
      <c r="KI132" s="30"/>
      <c r="KJ132" s="30"/>
      <c r="KK132" s="30"/>
      <c r="KL132" s="30"/>
      <c r="KM132" s="30"/>
      <c r="KN132" s="30"/>
      <c r="KO132" s="30"/>
      <c r="KP132" s="30"/>
      <c r="KQ132" s="30"/>
      <c r="KR132" s="30"/>
      <c r="KS132" s="30"/>
      <c r="KT132" s="30"/>
      <c r="KU132" s="30"/>
      <c r="KV132" s="30"/>
      <c r="KW132" s="30"/>
      <c r="KX132" s="30"/>
      <c r="KY132" s="30"/>
      <c r="KZ132" s="30"/>
      <c r="LA132" s="30"/>
      <c r="LB132" s="30"/>
      <c r="LC132" s="30"/>
      <c r="LD132" s="30"/>
      <c r="LE132" s="30"/>
      <c r="LF132" s="30"/>
      <c r="LG132" s="30"/>
      <c r="LH132" s="30"/>
      <c r="LI132" s="30"/>
      <c r="LJ132" s="30"/>
      <c r="LK132" s="30"/>
      <c r="LL132" s="30"/>
      <c r="LM132" s="30"/>
      <c r="LN132" s="30"/>
      <c r="LO132" s="30"/>
      <c r="LP132" s="30"/>
      <c r="LQ132" s="30"/>
      <c r="LR132" s="30"/>
      <c r="LS132" s="30"/>
      <c r="LT132" s="30"/>
      <c r="LU132" s="30"/>
      <c r="LV132" s="30"/>
      <c r="LW132" s="30"/>
      <c r="LX132" s="30"/>
      <c r="LY132" s="30"/>
      <c r="LZ132" s="30"/>
      <c r="MA132" s="30"/>
      <c r="MB132" s="30"/>
      <c r="MC132" s="30"/>
      <c r="MD132" s="30"/>
      <c r="ME132" s="30"/>
      <c r="MF132" s="30"/>
      <c r="MG132" s="30"/>
      <c r="MH132" s="30"/>
      <c r="MI132" s="30"/>
      <c r="MJ132" s="30"/>
      <c r="MK132" s="30"/>
      <c r="ML132" s="30"/>
      <c r="MM132" s="30"/>
      <c r="MN132" s="30"/>
      <c r="MO132" s="30"/>
      <c r="MP132" s="30"/>
      <c r="MQ132" s="30"/>
      <c r="MR132" s="30"/>
      <c r="MS132" s="30"/>
      <c r="MT132" s="30"/>
      <c r="MU132" s="30"/>
      <c r="MV132" s="30"/>
      <c r="MW132" s="30"/>
      <c r="MX132" s="30"/>
      <c r="MY132" s="30"/>
      <c r="MZ132" s="30"/>
      <c r="NA132" s="30"/>
      <c r="NB132" s="30"/>
      <c r="NC132" s="30"/>
      <c r="ND132" s="30"/>
      <c r="NE132" s="30"/>
      <c r="NF132" s="30"/>
      <c r="NG132" s="30"/>
      <c r="NH132" s="30"/>
      <c r="NI132" s="30"/>
      <c r="NJ132" s="30"/>
      <c r="NK132" s="30"/>
      <c r="NL132" s="30"/>
      <c r="NM132" s="30"/>
      <c r="NN132" s="30"/>
      <c r="NO132" s="30"/>
      <c r="NP132" s="30"/>
      <c r="NQ132" s="30"/>
      <c r="NR132" s="30"/>
      <c r="NS132" s="30"/>
      <c r="NT132" s="30"/>
      <c r="NU132" s="30"/>
      <c r="NV132" s="30"/>
      <c r="NW132" s="30"/>
      <c r="NX132" s="30"/>
      <c r="NY132" s="30"/>
      <c r="NZ132" s="30"/>
      <c r="OA132" s="30"/>
      <c r="OB132" s="30"/>
      <c r="OC132" s="30"/>
      <c r="OD132" s="30"/>
      <c r="OE132" s="30"/>
      <c r="OF132" s="30"/>
      <c r="OG132" s="30"/>
      <c r="OH132" s="30"/>
      <c r="OI132" s="30"/>
      <c r="OJ132" s="30"/>
      <c r="OK132" s="30"/>
      <c r="OL132" s="30"/>
      <c r="OM132" s="30"/>
      <c r="ON132" s="30"/>
      <c r="OO132" s="30"/>
      <c r="OP132" s="30"/>
      <c r="OQ132" s="30"/>
      <c r="OR132" s="30"/>
      <c r="OS132" s="30"/>
      <c r="OT132" s="30"/>
      <c r="OU132" s="30"/>
      <c r="OV132" s="30"/>
      <c r="OW132" s="30"/>
      <c r="OX132" s="30"/>
      <c r="OY132" s="30"/>
      <c r="OZ132" s="30"/>
      <c r="PA132" s="30"/>
      <c r="PB132" s="30"/>
      <c r="PC132" s="30"/>
      <c r="PD132" s="30"/>
      <c r="PE132" s="30"/>
      <c r="PF132" s="30"/>
      <c r="PG132" s="30"/>
      <c r="PH132" s="30"/>
      <c r="PI132" s="30"/>
      <c r="PJ132" s="30"/>
      <c r="PK132" s="30"/>
      <c r="PL132" s="30"/>
      <c r="PM132" s="30"/>
      <c r="PN132" s="30"/>
      <c r="PO132" s="30"/>
      <c r="PP132" s="30"/>
      <c r="PQ132" s="30"/>
      <c r="PR132" s="30"/>
      <c r="PS132" s="30"/>
      <c r="PT132" s="30"/>
      <c r="PU132" s="30"/>
      <c r="PV132" s="30"/>
      <c r="PW132" s="30"/>
      <c r="PX132" s="30"/>
      <c r="PY132" s="30"/>
      <c r="PZ132" s="30"/>
      <c r="QA132" s="30"/>
      <c r="QB132" s="30"/>
      <c r="QC132" s="30"/>
      <c r="QD132" s="30"/>
      <c r="QE132" s="30"/>
      <c r="QF132" s="30"/>
      <c r="QG132" s="30"/>
      <c r="QH132" s="30"/>
      <c r="QI132" s="30"/>
      <c r="QJ132" s="30"/>
      <c r="QK132" s="30"/>
      <c r="QL132" s="30"/>
      <c r="QM132" s="30"/>
      <c r="QN132" s="30"/>
      <c r="QO132" s="30"/>
      <c r="QP132" s="30"/>
      <c r="QQ132" s="30"/>
      <c r="QR132" s="30"/>
      <c r="QS132" s="30"/>
      <c r="QT132" s="30"/>
      <c r="QU132" s="30"/>
      <c r="QV132" s="30"/>
      <c r="QW132" s="30"/>
      <c r="QX132" s="30"/>
      <c r="QY132" s="30"/>
      <c r="QZ132" s="30"/>
      <c r="RA132" s="30"/>
      <c r="RB132" s="30"/>
      <c r="RC132" s="30"/>
      <c r="RD132" s="30"/>
      <c r="RE132" s="30"/>
      <c r="RF132" s="30"/>
      <c r="RG132" s="30"/>
      <c r="RH132" s="30"/>
      <c r="RI132" s="30"/>
      <c r="RJ132" s="30"/>
      <c r="RK132" s="30"/>
      <c r="RL132" s="30"/>
      <c r="RM132" s="30"/>
      <c r="RN132" s="30"/>
      <c r="RO132" s="30"/>
      <c r="RP132" s="30"/>
      <c r="RQ132" s="30"/>
      <c r="RR132" s="30"/>
      <c r="RS132" s="30"/>
      <c r="RT132" s="30"/>
      <c r="RU132" s="30"/>
      <c r="RV132" s="30"/>
      <c r="RW132" s="30"/>
      <c r="RX132" s="30"/>
      <c r="RY132" s="30"/>
      <c r="RZ132" s="30"/>
      <c r="SA132" s="30"/>
      <c r="SB132" s="30"/>
      <c r="SC132" s="30"/>
      <c r="SD132" s="30"/>
      <c r="SE132" s="30"/>
      <c r="SF132" s="30"/>
      <c r="SG132" s="30"/>
      <c r="SH132" s="30"/>
      <c r="SI132" s="30"/>
      <c r="SJ132" s="30"/>
      <c r="SK132" s="30"/>
      <c r="SL132" s="30"/>
      <c r="SM132" s="30"/>
      <c r="SN132" s="30"/>
      <c r="SO132" s="30"/>
      <c r="SP132" s="30"/>
      <c r="SQ132" s="30"/>
      <c r="SR132" s="30"/>
      <c r="SS132" s="30"/>
      <c r="ST132" s="30"/>
      <c r="SU132" s="30"/>
      <c r="SV132" s="30"/>
      <c r="SW132" s="30"/>
      <c r="SX132" s="30"/>
      <c r="SY132" s="30"/>
      <c r="SZ132" s="30"/>
      <c r="TA132" s="30"/>
      <c r="TB132" s="30"/>
      <c r="TC132" s="30"/>
      <c r="TD132" s="30"/>
      <c r="TE132" s="30"/>
      <c r="TF132" s="30"/>
      <c r="TG132" s="30"/>
    </row>
    <row r="133" spans="1:527" s="22" customFormat="1" ht="31.5" x14ac:dyDescent="0.25">
      <c r="A133" s="60" t="s">
        <v>176</v>
      </c>
      <c r="B133" s="97">
        <f>'дод 8'!A82</f>
        <v>2144</v>
      </c>
      <c r="C133" s="97" t="str">
        <f>'дод 8'!B82</f>
        <v>0763</v>
      </c>
      <c r="D133" s="130" t="str">
        <f>'дод 8'!C82</f>
        <v>Централізовані заходи з лікування хворих на цукровий та нецукровий діабет, у т.ч. за рахунок:</v>
      </c>
      <c r="E133" s="103">
        <f t="shared" si="47"/>
        <v>11403700</v>
      </c>
      <c r="F133" s="103">
        <f>7670800+3732900</f>
        <v>11403700</v>
      </c>
      <c r="G133" s="117"/>
      <c r="H133" s="117"/>
      <c r="I133" s="117"/>
      <c r="J133" s="103">
        <f t="shared" si="49"/>
        <v>0</v>
      </c>
      <c r="K133" s="103"/>
      <c r="L133" s="103"/>
      <c r="M133" s="103"/>
      <c r="N133" s="103"/>
      <c r="O133" s="103"/>
      <c r="P133" s="103">
        <f t="shared" si="48"/>
        <v>11403700</v>
      </c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  <c r="IV133" s="23"/>
      <c r="IW133" s="23"/>
      <c r="IX133" s="23"/>
      <c r="IY133" s="23"/>
      <c r="IZ133" s="23"/>
      <c r="JA133" s="23"/>
      <c r="JB133" s="23"/>
      <c r="JC133" s="23"/>
      <c r="JD133" s="23"/>
      <c r="JE133" s="23"/>
      <c r="JF133" s="23"/>
      <c r="JG133" s="23"/>
      <c r="JH133" s="23"/>
      <c r="JI133" s="23"/>
      <c r="JJ133" s="23"/>
      <c r="JK133" s="23"/>
      <c r="JL133" s="23"/>
      <c r="JM133" s="23"/>
      <c r="JN133" s="23"/>
      <c r="JO133" s="23"/>
      <c r="JP133" s="23"/>
      <c r="JQ133" s="23"/>
      <c r="JR133" s="23"/>
      <c r="JS133" s="23"/>
      <c r="JT133" s="23"/>
      <c r="JU133" s="23"/>
      <c r="JV133" s="23"/>
      <c r="JW133" s="23"/>
      <c r="JX133" s="23"/>
      <c r="JY133" s="23"/>
      <c r="JZ133" s="23"/>
      <c r="KA133" s="23"/>
      <c r="KB133" s="23"/>
      <c r="KC133" s="23"/>
      <c r="KD133" s="23"/>
      <c r="KE133" s="23"/>
      <c r="KF133" s="23"/>
      <c r="KG133" s="23"/>
      <c r="KH133" s="23"/>
      <c r="KI133" s="23"/>
      <c r="KJ133" s="23"/>
      <c r="KK133" s="23"/>
      <c r="KL133" s="23"/>
      <c r="KM133" s="23"/>
      <c r="KN133" s="23"/>
      <c r="KO133" s="23"/>
      <c r="KP133" s="23"/>
      <c r="KQ133" s="23"/>
      <c r="KR133" s="23"/>
      <c r="KS133" s="23"/>
      <c r="KT133" s="23"/>
      <c r="KU133" s="23"/>
      <c r="KV133" s="23"/>
      <c r="KW133" s="23"/>
      <c r="KX133" s="23"/>
      <c r="KY133" s="23"/>
      <c r="KZ133" s="23"/>
      <c r="LA133" s="23"/>
      <c r="LB133" s="23"/>
      <c r="LC133" s="23"/>
      <c r="LD133" s="23"/>
      <c r="LE133" s="23"/>
      <c r="LF133" s="23"/>
      <c r="LG133" s="23"/>
      <c r="LH133" s="23"/>
      <c r="LI133" s="23"/>
      <c r="LJ133" s="23"/>
      <c r="LK133" s="23"/>
      <c r="LL133" s="23"/>
      <c r="LM133" s="23"/>
      <c r="LN133" s="23"/>
      <c r="LO133" s="23"/>
      <c r="LP133" s="23"/>
      <c r="LQ133" s="23"/>
      <c r="LR133" s="23"/>
      <c r="LS133" s="23"/>
      <c r="LT133" s="23"/>
      <c r="LU133" s="23"/>
      <c r="LV133" s="23"/>
      <c r="LW133" s="23"/>
      <c r="LX133" s="23"/>
      <c r="LY133" s="23"/>
      <c r="LZ133" s="23"/>
      <c r="MA133" s="23"/>
      <c r="MB133" s="23"/>
      <c r="MC133" s="23"/>
      <c r="MD133" s="23"/>
      <c r="ME133" s="23"/>
      <c r="MF133" s="23"/>
      <c r="MG133" s="23"/>
      <c r="MH133" s="23"/>
      <c r="MI133" s="23"/>
      <c r="MJ133" s="23"/>
      <c r="MK133" s="23"/>
      <c r="ML133" s="23"/>
      <c r="MM133" s="23"/>
      <c r="MN133" s="23"/>
      <c r="MO133" s="23"/>
      <c r="MP133" s="23"/>
      <c r="MQ133" s="23"/>
      <c r="MR133" s="23"/>
      <c r="MS133" s="23"/>
      <c r="MT133" s="23"/>
      <c r="MU133" s="23"/>
      <c r="MV133" s="23"/>
      <c r="MW133" s="23"/>
      <c r="MX133" s="23"/>
      <c r="MY133" s="23"/>
      <c r="MZ133" s="23"/>
      <c r="NA133" s="23"/>
      <c r="NB133" s="23"/>
      <c r="NC133" s="23"/>
      <c r="ND133" s="23"/>
      <c r="NE133" s="23"/>
      <c r="NF133" s="23"/>
      <c r="NG133" s="23"/>
      <c r="NH133" s="23"/>
      <c r="NI133" s="23"/>
      <c r="NJ133" s="23"/>
      <c r="NK133" s="23"/>
      <c r="NL133" s="23"/>
      <c r="NM133" s="23"/>
      <c r="NN133" s="23"/>
      <c r="NO133" s="23"/>
      <c r="NP133" s="23"/>
      <c r="NQ133" s="23"/>
      <c r="NR133" s="23"/>
      <c r="NS133" s="23"/>
      <c r="NT133" s="23"/>
      <c r="NU133" s="23"/>
      <c r="NV133" s="23"/>
      <c r="NW133" s="23"/>
      <c r="NX133" s="23"/>
      <c r="NY133" s="23"/>
      <c r="NZ133" s="23"/>
      <c r="OA133" s="23"/>
      <c r="OB133" s="23"/>
      <c r="OC133" s="23"/>
      <c r="OD133" s="23"/>
      <c r="OE133" s="23"/>
      <c r="OF133" s="23"/>
      <c r="OG133" s="23"/>
      <c r="OH133" s="23"/>
      <c r="OI133" s="23"/>
      <c r="OJ133" s="23"/>
      <c r="OK133" s="23"/>
      <c r="OL133" s="23"/>
      <c r="OM133" s="23"/>
      <c r="ON133" s="23"/>
      <c r="OO133" s="23"/>
      <c r="OP133" s="23"/>
      <c r="OQ133" s="23"/>
      <c r="OR133" s="23"/>
      <c r="OS133" s="23"/>
      <c r="OT133" s="23"/>
      <c r="OU133" s="23"/>
      <c r="OV133" s="23"/>
      <c r="OW133" s="23"/>
      <c r="OX133" s="23"/>
      <c r="OY133" s="23"/>
      <c r="OZ133" s="23"/>
      <c r="PA133" s="23"/>
      <c r="PB133" s="23"/>
      <c r="PC133" s="23"/>
      <c r="PD133" s="23"/>
      <c r="PE133" s="23"/>
      <c r="PF133" s="23"/>
      <c r="PG133" s="23"/>
      <c r="PH133" s="23"/>
      <c r="PI133" s="23"/>
      <c r="PJ133" s="23"/>
      <c r="PK133" s="23"/>
      <c r="PL133" s="23"/>
      <c r="PM133" s="23"/>
      <c r="PN133" s="23"/>
      <c r="PO133" s="23"/>
      <c r="PP133" s="23"/>
      <c r="PQ133" s="23"/>
      <c r="PR133" s="23"/>
      <c r="PS133" s="23"/>
      <c r="PT133" s="23"/>
      <c r="PU133" s="23"/>
      <c r="PV133" s="23"/>
      <c r="PW133" s="23"/>
      <c r="PX133" s="23"/>
      <c r="PY133" s="23"/>
      <c r="PZ133" s="23"/>
      <c r="QA133" s="23"/>
      <c r="QB133" s="23"/>
      <c r="QC133" s="23"/>
      <c r="QD133" s="23"/>
      <c r="QE133" s="23"/>
      <c r="QF133" s="23"/>
      <c r="QG133" s="23"/>
      <c r="QH133" s="23"/>
      <c r="QI133" s="23"/>
      <c r="QJ133" s="23"/>
      <c r="QK133" s="23"/>
      <c r="QL133" s="23"/>
      <c r="QM133" s="23"/>
      <c r="QN133" s="23"/>
      <c r="QO133" s="23"/>
      <c r="QP133" s="23"/>
      <c r="QQ133" s="23"/>
      <c r="QR133" s="23"/>
      <c r="QS133" s="23"/>
      <c r="QT133" s="23"/>
      <c r="QU133" s="23"/>
      <c r="QV133" s="23"/>
      <c r="QW133" s="23"/>
      <c r="QX133" s="23"/>
      <c r="QY133" s="23"/>
      <c r="QZ133" s="23"/>
      <c r="RA133" s="23"/>
      <c r="RB133" s="23"/>
      <c r="RC133" s="23"/>
      <c r="RD133" s="23"/>
      <c r="RE133" s="23"/>
      <c r="RF133" s="23"/>
      <c r="RG133" s="23"/>
      <c r="RH133" s="23"/>
      <c r="RI133" s="23"/>
      <c r="RJ133" s="23"/>
      <c r="RK133" s="23"/>
      <c r="RL133" s="23"/>
      <c r="RM133" s="23"/>
      <c r="RN133" s="23"/>
      <c r="RO133" s="23"/>
      <c r="RP133" s="23"/>
      <c r="RQ133" s="23"/>
      <c r="RR133" s="23"/>
      <c r="RS133" s="23"/>
      <c r="RT133" s="23"/>
      <c r="RU133" s="23"/>
      <c r="RV133" s="23"/>
      <c r="RW133" s="23"/>
      <c r="RX133" s="23"/>
      <c r="RY133" s="23"/>
      <c r="RZ133" s="23"/>
      <c r="SA133" s="23"/>
      <c r="SB133" s="23"/>
      <c r="SC133" s="23"/>
      <c r="SD133" s="23"/>
      <c r="SE133" s="23"/>
      <c r="SF133" s="23"/>
      <c r="SG133" s="23"/>
      <c r="SH133" s="23"/>
      <c r="SI133" s="23"/>
      <c r="SJ133" s="23"/>
      <c r="SK133" s="23"/>
      <c r="SL133" s="23"/>
      <c r="SM133" s="23"/>
      <c r="SN133" s="23"/>
      <c r="SO133" s="23"/>
      <c r="SP133" s="23"/>
      <c r="SQ133" s="23"/>
      <c r="SR133" s="23"/>
      <c r="SS133" s="23"/>
      <c r="ST133" s="23"/>
      <c r="SU133" s="23"/>
      <c r="SV133" s="23"/>
      <c r="SW133" s="23"/>
      <c r="SX133" s="23"/>
      <c r="SY133" s="23"/>
      <c r="SZ133" s="23"/>
      <c r="TA133" s="23"/>
      <c r="TB133" s="23"/>
      <c r="TC133" s="23"/>
      <c r="TD133" s="23"/>
      <c r="TE133" s="23"/>
      <c r="TF133" s="23"/>
      <c r="TG133" s="23"/>
    </row>
    <row r="134" spans="1:527" s="24" customFormat="1" ht="47.25" hidden="1" customHeight="1" x14ac:dyDescent="0.25">
      <c r="A134" s="88"/>
      <c r="B134" s="115"/>
      <c r="C134" s="115"/>
      <c r="D134" s="131" t="s">
        <v>393</v>
      </c>
      <c r="E134" s="105">
        <f t="shared" si="47"/>
        <v>0</v>
      </c>
      <c r="F134" s="105"/>
      <c r="G134" s="105"/>
      <c r="H134" s="105"/>
      <c r="I134" s="105"/>
      <c r="J134" s="105">
        <f t="shared" si="49"/>
        <v>0</v>
      </c>
      <c r="K134" s="105"/>
      <c r="L134" s="105"/>
      <c r="M134" s="105"/>
      <c r="N134" s="105"/>
      <c r="O134" s="105"/>
      <c r="P134" s="105">
        <f t="shared" si="48"/>
        <v>0</v>
      </c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  <c r="IW134" s="30"/>
      <c r="IX134" s="30"/>
      <c r="IY134" s="30"/>
      <c r="IZ134" s="30"/>
      <c r="JA134" s="30"/>
      <c r="JB134" s="30"/>
      <c r="JC134" s="30"/>
      <c r="JD134" s="30"/>
      <c r="JE134" s="30"/>
      <c r="JF134" s="30"/>
      <c r="JG134" s="30"/>
      <c r="JH134" s="30"/>
      <c r="JI134" s="30"/>
      <c r="JJ134" s="30"/>
      <c r="JK134" s="30"/>
      <c r="JL134" s="30"/>
      <c r="JM134" s="30"/>
      <c r="JN134" s="30"/>
      <c r="JO134" s="30"/>
      <c r="JP134" s="30"/>
      <c r="JQ134" s="30"/>
      <c r="JR134" s="30"/>
      <c r="JS134" s="30"/>
      <c r="JT134" s="30"/>
      <c r="JU134" s="30"/>
      <c r="JV134" s="30"/>
      <c r="JW134" s="30"/>
      <c r="JX134" s="30"/>
      <c r="JY134" s="30"/>
      <c r="JZ134" s="30"/>
      <c r="KA134" s="30"/>
      <c r="KB134" s="30"/>
      <c r="KC134" s="30"/>
      <c r="KD134" s="30"/>
      <c r="KE134" s="30"/>
      <c r="KF134" s="30"/>
      <c r="KG134" s="30"/>
      <c r="KH134" s="30"/>
      <c r="KI134" s="30"/>
      <c r="KJ134" s="30"/>
      <c r="KK134" s="30"/>
      <c r="KL134" s="30"/>
      <c r="KM134" s="30"/>
      <c r="KN134" s="30"/>
      <c r="KO134" s="30"/>
      <c r="KP134" s="30"/>
      <c r="KQ134" s="30"/>
      <c r="KR134" s="30"/>
      <c r="KS134" s="30"/>
      <c r="KT134" s="30"/>
      <c r="KU134" s="30"/>
      <c r="KV134" s="30"/>
      <c r="KW134" s="30"/>
      <c r="KX134" s="30"/>
      <c r="KY134" s="30"/>
      <c r="KZ134" s="30"/>
      <c r="LA134" s="30"/>
      <c r="LB134" s="30"/>
      <c r="LC134" s="30"/>
      <c r="LD134" s="30"/>
      <c r="LE134" s="30"/>
      <c r="LF134" s="30"/>
      <c r="LG134" s="30"/>
      <c r="LH134" s="30"/>
      <c r="LI134" s="30"/>
      <c r="LJ134" s="30"/>
      <c r="LK134" s="30"/>
      <c r="LL134" s="30"/>
      <c r="LM134" s="30"/>
      <c r="LN134" s="30"/>
      <c r="LO134" s="30"/>
      <c r="LP134" s="30"/>
      <c r="LQ134" s="30"/>
      <c r="LR134" s="30"/>
      <c r="LS134" s="30"/>
      <c r="LT134" s="30"/>
      <c r="LU134" s="30"/>
      <c r="LV134" s="30"/>
      <c r="LW134" s="30"/>
      <c r="LX134" s="30"/>
      <c r="LY134" s="30"/>
      <c r="LZ134" s="30"/>
      <c r="MA134" s="30"/>
      <c r="MB134" s="30"/>
      <c r="MC134" s="30"/>
      <c r="MD134" s="30"/>
      <c r="ME134" s="30"/>
      <c r="MF134" s="30"/>
      <c r="MG134" s="30"/>
      <c r="MH134" s="30"/>
      <c r="MI134" s="30"/>
      <c r="MJ134" s="30"/>
      <c r="MK134" s="30"/>
      <c r="ML134" s="30"/>
      <c r="MM134" s="30"/>
      <c r="MN134" s="30"/>
      <c r="MO134" s="30"/>
      <c r="MP134" s="30"/>
      <c r="MQ134" s="30"/>
      <c r="MR134" s="30"/>
      <c r="MS134" s="30"/>
      <c r="MT134" s="30"/>
      <c r="MU134" s="30"/>
      <c r="MV134" s="30"/>
      <c r="MW134" s="30"/>
      <c r="MX134" s="30"/>
      <c r="MY134" s="30"/>
      <c r="MZ134" s="30"/>
      <c r="NA134" s="30"/>
      <c r="NB134" s="30"/>
      <c r="NC134" s="30"/>
      <c r="ND134" s="30"/>
      <c r="NE134" s="30"/>
      <c r="NF134" s="30"/>
      <c r="NG134" s="30"/>
      <c r="NH134" s="30"/>
      <c r="NI134" s="30"/>
      <c r="NJ134" s="30"/>
      <c r="NK134" s="30"/>
      <c r="NL134" s="30"/>
      <c r="NM134" s="30"/>
      <c r="NN134" s="30"/>
      <c r="NO134" s="30"/>
      <c r="NP134" s="30"/>
      <c r="NQ134" s="30"/>
      <c r="NR134" s="30"/>
      <c r="NS134" s="30"/>
      <c r="NT134" s="30"/>
      <c r="NU134" s="30"/>
      <c r="NV134" s="30"/>
      <c r="NW134" s="30"/>
      <c r="NX134" s="30"/>
      <c r="NY134" s="30"/>
      <c r="NZ134" s="30"/>
      <c r="OA134" s="30"/>
      <c r="OB134" s="30"/>
      <c r="OC134" s="30"/>
      <c r="OD134" s="30"/>
      <c r="OE134" s="30"/>
      <c r="OF134" s="30"/>
      <c r="OG134" s="30"/>
      <c r="OH134" s="30"/>
      <c r="OI134" s="30"/>
      <c r="OJ134" s="30"/>
      <c r="OK134" s="30"/>
      <c r="OL134" s="30"/>
      <c r="OM134" s="30"/>
      <c r="ON134" s="30"/>
      <c r="OO134" s="30"/>
      <c r="OP134" s="30"/>
      <c r="OQ134" s="30"/>
      <c r="OR134" s="30"/>
      <c r="OS134" s="30"/>
      <c r="OT134" s="30"/>
      <c r="OU134" s="30"/>
      <c r="OV134" s="30"/>
      <c r="OW134" s="30"/>
      <c r="OX134" s="30"/>
      <c r="OY134" s="30"/>
      <c r="OZ134" s="30"/>
      <c r="PA134" s="30"/>
      <c r="PB134" s="30"/>
      <c r="PC134" s="30"/>
      <c r="PD134" s="30"/>
      <c r="PE134" s="30"/>
      <c r="PF134" s="30"/>
      <c r="PG134" s="30"/>
      <c r="PH134" s="30"/>
      <c r="PI134" s="30"/>
      <c r="PJ134" s="30"/>
      <c r="PK134" s="30"/>
      <c r="PL134" s="30"/>
      <c r="PM134" s="30"/>
      <c r="PN134" s="30"/>
      <c r="PO134" s="30"/>
      <c r="PP134" s="30"/>
      <c r="PQ134" s="30"/>
      <c r="PR134" s="30"/>
      <c r="PS134" s="30"/>
      <c r="PT134" s="30"/>
      <c r="PU134" s="30"/>
      <c r="PV134" s="30"/>
      <c r="PW134" s="30"/>
      <c r="PX134" s="30"/>
      <c r="PY134" s="30"/>
      <c r="PZ134" s="30"/>
      <c r="QA134" s="30"/>
      <c r="QB134" s="30"/>
      <c r="QC134" s="30"/>
      <c r="QD134" s="30"/>
      <c r="QE134" s="30"/>
      <c r="QF134" s="30"/>
      <c r="QG134" s="30"/>
      <c r="QH134" s="30"/>
      <c r="QI134" s="30"/>
      <c r="QJ134" s="30"/>
      <c r="QK134" s="30"/>
      <c r="QL134" s="30"/>
      <c r="QM134" s="30"/>
      <c r="QN134" s="30"/>
      <c r="QO134" s="30"/>
      <c r="QP134" s="30"/>
      <c r="QQ134" s="30"/>
      <c r="QR134" s="30"/>
      <c r="QS134" s="30"/>
      <c r="QT134" s="30"/>
      <c r="QU134" s="30"/>
      <c r="QV134" s="30"/>
      <c r="QW134" s="30"/>
      <c r="QX134" s="30"/>
      <c r="QY134" s="30"/>
      <c r="QZ134" s="30"/>
      <c r="RA134" s="30"/>
      <c r="RB134" s="30"/>
      <c r="RC134" s="30"/>
      <c r="RD134" s="30"/>
      <c r="RE134" s="30"/>
      <c r="RF134" s="30"/>
      <c r="RG134" s="30"/>
      <c r="RH134" s="30"/>
      <c r="RI134" s="30"/>
      <c r="RJ134" s="30"/>
      <c r="RK134" s="30"/>
      <c r="RL134" s="30"/>
      <c r="RM134" s="30"/>
      <c r="RN134" s="30"/>
      <c r="RO134" s="30"/>
      <c r="RP134" s="30"/>
      <c r="RQ134" s="30"/>
      <c r="RR134" s="30"/>
      <c r="RS134" s="30"/>
      <c r="RT134" s="30"/>
      <c r="RU134" s="30"/>
      <c r="RV134" s="30"/>
      <c r="RW134" s="30"/>
      <c r="RX134" s="30"/>
      <c r="RY134" s="30"/>
      <c r="RZ134" s="30"/>
      <c r="SA134" s="30"/>
      <c r="SB134" s="30"/>
      <c r="SC134" s="30"/>
      <c r="SD134" s="30"/>
      <c r="SE134" s="30"/>
      <c r="SF134" s="30"/>
      <c r="SG134" s="30"/>
      <c r="SH134" s="30"/>
      <c r="SI134" s="30"/>
      <c r="SJ134" s="30"/>
      <c r="SK134" s="30"/>
      <c r="SL134" s="30"/>
      <c r="SM134" s="30"/>
      <c r="SN134" s="30"/>
      <c r="SO134" s="30"/>
      <c r="SP134" s="30"/>
      <c r="SQ134" s="30"/>
      <c r="SR134" s="30"/>
      <c r="SS134" s="30"/>
      <c r="ST134" s="30"/>
      <c r="SU134" s="30"/>
      <c r="SV134" s="30"/>
      <c r="SW134" s="30"/>
      <c r="SX134" s="30"/>
      <c r="SY134" s="30"/>
      <c r="SZ134" s="30"/>
      <c r="TA134" s="30"/>
      <c r="TB134" s="30"/>
      <c r="TC134" s="30"/>
      <c r="TD134" s="30"/>
      <c r="TE134" s="30"/>
      <c r="TF134" s="30"/>
      <c r="TG134" s="30"/>
    </row>
    <row r="135" spans="1:527" s="24" customFormat="1" ht="63" x14ac:dyDescent="0.25">
      <c r="A135" s="88"/>
      <c r="B135" s="115"/>
      <c r="C135" s="115"/>
      <c r="D135" s="131" t="s">
        <v>394</v>
      </c>
      <c r="E135" s="105">
        <f t="shared" si="47"/>
        <v>11403700</v>
      </c>
      <c r="F135" s="105">
        <f>7670800+3732900</f>
        <v>11403700</v>
      </c>
      <c r="G135" s="118"/>
      <c r="H135" s="118"/>
      <c r="I135" s="118"/>
      <c r="J135" s="105">
        <f t="shared" si="49"/>
        <v>0</v>
      </c>
      <c r="K135" s="105"/>
      <c r="L135" s="105"/>
      <c r="M135" s="105"/>
      <c r="N135" s="105"/>
      <c r="O135" s="105"/>
      <c r="P135" s="105">
        <f t="shared" si="48"/>
        <v>11403700</v>
      </c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  <c r="IW135" s="30"/>
      <c r="IX135" s="30"/>
      <c r="IY135" s="30"/>
      <c r="IZ135" s="30"/>
      <c r="JA135" s="30"/>
      <c r="JB135" s="30"/>
      <c r="JC135" s="30"/>
      <c r="JD135" s="30"/>
      <c r="JE135" s="30"/>
      <c r="JF135" s="30"/>
      <c r="JG135" s="30"/>
      <c r="JH135" s="30"/>
      <c r="JI135" s="30"/>
      <c r="JJ135" s="30"/>
      <c r="JK135" s="30"/>
      <c r="JL135" s="30"/>
      <c r="JM135" s="30"/>
      <c r="JN135" s="30"/>
      <c r="JO135" s="30"/>
      <c r="JP135" s="30"/>
      <c r="JQ135" s="30"/>
      <c r="JR135" s="30"/>
      <c r="JS135" s="30"/>
      <c r="JT135" s="30"/>
      <c r="JU135" s="30"/>
      <c r="JV135" s="30"/>
      <c r="JW135" s="30"/>
      <c r="JX135" s="30"/>
      <c r="JY135" s="30"/>
      <c r="JZ135" s="30"/>
      <c r="KA135" s="30"/>
      <c r="KB135" s="30"/>
      <c r="KC135" s="30"/>
      <c r="KD135" s="30"/>
      <c r="KE135" s="30"/>
      <c r="KF135" s="30"/>
      <c r="KG135" s="30"/>
      <c r="KH135" s="30"/>
      <c r="KI135" s="30"/>
      <c r="KJ135" s="30"/>
      <c r="KK135" s="30"/>
      <c r="KL135" s="30"/>
      <c r="KM135" s="30"/>
      <c r="KN135" s="30"/>
      <c r="KO135" s="30"/>
      <c r="KP135" s="30"/>
      <c r="KQ135" s="30"/>
      <c r="KR135" s="30"/>
      <c r="KS135" s="30"/>
      <c r="KT135" s="30"/>
      <c r="KU135" s="30"/>
      <c r="KV135" s="30"/>
      <c r="KW135" s="30"/>
      <c r="KX135" s="30"/>
      <c r="KY135" s="30"/>
      <c r="KZ135" s="30"/>
      <c r="LA135" s="30"/>
      <c r="LB135" s="30"/>
      <c r="LC135" s="30"/>
      <c r="LD135" s="30"/>
      <c r="LE135" s="30"/>
      <c r="LF135" s="30"/>
      <c r="LG135" s="30"/>
      <c r="LH135" s="30"/>
      <c r="LI135" s="30"/>
      <c r="LJ135" s="30"/>
      <c r="LK135" s="30"/>
      <c r="LL135" s="30"/>
      <c r="LM135" s="30"/>
      <c r="LN135" s="30"/>
      <c r="LO135" s="30"/>
      <c r="LP135" s="30"/>
      <c r="LQ135" s="30"/>
      <c r="LR135" s="30"/>
      <c r="LS135" s="30"/>
      <c r="LT135" s="30"/>
      <c r="LU135" s="30"/>
      <c r="LV135" s="30"/>
      <c r="LW135" s="30"/>
      <c r="LX135" s="30"/>
      <c r="LY135" s="30"/>
      <c r="LZ135" s="30"/>
      <c r="MA135" s="30"/>
      <c r="MB135" s="30"/>
      <c r="MC135" s="30"/>
      <c r="MD135" s="30"/>
      <c r="ME135" s="30"/>
      <c r="MF135" s="30"/>
      <c r="MG135" s="30"/>
      <c r="MH135" s="30"/>
      <c r="MI135" s="30"/>
      <c r="MJ135" s="30"/>
      <c r="MK135" s="30"/>
      <c r="ML135" s="30"/>
      <c r="MM135" s="30"/>
      <c r="MN135" s="30"/>
      <c r="MO135" s="30"/>
      <c r="MP135" s="30"/>
      <c r="MQ135" s="30"/>
      <c r="MR135" s="30"/>
      <c r="MS135" s="30"/>
      <c r="MT135" s="30"/>
      <c r="MU135" s="30"/>
      <c r="MV135" s="30"/>
      <c r="MW135" s="30"/>
      <c r="MX135" s="30"/>
      <c r="MY135" s="30"/>
      <c r="MZ135" s="30"/>
      <c r="NA135" s="30"/>
      <c r="NB135" s="30"/>
      <c r="NC135" s="30"/>
      <c r="ND135" s="30"/>
      <c r="NE135" s="30"/>
      <c r="NF135" s="30"/>
      <c r="NG135" s="30"/>
      <c r="NH135" s="30"/>
      <c r="NI135" s="30"/>
      <c r="NJ135" s="30"/>
      <c r="NK135" s="30"/>
      <c r="NL135" s="30"/>
      <c r="NM135" s="30"/>
      <c r="NN135" s="30"/>
      <c r="NO135" s="30"/>
      <c r="NP135" s="30"/>
      <c r="NQ135" s="30"/>
      <c r="NR135" s="30"/>
      <c r="NS135" s="30"/>
      <c r="NT135" s="30"/>
      <c r="NU135" s="30"/>
      <c r="NV135" s="30"/>
      <c r="NW135" s="30"/>
      <c r="NX135" s="30"/>
      <c r="NY135" s="30"/>
      <c r="NZ135" s="30"/>
      <c r="OA135" s="30"/>
      <c r="OB135" s="30"/>
      <c r="OC135" s="30"/>
      <c r="OD135" s="30"/>
      <c r="OE135" s="30"/>
      <c r="OF135" s="30"/>
      <c r="OG135" s="30"/>
      <c r="OH135" s="30"/>
      <c r="OI135" s="30"/>
      <c r="OJ135" s="30"/>
      <c r="OK135" s="30"/>
      <c r="OL135" s="30"/>
      <c r="OM135" s="30"/>
      <c r="ON135" s="30"/>
      <c r="OO135" s="30"/>
      <c r="OP135" s="30"/>
      <c r="OQ135" s="30"/>
      <c r="OR135" s="30"/>
      <c r="OS135" s="30"/>
      <c r="OT135" s="30"/>
      <c r="OU135" s="30"/>
      <c r="OV135" s="30"/>
      <c r="OW135" s="30"/>
      <c r="OX135" s="30"/>
      <c r="OY135" s="30"/>
      <c r="OZ135" s="30"/>
      <c r="PA135" s="30"/>
      <c r="PB135" s="30"/>
      <c r="PC135" s="30"/>
      <c r="PD135" s="30"/>
      <c r="PE135" s="30"/>
      <c r="PF135" s="30"/>
      <c r="PG135" s="30"/>
      <c r="PH135" s="30"/>
      <c r="PI135" s="30"/>
      <c r="PJ135" s="30"/>
      <c r="PK135" s="30"/>
      <c r="PL135" s="30"/>
      <c r="PM135" s="30"/>
      <c r="PN135" s="30"/>
      <c r="PO135" s="30"/>
      <c r="PP135" s="30"/>
      <c r="PQ135" s="30"/>
      <c r="PR135" s="30"/>
      <c r="PS135" s="30"/>
      <c r="PT135" s="30"/>
      <c r="PU135" s="30"/>
      <c r="PV135" s="30"/>
      <c r="PW135" s="30"/>
      <c r="PX135" s="30"/>
      <c r="PY135" s="30"/>
      <c r="PZ135" s="30"/>
      <c r="QA135" s="30"/>
      <c r="QB135" s="30"/>
      <c r="QC135" s="30"/>
      <c r="QD135" s="30"/>
      <c r="QE135" s="30"/>
      <c r="QF135" s="30"/>
      <c r="QG135" s="30"/>
      <c r="QH135" s="30"/>
      <c r="QI135" s="30"/>
      <c r="QJ135" s="30"/>
      <c r="QK135" s="30"/>
      <c r="QL135" s="30"/>
      <c r="QM135" s="30"/>
      <c r="QN135" s="30"/>
      <c r="QO135" s="30"/>
      <c r="QP135" s="30"/>
      <c r="QQ135" s="30"/>
      <c r="QR135" s="30"/>
      <c r="QS135" s="30"/>
      <c r="QT135" s="30"/>
      <c r="QU135" s="30"/>
      <c r="QV135" s="30"/>
      <c r="QW135" s="30"/>
      <c r="QX135" s="30"/>
      <c r="QY135" s="30"/>
      <c r="QZ135" s="30"/>
      <c r="RA135" s="30"/>
      <c r="RB135" s="30"/>
      <c r="RC135" s="30"/>
      <c r="RD135" s="30"/>
      <c r="RE135" s="30"/>
      <c r="RF135" s="30"/>
      <c r="RG135" s="30"/>
      <c r="RH135" s="30"/>
      <c r="RI135" s="30"/>
      <c r="RJ135" s="30"/>
      <c r="RK135" s="30"/>
      <c r="RL135" s="30"/>
      <c r="RM135" s="30"/>
      <c r="RN135" s="30"/>
      <c r="RO135" s="30"/>
      <c r="RP135" s="30"/>
      <c r="RQ135" s="30"/>
      <c r="RR135" s="30"/>
      <c r="RS135" s="30"/>
      <c r="RT135" s="30"/>
      <c r="RU135" s="30"/>
      <c r="RV135" s="30"/>
      <c r="RW135" s="30"/>
      <c r="RX135" s="30"/>
      <c r="RY135" s="30"/>
      <c r="RZ135" s="30"/>
      <c r="SA135" s="30"/>
      <c r="SB135" s="30"/>
      <c r="SC135" s="30"/>
      <c r="SD135" s="30"/>
      <c r="SE135" s="30"/>
      <c r="SF135" s="30"/>
      <c r="SG135" s="30"/>
      <c r="SH135" s="30"/>
      <c r="SI135" s="30"/>
      <c r="SJ135" s="30"/>
      <c r="SK135" s="30"/>
      <c r="SL135" s="30"/>
      <c r="SM135" s="30"/>
      <c r="SN135" s="30"/>
      <c r="SO135" s="30"/>
      <c r="SP135" s="30"/>
      <c r="SQ135" s="30"/>
      <c r="SR135" s="30"/>
      <c r="SS135" s="30"/>
      <c r="ST135" s="30"/>
      <c r="SU135" s="30"/>
      <c r="SV135" s="30"/>
      <c r="SW135" s="30"/>
      <c r="SX135" s="30"/>
      <c r="SY135" s="30"/>
      <c r="SZ135" s="30"/>
      <c r="TA135" s="30"/>
      <c r="TB135" s="30"/>
      <c r="TC135" s="30"/>
      <c r="TD135" s="30"/>
      <c r="TE135" s="30"/>
      <c r="TF135" s="30"/>
      <c r="TG135" s="30"/>
    </row>
    <row r="136" spans="1:527" s="22" customFormat="1" ht="30" customHeight="1" x14ac:dyDescent="0.25">
      <c r="A136" s="60" t="s">
        <v>327</v>
      </c>
      <c r="B136" s="42" t="str">
        <f>'дод 8'!A85</f>
        <v>2151</v>
      </c>
      <c r="C136" s="42" t="str">
        <f>'дод 8'!B85</f>
        <v>0763</v>
      </c>
      <c r="D136" s="61" t="str">
        <f>'дод 8'!C85</f>
        <v>Забезпечення діяльності інших закладів у сфері охорони здоров’я</v>
      </c>
      <c r="E136" s="103">
        <f t="shared" si="47"/>
        <v>3049300</v>
      </c>
      <c r="F136" s="103">
        <v>3049300</v>
      </c>
      <c r="G136" s="119">
        <v>2387600</v>
      </c>
      <c r="H136" s="119">
        <v>48700</v>
      </c>
      <c r="I136" s="117"/>
      <c r="J136" s="103">
        <f t="shared" si="49"/>
        <v>0</v>
      </c>
      <c r="K136" s="103"/>
      <c r="L136" s="103"/>
      <c r="M136" s="103"/>
      <c r="N136" s="103"/>
      <c r="O136" s="103"/>
      <c r="P136" s="103">
        <f t="shared" si="48"/>
        <v>3049300</v>
      </c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  <c r="IW136" s="23"/>
      <c r="IX136" s="23"/>
      <c r="IY136" s="23"/>
      <c r="IZ136" s="23"/>
      <c r="JA136" s="23"/>
      <c r="JB136" s="23"/>
      <c r="JC136" s="23"/>
      <c r="JD136" s="23"/>
      <c r="JE136" s="23"/>
      <c r="JF136" s="23"/>
      <c r="JG136" s="23"/>
      <c r="JH136" s="23"/>
      <c r="JI136" s="23"/>
      <c r="JJ136" s="23"/>
      <c r="JK136" s="23"/>
      <c r="JL136" s="23"/>
      <c r="JM136" s="23"/>
      <c r="JN136" s="23"/>
      <c r="JO136" s="23"/>
      <c r="JP136" s="23"/>
      <c r="JQ136" s="23"/>
      <c r="JR136" s="23"/>
      <c r="JS136" s="23"/>
      <c r="JT136" s="23"/>
      <c r="JU136" s="23"/>
      <c r="JV136" s="23"/>
      <c r="JW136" s="23"/>
      <c r="JX136" s="23"/>
      <c r="JY136" s="23"/>
      <c r="JZ136" s="23"/>
      <c r="KA136" s="23"/>
      <c r="KB136" s="23"/>
      <c r="KC136" s="23"/>
      <c r="KD136" s="23"/>
      <c r="KE136" s="23"/>
      <c r="KF136" s="23"/>
      <c r="KG136" s="23"/>
      <c r="KH136" s="23"/>
      <c r="KI136" s="23"/>
      <c r="KJ136" s="23"/>
      <c r="KK136" s="23"/>
      <c r="KL136" s="23"/>
      <c r="KM136" s="23"/>
      <c r="KN136" s="23"/>
      <c r="KO136" s="23"/>
      <c r="KP136" s="23"/>
      <c r="KQ136" s="23"/>
      <c r="KR136" s="23"/>
      <c r="KS136" s="23"/>
      <c r="KT136" s="23"/>
      <c r="KU136" s="23"/>
      <c r="KV136" s="23"/>
      <c r="KW136" s="23"/>
      <c r="KX136" s="23"/>
      <c r="KY136" s="23"/>
      <c r="KZ136" s="23"/>
      <c r="LA136" s="23"/>
      <c r="LB136" s="23"/>
      <c r="LC136" s="23"/>
      <c r="LD136" s="23"/>
      <c r="LE136" s="23"/>
      <c r="LF136" s="23"/>
      <c r="LG136" s="23"/>
      <c r="LH136" s="23"/>
      <c r="LI136" s="23"/>
      <c r="LJ136" s="23"/>
      <c r="LK136" s="23"/>
      <c r="LL136" s="23"/>
      <c r="LM136" s="23"/>
      <c r="LN136" s="23"/>
      <c r="LO136" s="23"/>
      <c r="LP136" s="23"/>
      <c r="LQ136" s="23"/>
      <c r="LR136" s="23"/>
      <c r="LS136" s="23"/>
      <c r="LT136" s="23"/>
      <c r="LU136" s="23"/>
      <c r="LV136" s="23"/>
      <c r="LW136" s="23"/>
      <c r="LX136" s="23"/>
      <c r="LY136" s="23"/>
      <c r="LZ136" s="23"/>
      <c r="MA136" s="23"/>
      <c r="MB136" s="23"/>
      <c r="MC136" s="23"/>
      <c r="MD136" s="23"/>
      <c r="ME136" s="23"/>
      <c r="MF136" s="23"/>
      <c r="MG136" s="23"/>
      <c r="MH136" s="23"/>
      <c r="MI136" s="23"/>
      <c r="MJ136" s="23"/>
      <c r="MK136" s="23"/>
      <c r="ML136" s="23"/>
      <c r="MM136" s="23"/>
      <c r="MN136" s="23"/>
      <c r="MO136" s="23"/>
      <c r="MP136" s="23"/>
      <c r="MQ136" s="23"/>
      <c r="MR136" s="23"/>
      <c r="MS136" s="23"/>
      <c r="MT136" s="23"/>
      <c r="MU136" s="23"/>
      <c r="MV136" s="23"/>
      <c r="MW136" s="23"/>
      <c r="MX136" s="23"/>
      <c r="MY136" s="23"/>
      <c r="MZ136" s="23"/>
      <c r="NA136" s="23"/>
      <c r="NB136" s="23"/>
      <c r="NC136" s="23"/>
      <c r="ND136" s="23"/>
      <c r="NE136" s="23"/>
      <c r="NF136" s="23"/>
      <c r="NG136" s="23"/>
      <c r="NH136" s="23"/>
      <c r="NI136" s="23"/>
      <c r="NJ136" s="23"/>
      <c r="NK136" s="23"/>
      <c r="NL136" s="23"/>
      <c r="NM136" s="23"/>
      <c r="NN136" s="23"/>
      <c r="NO136" s="23"/>
      <c r="NP136" s="23"/>
      <c r="NQ136" s="23"/>
      <c r="NR136" s="23"/>
      <c r="NS136" s="23"/>
      <c r="NT136" s="23"/>
      <c r="NU136" s="23"/>
      <c r="NV136" s="23"/>
      <c r="NW136" s="23"/>
      <c r="NX136" s="23"/>
      <c r="NY136" s="23"/>
      <c r="NZ136" s="23"/>
      <c r="OA136" s="23"/>
      <c r="OB136" s="23"/>
      <c r="OC136" s="23"/>
      <c r="OD136" s="23"/>
      <c r="OE136" s="23"/>
      <c r="OF136" s="23"/>
      <c r="OG136" s="23"/>
      <c r="OH136" s="23"/>
      <c r="OI136" s="23"/>
      <c r="OJ136" s="23"/>
      <c r="OK136" s="23"/>
      <c r="OL136" s="23"/>
      <c r="OM136" s="23"/>
      <c r="ON136" s="23"/>
      <c r="OO136" s="23"/>
      <c r="OP136" s="23"/>
      <c r="OQ136" s="23"/>
      <c r="OR136" s="23"/>
      <c r="OS136" s="23"/>
      <c r="OT136" s="23"/>
      <c r="OU136" s="23"/>
      <c r="OV136" s="23"/>
      <c r="OW136" s="23"/>
      <c r="OX136" s="23"/>
      <c r="OY136" s="23"/>
      <c r="OZ136" s="23"/>
      <c r="PA136" s="23"/>
      <c r="PB136" s="23"/>
      <c r="PC136" s="23"/>
      <c r="PD136" s="23"/>
      <c r="PE136" s="23"/>
      <c r="PF136" s="23"/>
      <c r="PG136" s="23"/>
      <c r="PH136" s="23"/>
      <c r="PI136" s="23"/>
      <c r="PJ136" s="23"/>
      <c r="PK136" s="23"/>
      <c r="PL136" s="23"/>
      <c r="PM136" s="23"/>
      <c r="PN136" s="23"/>
      <c r="PO136" s="23"/>
      <c r="PP136" s="23"/>
      <c r="PQ136" s="23"/>
      <c r="PR136" s="23"/>
      <c r="PS136" s="23"/>
      <c r="PT136" s="23"/>
      <c r="PU136" s="23"/>
      <c r="PV136" s="23"/>
      <c r="PW136" s="23"/>
      <c r="PX136" s="23"/>
      <c r="PY136" s="23"/>
      <c r="PZ136" s="23"/>
      <c r="QA136" s="23"/>
      <c r="QB136" s="23"/>
      <c r="QC136" s="23"/>
      <c r="QD136" s="23"/>
      <c r="QE136" s="23"/>
      <c r="QF136" s="23"/>
      <c r="QG136" s="23"/>
      <c r="QH136" s="23"/>
      <c r="QI136" s="23"/>
      <c r="QJ136" s="23"/>
      <c r="QK136" s="23"/>
      <c r="QL136" s="23"/>
      <c r="QM136" s="23"/>
      <c r="QN136" s="23"/>
      <c r="QO136" s="23"/>
      <c r="QP136" s="23"/>
      <c r="QQ136" s="23"/>
      <c r="QR136" s="23"/>
      <c r="QS136" s="23"/>
      <c r="QT136" s="23"/>
      <c r="QU136" s="23"/>
      <c r="QV136" s="23"/>
      <c r="QW136" s="23"/>
      <c r="QX136" s="23"/>
      <c r="QY136" s="23"/>
      <c r="QZ136" s="23"/>
      <c r="RA136" s="23"/>
      <c r="RB136" s="23"/>
      <c r="RC136" s="23"/>
      <c r="RD136" s="23"/>
      <c r="RE136" s="23"/>
      <c r="RF136" s="23"/>
      <c r="RG136" s="23"/>
      <c r="RH136" s="23"/>
      <c r="RI136" s="23"/>
      <c r="RJ136" s="23"/>
      <c r="RK136" s="23"/>
      <c r="RL136" s="23"/>
      <c r="RM136" s="23"/>
      <c r="RN136" s="23"/>
      <c r="RO136" s="23"/>
      <c r="RP136" s="23"/>
      <c r="RQ136" s="23"/>
      <c r="RR136" s="23"/>
      <c r="RS136" s="23"/>
      <c r="RT136" s="23"/>
      <c r="RU136" s="23"/>
      <c r="RV136" s="23"/>
      <c r="RW136" s="23"/>
      <c r="RX136" s="23"/>
      <c r="RY136" s="23"/>
      <c r="RZ136" s="23"/>
      <c r="SA136" s="23"/>
      <c r="SB136" s="23"/>
      <c r="SC136" s="23"/>
      <c r="SD136" s="23"/>
      <c r="SE136" s="23"/>
      <c r="SF136" s="23"/>
      <c r="SG136" s="23"/>
      <c r="SH136" s="23"/>
      <c r="SI136" s="23"/>
      <c r="SJ136" s="23"/>
      <c r="SK136" s="23"/>
      <c r="SL136" s="23"/>
      <c r="SM136" s="23"/>
      <c r="SN136" s="23"/>
      <c r="SO136" s="23"/>
      <c r="SP136" s="23"/>
      <c r="SQ136" s="23"/>
      <c r="SR136" s="23"/>
      <c r="SS136" s="23"/>
      <c r="ST136" s="23"/>
      <c r="SU136" s="23"/>
      <c r="SV136" s="23"/>
      <c r="SW136" s="23"/>
      <c r="SX136" s="23"/>
      <c r="SY136" s="23"/>
      <c r="SZ136" s="23"/>
      <c r="TA136" s="23"/>
      <c r="TB136" s="23"/>
      <c r="TC136" s="23"/>
      <c r="TD136" s="23"/>
      <c r="TE136" s="23"/>
      <c r="TF136" s="23"/>
      <c r="TG136" s="23"/>
    </row>
    <row r="137" spans="1:527" s="22" customFormat="1" ht="24.75" customHeight="1" x14ac:dyDescent="0.25">
      <c r="A137" s="60" t="s">
        <v>328</v>
      </c>
      <c r="B137" s="42" t="str">
        <f>'дод 8'!A86</f>
        <v>2152</v>
      </c>
      <c r="C137" s="42" t="str">
        <f>'дод 8'!B86</f>
        <v>0763</v>
      </c>
      <c r="D137" s="36" t="str">
        <f>'дод 8'!C86</f>
        <v>Інші програми та заходи у сфері охорони здоров’я</v>
      </c>
      <c r="E137" s="103">
        <f>F137+I137</f>
        <v>19783800</v>
      </c>
      <c r="F137" s="103">
        <v>19783800</v>
      </c>
      <c r="G137" s="103"/>
      <c r="H137" s="103"/>
      <c r="I137" s="103"/>
      <c r="J137" s="103">
        <f t="shared" si="49"/>
        <v>23031354</v>
      </c>
      <c r="K137" s="103">
        <f>19737500+2000000+793854+500000</f>
        <v>23031354</v>
      </c>
      <c r="L137" s="103"/>
      <c r="M137" s="103"/>
      <c r="N137" s="103"/>
      <c r="O137" s="103">
        <f>19737500+2000000+793854+500000</f>
        <v>23031354</v>
      </c>
      <c r="P137" s="103">
        <f t="shared" si="48"/>
        <v>42815154</v>
      </c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  <c r="PA137" s="23"/>
      <c r="PB137" s="23"/>
      <c r="PC137" s="23"/>
      <c r="PD137" s="23"/>
      <c r="PE137" s="23"/>
      <c r="PF137" s="23"/>
      <c r="PG137" s="23"/>
      <c r="PH137" s="23"/>
      <c r="PI137" s="23"/>
      <c r="PJ137" s="23"/>
      <c r="PK137" s="23"/>
      <c r="PL137" s="23"/>
      <c r="PM137" s="23"/>
      <c r="PN137" s="23"/>
      <c r="PO137" s="23"/>
      <c r="PP137" s="23"/>
      <c r="PQ137" s="23"/>
      <c r="PR137" s="23"/>
      <c r="PS137" s="23"/>
      <c r="PT137" s="23"/>
      <c r="PU137" s="23"/>
      <c r="PV137" s="23"/>
      <c r="PW137" s="23"/>
      <c r="PX137" s="23"/>
      <c r="PY137" s="23"/>
      <c r="PZ137" s="23"/>
      <c r="QA137" s="23"/>
      <c r="QB137" s="23"/>
      <c r="QC137" s="23"/>
      <c r="QD137" s="23"/>
      <c r="QE137" s="2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23"/>
      <c r="RN137" s="23"/>
      <c r="RO137" s="23"/>
      <c r="RP137" s="23"/>
      <c r="RQ137" s="23"/>
      <c r="RR137" s="23"/>
      <c r="RS137" s="23"/>
      <c r="RT137" s="23"/>
      <c r="RU137" s="23"/>
      <c r="RV137" s="23"/>
      <c r="RW137" s="23"/>
      <c r="RX137" s="23"/>
      <c r="RY137" s="23"/>
      <c r="RZ137" s="23"/>
      <c r="SA137" s="23"/>
      <c r="SB137" s="23"/>
      <c r="SC137" s="23"/>
      <c r="SD137" s="23"/>
      <c r="SE137" s="23"/>
      <c r="SF137" s="23"/>
      <c r="SG137" s="23"/>
      <c r="SH137" s="23"/>
      <c r="SI137" s="23"/>
      <c r="SJ137" s="23"/>
      <c r="SK137" s="23"/>
      <c r="SL137" s="23"/>
      <c r="SM137" s="23"/>
      <c r="SN137" s="23"/>
      <c r="SO137" s="23"/>
      <c r="SP137" s="23"/>
      <c r="SQ137" s="23"/>
      <c r="SR137" s="23"/>
      <c r="SS137" s="23"/>
      <c r="ST137" s="23"/>
      <c r="SU137" s="23"/>
      <c r="SV137" s="23"/>
      <c r="SW137" s="23"/>
      <c r="SX137" s="23"/>
      <c r="SY137" s="23"/>
      <c r="SZ137" s="23"/>
      <c r="TA137" s="23"/>
      <c r="TB137" s="23"/>
      <c r="TC137" s="23"/>
      <c r="TD137" s="23"/>
      <c r="TE137" s="23"/>
      <c r="TF137" s="23"/>
      <c r="TG137" s="23"/>
    </row>
    <row r="138" spans="1:527" s="22" customFormat="1" ht="24.75" customHeight="1" x14ac:dyDescent="0.25">
      <c r="A138" s="60" t="s">
        <v>418</v>
      </c>
      <c r="B138" s="42">
        <v>7322</v>
      </c>
      <c r="C138" s="107" t="s">
        <v>113</v>
      </c>
      <c r="D138" s="6" t="s">
        <v>570</v>
      </c>
      <c r="E138" s="103">
        <f>F138+I138</f>
        <v>0</v>
      </c>
      <c r="F138" s="103"/>
      <c r="G138" s="103"/>
      <c r="H138" s="103"/>
      <c r="I138" s="103"/>
      <c r="J138" s="103">
        <f t="shared" si="49"/>
        <v>28533372</v>
      </c>
      <c r="K138" s="103">
        <f>20000000+378711+1600000+3000000+1000000+1024661+1150000-58661+200000+180000+58661</f>
        <v>28533372</v>
      </c>
      <c r="L138" s="103"/>
      <c r="M138" s="103"/>
      <c r="N138" s="103"/>
      <c r="O138" s="103">
        <f>20000000+378711+1600000+3000000+1000000+1024661+1150000-58661+200000+180000+58661</f>
        <v>28533372</v>
      </c>
      <c r="P138" s="103">
        <f t="shared" si="48"/>
        <v>28533372</v>
      </c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  <c r="TF138" s="23"/>
      <c r="TG138" s="23"/>
    </row>
    <row r="139" spans="1:527" s="22" customFormat="1" ht="47.25" x14ac:dyDescent="0.25">
      <c r="A139" s="60" t="s">
        <v>375</v>
      </c>
      <c r="B139" s="42">
        <f>'дод 8'!A165</f>
        <v>7361</v>
      </c>
      <c r="C139" s="42" t="str">
        <f>'дод 8'!B165</f>
        <v>0490</v>
      </c>
      <c r="D139" s="36" t="str">
        <f>'дод 8'!C165</f>
        <v>Співфінансування інвестиційних проектів, що реалізуються за рахунок коштів державного фонду регіонального розвитку</v>
      </c>
      <c r="E139" s="103">
        <f t="shared" si="47"/>
        <v>0</v>
      </c>
      <c r="F139" s="103"/>
      <c r="G139" s="103"/>
      <c r="H139" s="103"/>
      <c r="I139" s="103"/>
      <c r="J139" s="103">
        <f t="shared" si="49"/>
        <v>4289000</v>
      </c>
      <c r="K139" s="103">
        <f>2289000+2000000</f>
        <v>4289000</v>
      </c>
      <c r="L139" s="103"/>
      <c r="M139" s="103"/>
      <c r="N139" s="103"/>
      <c r="O139" s="103">
        <f>2289000+2000000</f>
        <v>4289000</v>
      </c>
      <c r="P139" s="103">
        <f t="shared" si="48"/>
        <v>4289000</v>
      </c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N139" s="23"/>
      <c r="MO139" s="23"/>
      <c r="MP139" s="23"/>
      <c r="MQ139" s="23"/>
      <c r="MR139" s="23"/>
      <c r="MS139" s="23"/>
      <c r="MT139" s="23"/>
      <c r="MU139" s="23"/>
      <c r="MV139" s="23"/>
      <c r="MW139" s="23"/>
      <c r="MX139" s="23"/>
      <c r="MY139" s="23"/>
      <c r="MZ139" s="23"/>
      <c r="NA139" s="23"/>
      <c r="NB139" s="23"/>
      <c r="NC139" s="23"/>
      <c r="ND139" s="23"/>
      <c r="NE139" s="23"/>
      <c r="NF139" s="23"/>
      <c r="NG139" s="23"/>
      <c r="NH139" s="23"/>
      <c r="NI139" s="23"/>
      <c r="NJ139" s="23"/>
      <c r="NK139" s="23"/>
      <c r="NL139" s="23"/>
      <c r="NM139" s="23"/>
      <c r="NN139" s="23"/>
      <c r="NO139" s="23"/>
      <c r="NP139" s="23"/>
      <c r="NQ139" s="23"/>
      <c r="NR139" s="23"/>
      <c r="NS139" s="23"/>
      <c r="NT139" s="23"/>
      <c r="NU139" s="23"/>
      <c r="NV139" s="23"/>
      <c r="NW139" s="23"/>
      <c r="NX139" s="23"/>
      <c r="NY139" s="23"/>
      <c r="NZ139" s="23"/>
      <c r="OA139" s="23"/>
      <c r="OB139" s="23"/>
      <c r="OC139" s="23"/>
      <c r="OD139" s="23"/>
      <c r="OE139" s="23"/>
      <c r="OF139" s="23"/>
      <c r="OG139" s="23"/>
      <c r="OH139" s="23"/>
      <c r="OI139" s="23"/>
      <c r="OJ139" s="23"/>
      <c r="OK139" s="23"/>
      <c r="OL139" s="23"/>
      <c r="OM139" s="23"/>
      <c r="ON139" s="23"/>
      <c r="OO139" s="23"/>
      <c r="OP139" s="23"/>
      <c r="OQ139" s="23"/>
      <c r="OR139" s="23"/>
      <c r="OS139" s="23"/>
      <c r="OT139" s="23"/>
      <c r="OU139" s="23"/>
      <c r="OV139" s="23"/>
      <c r="OW139" s="23"/>
      <c r="OX139" s="23"/>
      <c r="OY139" s="23"/>
      <c r="OZ139" s="23"/>
      <c r="PA139" s="23"/>
      <c r="PB139" s="23"/>
      <c r="PC139" s="23"/>
      <c r="PD139" s="23"/>
      <c r="PE139" s="23"/>
      <c r="PF139" s="23"/>
      <c r="PG139" s="23"/>
      <c r="PH139" s="23"/>
      <c r="PI139" s="23"/>
      <c r="PJ139" s="23"/>
      <c r="PK139" s="23"/>
      <c r="PL139" s="23"/>
      <c r="PM139" s="23"/>
      <c r="PN139" s="23"/>
      <c r="PO139" s="23"/>
      <c r="PP139" s="23"/>
      <c r="PQ139" s="23"/>
      <c r="PR139" s="23"/>
      <c r="PS139" s="23"/>
      <c r="PT139" s="23"/>
      <c r="PU139" s="23"/>
      <c r="PV139" s="23"/>
      <c r="PW139" s="23"/>
      <c r="PX139" s="23"/>
      <c r="PY139" s="23"/>
      <c r="PZ139" s="23"/>
      <c r="QA139" s="23"/>
      <c r="QB139" s="23"/>
      <c r="QC139" s="23"/>
      <c r="QD139" s="23"/>
      <c r="QE139" s="23"/>
      <c r="QF139" s="23"/>
      <c r="QG139" s="23"/>
      <c r="QH139" s="23"/>
      <c r="QI139" s="23"/>
      <c r="QJ139" s="23"/>
      <c r="QK139" s="23"/>
      <c r="QL139" s="23"/>
      <c r="QM139" s="23"/>
      <c r="QN139" s="23"/>
      <c r="QO139" s="23"/>
      <c r="QP139" s="23"/>
      <c r="QQ139" s="23"/>
      <c r="QR139" s="23"/>
      <c r="QS139" s="23"/>
      <c r="QT139" s="23"/>
      <c r="QU139" s="23"/>
      <c r="QV139" s="23"/>
      <c r="QW139" s="23"/>
      <c r="QX139" s="23"/>
      <c r="QY139" s="23"/>
      <c r="QZ139" s="23"/>
      <c r="RA139" s="23"/>
      <c r="RB139" s="23"/>
      <c r="RC139" s="23"/>
      <c r="RD139" s="23"/>
      <c r="RE139" s="23"/>
      <c r="RF139" s="23"/>
      <c r="RG139" s="23"/>
      <c r="RH139" s="23"/>
      <c r="RI139" s="23"/>
      <c r="RJ139" s="23"/>
      <c r="RK139" s="23"/>
      <c r="RL139" s="23"/>
      <c r="RM139" s="23"/>
      <c r="RN139" s="23"/>
      <c r="RO139" s="23"/>
      <c r="RP139" s="23"/>
      <c r="RQ139" s="23"/>
      <c r="RR139" s="23"/>
      <c r="RS139" s="23"/>
      <c r="RT139" s="23"/>
      <c r="RU139" s="23"/>
      <c r="RV139" s="23"/>
      <c r="RW139" s="23"/>
      <c r="RX139" s="23"/>
      <c r="RY139" s="23"/>
      <c r="RZ139" s="23"/>
      <c r="SA139" s="23"/>
      <c r="SB139" s="23"/>
      <c r="SC139" s="23"/>
      <c r="SD139" s="23"/>
      <c r="SE139" s="23"/>
      <c r="SF139" s="23"/>
      <c r="SG139" s="23"/>
      <c r="SH139" s="23"/>
      <c r="SI139" s="23"/>
      <c r="SJ139" s="23"/>
      <c r="SK139" s="23"/>
      <c r="SL139" s="23"/>
      <c r="SM139" s="23"/>
      <c r="SN139" s="23"/>
      <c r="SO139" s="23"/>
      <c r="SP139" s="23"/>
      <c r="SQ139" s="23"/>
      <c r="SR139" s="23"/>
      <c r="SS139" s="23"/>
      <c r="ST139" s="23"/>
      <c r="SU139" s="23"/>
      <c r="SV139" s="23"/>
      <c r="SW139" s="23"/>
      <c r="SX139" s="23"/>
      <c r="SY139" s="23"/>
      <c r="SZ139" s="23"/>
      <c r="TA139" s="23"/>
      <c r="TB139" s="23"/>
      <c r="TC139" s="23"/>
      <c r="TD139" s="23"/>
      <c r="TE139" s="23"/>
      <c r="TF139" s="23"/>
      <c r="TG139" s="23"/>
    </row>
    <row r="140" spans="1:527" s="22" customFormat="1" ht="47.25" x14ac:dyDescent="0.25">
      <c r="A140" s="60" t="s">
        <v>425</v>
      </c>
      <c r="B140" s="42">
        <v>7363</v>
      </c>
      <c r="C140" s="107" t="s">
        <v>84</v>
      </c>
      <c r="D140" s="61" t="s">
        <v>400</v>
      </c>
      <c r="E140" s="103">
        <f t="shared" si="47"/>
        <v>0</v>
      </c>
      <c r="F140" s="103"/>
      <c r="G140" s="103"/>
      <c r="H140" s="103"/>
      <c r="I140" s="103"/>
      <c r="J140" s="103">
        <f t="shared" si="49"/>
        <v>156000</v>
      </c>
      <c r="K140" s="103">
        <v>156000</v>
      </c>
      <c r="L140" s="103"/>
      <c r="M140" s="103"/>
      <c r="N140" s="103"/>
      <c r="O140" s="103">
        <v>156000</v>
      </c>
      <c r="P140" s="103">
        <f t="shared" si="48"/>
        <v>156000</v>
      </c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  <c r="IW140" s="23"/>
      <c r="IX140" s="23"/>
      <c r="IY140" s="23"/>
      <c r="IZ140" s="23"/>
      <c r="JA140" s="23"/>
      <c r="JB140" s="23"/>
      <c r="JC140" s="23"/>
      <c r="JD140" s="23"/>
      <c r="JE140" s="23"/>
      <c r="JF140" s="23"/>
      <c r="JG140" s="23"/>
      <c r="JH140" s="23"/>
      <c r="JI140" s="23"/>
      <c r="JJ140" s="23"/>
      <c r="JK140" s="23"/>
      <c r="JL140" s="23"/>
      <c r="JM140" s="23"/>
      <c r="JN140" s="23"/>
      <c r="JO140" s="23"/>
      <c r="JP140" s="23"/>
      <c r="JQ140" s="23"/>
      <c r="JR140" s="23"/>
      <c r="JS140" s="23"/>
      <c r="JT140" s="23"/>
      <c r="JU140" s="23"/>
      <c r="JV140" s="23"/>
      <c r="JW140" s="23"/>
      <c r="JX140" s="23"/>
      <c r="JY140" s="23"/>
      <c r="JZ140" s="23"/>
      <c r="KA140" s="23"/>
      <c r="KB140" s="23"/>
      <c r="KC140" s="23"/>
      <c r="KD140" s="23"/>
      <c r="KE140" s="23"/>
      <c r="KF140" s="23"/>
      <c r="KG140" s="23"/>
      <c r="KH140" s="23"/>
      <c r="KI140" s="23"/>
      <c r="KJ140" s="23"/>
      <c r="KK140" s="23"/>
      <c r="KL140" s="23"/>
      <c r="KM140" s="23"/>
      <c r="KN140" s="23"/>
      <c r="KO140" s="23"/>
      <c r="KP140" s="23"/>
      <c r="KQ140" s="23"/>
      <c r="KR140" s="23"/>
      <c r="KS140" s="23"/>
      <c r="KT140" s="23"/>
      <c r="KU140" s="23"/>
      <c r="KV140" s="23"/>
      <c r="KW140" s="23"/>
      <c r="KX140" s="23"/>
      <c r="KY140" s="23"/>
      <c r="KZ140" s="23"/>
      <c r="LA140" s="23"/>
      <c r="LB140" s="23"/>
      <c r="LC140" s="23"/>
      <c r="LD140" s="23"/>
      <c r="LE140" s="23"/>
      <c r="LF140" s="23"/>
      <c r="LG140" s="23"/>
      <c r="LH140" s="23"/>
      <c r="LI140" s="23"/>
      <c r="LJ140" s="23"/>
      <c r="LK140" s="23"/>
      <c r="LL140" s="23"/>
      <c r="LM140" s="23"/>
      <c r="LN140" s="23"/>
      <c r="LO140" s="23"/>
      <c r="LP140" s="23"/>
      <c r="LQ140" s="23"/>
      <c r="LR140" s="23"/>
      <c r="LS140" s="23"/>
      <c r="LT140" s="23"/>
      <c r="LU140" s="23"/>
      <c r="LV140" s="23"/>
      <c r="LW140" s="23"/>
      <c r="LX140" s="23"/>
      <c r="LY140" s="23"/>
      <c r="LZ140" s="23"/>
      <c r="MA140" s="23"/>
      <c r="MB140" s="23"/>
      <c r="MC140" s="23"/>
      <c r="MD140" s="23"/>
      <c r="ME140" s="23"/>
      <c r="MF140" s="23"/>
      <c r="MG140" s="23"/>
      <c r="MH140" s="23"/>
      <c r="MI140" s="23"/>
      <c r="MJ140" s="23"/>
      <c r="MK140" s="23"/>
      <c r="ML140" s="23"/>
      <c r="MM140" s="23"/>
      <c r="MN140" s="23"/>
      <c r="MO140" s="23"/>
      <c r="MP140" s="23"/>
      <c r="MQ140" s="23"/>
      <c r="MR140" s="23"/>
      <c r="MS140" s="23"/>
      <c r="MT140" s="23"/>
      <c r="MU140" s="23"/>
      <c r="MV140" s="23"/>
      <c r="MW140" s="23"/>
      <c r="MX140" s="23"/>
      <c r="MY140" s="23"/>
      <c r="MZ140" s="23"/>
      <c r="NA140" s="23"/>
      <c r="NB140" s="23"/>
      <c r="NC140" s="23"/>
      <c r="ND140" s="23"/>
      <c r="NE140" s="23"/>
      <c r="NF140" s="23"/>
      <c r="NG140" s="23"/>
      <c r="NH140" s="23"/>
      <c r="NI140" s="23"/>
      <c r="NJ140" s="23"/>
      <c r="NK140" s="23"/>
      <c r="NL140" s="23"/>
      <c r="NM140" s="23"/>
      <c r="NN140" s="23"/>
      <c r="NO140" s="23"/>
      <c r="NP140" s="23"/>
      <c r="NQ140" s="23"/>
      <c r="NR140" s="23"/>
      <c r="NS140" s="23"/>
      <c r="NT140" s="23"/>
      <c r="NU140" s="23"/>
      <c r="NV140" s="23"/>
      <c r="NW140" s="23"/>
      <c r="NX140" s="23"/>
      <c r="NY140" s="23"/>
      <c r="NZ140" s="23"/>
      <c r="OA140" s="23"/>
      <c r="OB140" s="23"/>
      <c r="OC140" s="23"/>
      <c r="OD140" s="23"/>
      <c r="OE140" s="23"/>
      <c r="OF140" s="23"/>
      <c r="OG140" s="23"/>
      <c r="OH140" s="23"/>
      <c r="OI140" s="23"/>
      <c r="OJ140" s="23"/>
      <c r="OK140" s="23"/>
      <c r="OL140" s="23"/>
      <c r="OM140" s="23"/>
      <c r="ON140" s="23"/>
      <c r="OO140" s="23"/>
      <c r="OP140" s="23"/>
      <c r="OQ140" s="23"/>
      <c r="OR140" s="23"/>
      <c r="OS140" s="23"/>
      <c r="OT140" s="23"/>
      <c r="OU140" s="23"/>
      <c r="OV140" s="23"/>
      <c r="OW140" s="23"/>
      <c r="OX140" s="23"/>
      <c r="OY140" s="23"/>
      <c r="OZ140" s="23"/>
      <c r="PA140" s="23"/>
      <c r="PB140" s="23"/>
      <c r="PC140" s="23"/>
      <c r="PD140" s="23"/>
      <c r="PE140" s="23"/>
      <c r="PF140" s="23"/>
      <c r="PG140" s="23"/>
      <c r="PH140" s="23"/>
      <c r="PI140" s="23"/>
      <c r="PJ140" s="23"/>
      <c r="PK140" s="23"/>
      <c r="PL140" s="23"/>
      <c r="PM140" s="23"/>
      <c r="PN140" s="23"/>
      <c r="PO140" s="23"/>
      <c r="PP140" s="23"/>
      <c r="PQ140" s="23"/>
      <c r="PR140" s="23"/>
      <c r="PS140" s="23"/>
      <c r="PT140" s="23"/>
      <c r="PU140" s="23"/>
      <c r="PV140" s="23"/>
      <c r="PW140" s="23"/>
      <c r="PX140" s="23"/>
      <c r="PY140" s="23"/>
      <c r="PZ140" s="23"/>
      <c r="QA140" s="23"/>
      <c r="QB140" s="23"/>
      <c r="QC140" s="23"/>
      <c r="QD140" s="23"/>
      <c r="QE140" s="23"/>
      <c r="QF140" s="23"/>
      <c r="QG140" s="23"/>
      <c r="QH140" s="23"/>
      <c r="QI140" s="23"/>
      <c r="QJ140" s="23"/>
      <c r="QK140" s="23"/>
      <c r="QL140" s="23"/>
      <c r="QM140" s="23"/>
      <c r="QN140" s="23"/>
      <c r="QO140" s="23"/>
      <c r="QP140" s="23"/>
      <c r="QQ140" s="23"/>
      <c r="QR140" s="23"/>
      <c r="QS140" s="23"/>
      <c r="QT140" s="23"/>
      <c r="QU140" s="23"/>
      <c r="QV140" s="23"/>
      <c r="QW140" s="23"/>
      <c r="QX140" s="23"/>
      <c r="QY140" s="23"/>
      <c r="QZ140" s="23"/>
      <c r="RA140" s="23"/>
      <c r="RB140" s="23"/>
      <c r="RC140" s="23"/>
      <c r="RD140" s="23"/>
      <c r="RE140" s="23"/>
      <c r="RF140" s="23"/>
      <c r="RG140" s="23"/>
      <c r="RH140" s="23"/>
      <c r="RI140" s="23"/>
      <c r="RJ140" s="23"/>
      <c r="RK140" s="23"/>
      <c r="RL140" s="23"/>
      <c r="RM140" s="23"/>
      <c r="RN140" s="23"/>
      <c r="RO140" s="23"/>
      <c r="RP140" s="23"/>
      <c r="RQ140" s="23"/>
      <c r="RR140" s="23"/>
      <c r="RS140" s="23"/>
      <c r="RT140" s="23"/>
      <c r="RU140" s="23"/>
      <c r="RV140" s="23"/>
      <c r="RW140" s="23"/>
      <c r="RX140" s="23"/>
      <c r="RY140" s="23"/>
      <c r="RZ140" s="23"/>
      <c r="SA140" s="23"/>
      <c r="SB140" s="23"/>
      <c r="SC140" s="23"/>
      <c r="SD140" s="23"/>
      <c r="SE140" s="23"/>
      <c r="SF140" s="23"/>
      <c r="SG140" s="23"/>
      <c r="SH140" s="23"/>
      <c r="SI140" s="23"/>
      <c r="SJ140" s="23"/>
      <c r="SK140" s="23"/>
      <c r="SL140" s="23"/>
      <c r="SM140" s="23"/>
      <c r="SN140" s="23"/>
      <c r="SO140" s="23"/>
      <c r="SP140" s="23"/>
      <c r="SQ140" s="23"/>
      <c r="SR140" s="23"/>
      <c r="SS140" s="23"/>
      <c r="ST140" s="23"/>
      <c r="SU140" s="23"/>
      <c r="SV140" s="23"/>
      <c r="SW140" s="23"/>
      <c r="SX140" s="23"/>
      <c r="SY140" s="23"/>
      <c r="SZ140" s="23"/>
      <c r="TA140" s="23"/>
      <c r="TB140" s="23"/>
      <c r="TC140" s="23"/>
      <c r="TD140" s="23"/>
      <c r="TE140" s="23"/>
      <c r="TF140" s="23"/>
      <c r="TG140" s="23"/>
    </row>
    <row r="141" spans="1:527" s="22" customFormat="1" ht="47.25" x14ac:dyDescent="0.25">
      <c r="A141" s="60"/>
      <c r="B141" s="42"/>
      <c r="C141" s="42"/>
      <c r="D141" s="91" t="s">
        <v>577</v>
      </c>
      <c r="E141" s="105">
        <f t="shared" si="47"/>
        <v>0</v>
      </c>
      <c r="F141" s="105"/>
      <c r="G141" s="105"/>
      <c r="H141" s="105"/>
      <c r="I141" s="105"/>
      <c r="J141" s="105">
        <f t="shared" si="49"/>
        <v>156000</v>
      </c>
      <c r="K141" s="105">
        <v>156000</v>
      </c>
      <c r="L141" s="105"/>
      <c r="M141" s="105"/>
      <c r="N141" s="105"/>
      <c r="O141" s="105">
        <v>156000</v>
      </c>
      <c r="P141" s="105">
        <f t="shared" si="48"/>
        <v>156000</v>
      </c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  <c r="IW141" s="23"/>
      <c r="IX141" s="23"/>
      <c r="IY141" s="23"/>
      <c r="IZ141" s="23"/>
      <c r="JA141" s="23"/>
      <c r="JB141" s="23"/>
      <c r="JC141" s="23"/>
      <c r="JD141" s="23"/>
      <c r="JE141" s="23"/>
      <c r="JF141" s="23"/>
      <c r="JG141" s="23"/>
      <c r="JH141" s="23"/>
      <c r="JI141" s="23"/>
      <c r="JJ141" s="23"/>
      <c r="JK141" s="23"/>
      <c r="JL141" s="23"/>
      <c r="JM141" s="23"/>
      <c r="JN141" s="23"/>
      <c r="JO141" s="23"/>
      <c r="JP141" s="23"/>
      <c r="JQ141" s="23"/>
      <c r="JR141" s="23"/>
      <c r="JS141" s="23"/>
      <c r="JT141" s="23"/>
      <c r="JU141" s="23"/>
      <c r="JV141" s="23"/>
      <c r="JW141" s="23"/>
      <c r="JX141" s="23"/>
      <c r="JY141" s="23"/>
      <c r="JZ141" s="23"/>
      <c r="KA141" s="23"/>
      <c r="KB141" s="23"/>
      <c r="KC141" s="23"/>
      <c r="KD141" s="23"/>
      <c r="KE141" s="23"/>
      <c r="KF141" s="23"/>
      <c r="KG141" s="23"/>
      <c r="KH141" s="23"/>
      <c r="KI141" s="23"/>
      <c r="KJ141" s="23"/>
      <c r="KK141" s="23"/>
      <c r="KL141" s="23"/>
      <c r="KM141" s="23"/>
      <c r="KN141" s="23"/>
      <c r="KO141" s="23"/>
      <c r="KP141" s="23"/>
      <c r="KQ141" s="23"/>
      <c r="KR141" s="23"/>
      <c r="KS141" s="23"/>
      <c r="KT141" s="23"/>
      <c r="KU141" s="23"/>
      <c r="KV141" s="23"/>
      <c r="KW141" s="23"/>
      <c r="KX141" s="23"/>
      <c r="KY141" s="23"/>
      <c r="KZ141" s="23"/>
      <c r="LA141" s="23"/>
      <c r="LB141" s="23"/>
      <c r="LC141" s="23"/>
      <c r="LD141" s="23"/>
      <c r="LE141" s="23"/>
      <c r="LF141" s="23"/>
      <c r="LG141" s="23"/>
      <c r="LH141" s="23"/>
      <c r="LI141" s="23"/>
      <c r="LJ141" s="23"/>
      <c r="LK141" s="23"/>
      <c r="LL141" s="23"/>
      <c r="LM141" s="23"/>
      <c r="LN141" s="23"/>
      <c r="LO141" s="23"/>
      <c r="LP141" s="23"/>
      <c r="LQ141" s="23"/>
      <c r="LR141" s="23"/>
      <c r="LS141" s="23"/>
      <c r="LT141" s="23"/>
      <c r="LU141" s="23"/>
      <c r="LV141" s="23"/>
      <c r="LW141" s="23"/>
      <c r="LX141" s="23"/>
      <c r="LY141" s="23"/>
      <c r="LZ141" s="23"/>
      <c r="MA141" s="23"/>
      <c r="MB141" s="23"/>
      <c r="MC141" s="23"/>
      <c r="MD141" s="23"/>
      <c r="ME141" s="23"/>
      <c r="MF141" s="23"/>
      <c r="MG141" s="23"/>
      <c r="MH141" s="23"/>
      <c r="MI141" s="23"/>
      <c r="MJ141" s="23"/>
      <c r="MK141" s="23"/>
      <c r="ML141" s="23"/>
      <c r="MM141" s="23"/>
      <c r="MN141" s="23"/>
      <c r="MO141" s="23"/>
      <c r="MP141" s="23"/>
      <c r="MQ141" s="23"/>
      <c r="MR141" s="23"/>
      <c r="MS141" s="23"/>
      <c r="MT141" s="23"/>
      <c r="MU141" s="23"/>
      <c r="MV141" s="23"/>
      <c r="MW141" s="23"/>
      <c r="MX141" s="23"/>
      <c r="MY141" s="23"/>
      <c r="MZ141" s="23"/>
      <c r="NA141" s="23"/>
      <c r="NB141" s="23"/>
      <c r="NC141" s="23"/>
      <c r="ND141" s="23"/>
      <c r="NE141" s="23"/>
      <c r="NF141" s="23"/>
      <c r="NG141" s="23"/>
      <c r="NH141" s="23"/>
      <c r="NI141" s="23"/>
      <c r="NJ141" s="23"/>
      <c r="NK141" s="23"/>
      <c r="NL141" s="23"/>
      <c r="NM141" s="23"/>
      <c r="NN141" s="23"/>
      <c r="NO141" s="23"/>
      <c r="NP141" s="23"/>
      <c r="NQ141" s="23"/>
      <c r="NR141" s="23"/>
      <c r="NS141" s="23"/>
      <c r="NT141" s="23"/>
      <c r="NU141" s="23"/>
      <c r="NV141" s="23"/>
      <c r="NW141" s="23"/>
      <c r="NX141" s="23"/>
      <c r="NY141" s="23"/>
      <c r="NZ141" s="23"/>
      <c r="OA141" s="23"/>
      <c r="OB141" s="23"/>
      <c r="OC141" s="23"/>
      <c r="OD141" s="23"/>
      <c r="OE141" s="23"/>
      <c r="OF141" s="23"/>
      <c r="OG141" s="23"/>
      <c r="OH141" s="23"/>
      <c r="OI141" s="23"/>
      <c r="OJ141" s="23"/>
      <c r="OK141" s="23"/>
      <c r="OL141" s="23"/>
      <c r="OM141" s="23"/>
      <c r="ON141" s="23"/>
      <c r="OO141" s="23"/>
      <c r="OP141" s="23"/>
      <c r="OQ141" s="23"/>
      <c r="OR141" s="23"/>
      <c r="OS141" s="23"/>
      <c r="OT141" s="23"/>
      <c r="OU141" s="23"/>
      <c r="OV141" s="23"/>
      <c r="OW141" s="23"/>
      <c r="OX141" s="23"/>
      <c r="OY141" s="23"/>
      <c r="OZ141" s="23"/>
      <c r="PA141" s="23"/>
      <c r="PB141" s="23"/>
      <c r="PC141" s="23"/>
      <c r="PD141" s="23"/>
      <c r="PE141" s="23"/>
      <c r="PF141" s="23"/>
      <c r="PG141" s="23"/>
      <c r="PH141" s="23"/>
      <c r="PI141" s="23"/>
      <c r="PJ141" s="23"/>
      <c r="PK141" s="23"/>
      <c r="PL141" s="23"/>
      <c r="PM141" s="23"/>
      <c r="PN141" s="23"/>
      <c r="PO141" s="23"/>
      <c r="PP141" s="23"/>
      <c r="PQ141" s="23"/>
      <c r="PR141" s="23"/>
      <c r="PS141" s="23"/>
      <c r="PT141" s="23"/>
      <c r="PU141" s="23"/>
      <c r="PV141" s="23"/>
      <c r="PW141" s="23"/>
      <c r="PX141" s="23"/>
      <c r="PY141" s="23"/>
      <c r="PZ141" s="23"/>
      <c r="QA141" s="23"/>
      <c r="QB141" s="23"/>
      <c r="QC141" s="23"/>
      <c r="QD141" s="23"/>
      <c r="QE141" s="23"/>
      <c r="QF141" s="23"/>
      <c r="QG141" s="23"/>
      <c r="QH141" s="23"/>
      <c r="QI141" s="23"/>
      <c r="QJ141" s="23"/>
      <c r="QK141" s="23"/>
      <c r="QL141" s="23"/>
      <c r="QM141" s="23"/>
      <c r="QN141" s="23"/>
      <c r="QO141" s="23"/>
      <c r="QP141" s="23"/>
      <c r="QQ141" s="23"/>
      <c r="QR141" s="23"/>
      <c r="QS141" s="23"/>
      <c r="QT141" s="23"/>
      <c r="QU141" s="23"/>
      <c r="QV141" s="23"/>
      <c r="QW141" s="23"/>
      <c r="QX141" s="23"/>
      <c r="QY141" s="23"/>
      <c r="QZ141" s="23"/>
      <c r="RA141" s="23"/>
      <c r="RB141" s="23"/>
      <c r="RC141" s="23"/>
      <c r="RD141" s="23"/>
      <c r="RE141" s="23"/>
      <c r="RF141" s="23"/>
      <c r="RG141" s="23"/>
      <c r="RH141" s="23"/>
      <c r="RI141" s="23"/>
      <c r="RJ141" s="23"/>
      <c r="RK141" s="23"/>
      <c r="RL141" s="23"/>
      <c r="RM141" s="23"/>
      <c r="RN141" s="23"/>
      <c r="RO141" s="23"/>
      <c r="RP141" s="23"/>
      <c r="RQ141" s="23"/>
      <c r="RR141" s="23"/>
      <c r="RS141" s="23"/>
      <c r="RT141" s="23"/>
      <c r="RU141" s="23"/>
      <c r="RV141" s="23"/>
      <c r="RW141" s="23"/>
      <c r="RX141" s="23"/>
      <c r="RY141" s="23"/>
      <c r="RZ141" s="23"/>
      <c r="SA141" s="23"/>
      <c r="SB141" s="23"/>
      <c r="SC141" s="23"/>
      <c r="SD141" s="23"/>
      <c r="SE141" s="23"/>
      <c r="SF141" s="23"/>
      <c r="SG141" s="23"/>
      <c r="SH141" s="23"/>
      <c r="SI141" s="23"/>
      <c r="SJ141" s="23"/>
      <c r="SK141" s="23"/>
      <c r="SL141" s="23"/>
      <c r="SM141" s="23"/>
      <c r="SN141" s="23"/>
      <c r="SO141" s="23"/>
      <c r="SP141" s="23"/>
      <c r="SQ141" s="23"/>
      <c r="SR141" s="23"/>
      <c r="SS141" s="23"/>
      <c r="ST141" s="23"/>
      <c r="SU141" s="23"/>
      <c r="SV141" s="23"/>
      <c r="SW141" s="23"/>
      <c r="SX141" s="23"/>
      <c r="SY141" s="23"/>
      <c r="SZ141" s="23"/>
      <c r="TA141" s="23"/>
      <c r="TB141" s="23"/>
      <c r="TC141" s="23"/>
      <c r="TD141" s="23"/>
      <c r="TE141" s="23"/>
      <c r="TF141" s="23"/>
      <c r="TG141" s="23"/>
    </row>
    <row r="142" spans="1:527" s="22" customFormat="1" ht="18.75" customHeight="1" x14ac:dyDescent="0.25">
      <c r="A142" s="60" t="s">
        <v>175</v>
      </c>
      <c r="B142" s="97" t="str">
        <f>'дод 8'!A187</f>
        <v>7640</v>
      </c>
      <c r="C142" s="97" t="str">
        <f>'дод 8'!B187</f>
        <v>0470</v>
      </c>
      <c r="D142" s="61" t="s">
        <v>420</v>
      </c>
      <c r="E142" s="103">
        <f t="shared" si="47"/>
        <v>121500</v>
      </c>
      <c r="F142" s="103">
        <v>121500</v>
      </c>
      <c r="G142" s="103"/>
      <c r="H142" s="103"/>
      <c r="I142" s="103"/>
      <c r="J142" s="103">
        <f t="shared" si="49"/>
        <v>10527570.120000001</v>
      </c>
      <c r="K142" s="103">
        <f>7336970+3190600.12</f>
        <v>10527570.120000001</v>
      </c>
      <c r="L142" s="103"/>
      <c r="M142" s="103"/>
      <c r="N142" s="103"/>
      <c r="O142" s="103">
        <f>7336970+3190600.12</f>
        <v>10527570.120000001</v>
      </c>
      <c r="P142" s="103">
        <f t="shared" si="48"/>
        <v>10649070.120000001</v>
      </c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  <c r="IW142" s="23"/>
      <c r="IX142" s="23"/>
      <c r="IY142" s="23"/>
      <c r="IZ142" s="23"/>
      <c r="JA142" s="23"/>
      <c r="JB142" s="23"/>
      <c r="JC142" s="23"/>
      <c r="JD142" s="23"/>
      <c r="JE142" s="23"/>
      <c r="JF142" s="23"/>
      <c r="JG142" s="23"/>
      <c r="JH142" s="23"/>
      <c r="JI142" s="23"/>
      <c r="JJ142" s="23"/>
      <c r="JK142" s="23"/>
      <c r="JL142" s="23"/>
      <c r="JM142" s="23"/>
      <c r="JN142" s="23"/>
      <c r="JO142" s="23"/>
      <c r="JP142" s="23"/>
      <c r="JQ142" s="23"/>
      <c r="JR142" s="23"/>
      <c r="JS142" s="23"/>
      <c r="JT142" s="23"/>
      <c r="JU142" s="23"/>
      <c r="JV142" s="23"/>
      <c r="JW142" s="23"/>
      <c r="JX142" s="23"/>
      <c r="JY142" s="23"/>
      <c r="JZ142" s="23"/>
      <c r="KA142" s="23"/>
      <c r="KB142" s="23"/>
      <c r="KC142" s="23"/>
      <c r="KD142" s="23"/>
      <c r="KE142" s="23"/>
      <c r="KF142" s="23"/>
      <c r="KG142" s="23"/>
      <c r="KH142" s="23"/>
      <c r="KI142" s="23"/>
      <c r="KJ142" s="23"/>
      <c r="KK142" s="23"/>
      <c r="KL142" s="23"/>
      <c r="KM142" s="23"/>
      <c r="KN142" s="23"/>
      <c r="KO142" s="23"/>
      <c r="KP142" s="23"/>
      <c r="KQ142" s="23"/>
      <c r="KR142" s="23"/>
      <c r="KS142" s="23"/>
      <c r="KT142" s="23"/>
      <c r="KU142" s="23"/>
      <c r="KV142" s="23"/>
      <c r="KW142" s="23"/>
      <c r="KX142" s="23"/>
      <c r="KY142" s="23"/>
      <c r="KZ142" s="23"/>
      <c r="LA142" s="23"/>
      <c r="LB142" s="23"/>
      <c r="LC142" s="23"/>
      <c r="LD142" s="23"/>
      <c r="LE142" s="23"/>
      <c r="LF142" s="23"/>
      <c r="LG142" s="23"/>
      <c r="LH142" s="23"/>
      <c r="LI142" s="23"/>
      <c r="LJ142" s="23"/>
      <c r="LK142" s="23"/>
      <c r="LL142" s="23"/>
      <c r="LM142" s="23"/>
      <c r="LN142" s="23"/>
      <c r="LO142" s="23"/>
      <c r="LP142" s="23"/>
      <c r="LQ142" s="23"/>
      <c r="LR142" s="23"/>
      <c r="LS142" s="23"/>
      <c r="LT142" s="23"/>
      <c r="LU142" s="23"/>
      <c r="LV142" s="23"/>
      <c r="LW142" s="23"/>
      <c r="LX142" s="23"/>
      <c r="LY142" s="23"/>
      <c r="LZ142" s="23"/>
      <c r="MA142" s="23"/>
      <c r="MB142" s="23"/>
      <c r="MC142" s="23"/>
      <c r="MD142" s="23"/>
      <c r="ME142" s="23"/>
      <c r="MF142" s="23"/>
      <c r="MG142" s="23"/>
      <c r="MH142" s="23"/>
      <c r="MI142" s="23"/>
      <c r="MJ142" s="23"/>
      <c r="MK142" s="23"/>
      <c r="ML142" s="23"/>
      <c r="MM142" s="23"/>
      <c r="MN142" s="23"/>
      <c r="MO142" s="23"/>
      <c r="MP142" s="23"/>
      <c r="MQ142" s="23"/>
      <c r="MR142" s="23"/>
      <c r="MS142" s="23"/>
      <c r="MT142" s="23"/>
      <c r="MU142" s="23"/>
      <c r="MV142" s="23"/>
      <c r="MW142" s="23"/>
      <c r="MX142" s="23"/>
      <c r="MY142" s="23"/>
      <c r="MZ142" s="23"/>
      <c r="NA142" s="23"/>
      <c r="NB142" s="23"/>
      <c r="NC142" s="23"/>
      <c r="ND142" s="23"/>
      <c r="NE142" s="23"/>
      <c r="NF142" s="23"/>
      <c r="NG142" s="23"/>
      <c r="NH142" s="23"/>
      <c r="NI142" s="23"/>
      <c r="NJ142" s="23"/>
      <c r="NK142" s="23"/>
      <c r="NL142" s="23"/>
      <c r="NM142" s="23"/>
      <c r="NN142" s="23"/>
      <c r="NO142" s="23"/>
      <c r="NP142" s="23"/>
      <c r="NQ142" s="23"/>
      <c r="NR142" s="23"/>
      <c r="NS142" s="23"/>
      <c r="NT142" s="23"/>
      <c r="NU142" s="23"/>
      <c r="NV142" s="23"/>
      <c r="NW142" s="23"/>
      <c r="NX142" s="23"/>
      <c r="NY142" s="23"/>
      <c r="NZ142" s="23"/>
      <c r="OA142" s="23"/>
      <c r="OB142" s="23"/>
      <c r="OC142" s="23"/>
      <c r="OD142" s="23"/>
      <c r="OE142" s="23"/>
      <c r="OF142" s="23"/>
      <c r="OG142" s="23"/>
      <c r="OH142" s="23"/>
      <c r="OI142" s="23"/>
      <c r="OJ142" s="23"/>
      <c r="OK142" s="23"/>
      <c r="OL142" s="23"/>
      <c r="OM142" s="23"/>
      <c r="ON142" s="23"/>
      <c r="OO142" s="23"/>
      <c r="OP142" s="23"/>
      <c r="OQ142" s="23"/>
      <c r="OR142" s="23"/>
      <c r="OS142" s="23"/>
      <c r="OT142" s="23"/>
      <c r="OU142" s="23"/>
      <c r="OV142" s="23"/>
      <c r="OW142" s="23"/>
      <c r="OX142" s="23"/>
      <c r="OY142" s="23"/>
      <c r="OZ142" s="23"/>
      <c r="PA142" s="23"/>
      <c r="PB142" s="23"/>
      <c r="PC142" s="23"/>
      <c r="PD142" s="23"/>
      <c r="PE142" s="23"/>
      <c r="PF142" s="23"/>
      <c r="PG142" s="23"/>
      <c r="PH142" s="23"/>
      <c r="PI142" s="23"/>
      <c r="PJ142" s="23"/>
      <c r="PK142" s="23"/>
      <c r="PL142" s="23"/>
      <c r="PM142" s="23"/>
      <c r="PN142" s="23"/>
      <c r="PO142" s="23"/>
      <c r="PP142" s="23"/>
      <c r="PQ142" s="23"/>
      <c r="PR142" s="23"/>
      <c r="PS142" s="23"/>
      <c r="PT142" s="23"/>
      <c r="PU142" s="23"/>
      <c r="PV142" s="23"/>
      <c r="PW142" s="23"/>
      <c r="PX142" s="23"/>
      <c r="PY142" s="23"/>
      <c r="PZ142" s="23"/>
      <c r="QA142" s="23"/>
      <c r="QB142" s="23"/>
      <c r="QC142" s="23"/>
      <c r="QD142" s="23"/>
      <c r="QE142" s="23"/>
      <c r="QF142" s="23"/>
      <c r="QG142" s="23"/>
      <c r="QH142" s="23"/>
      <c r="QI142" s="23"/>
      <c r="QJ142" s="23"/>
      <c r="QK142" s="23"/>
      <c r="QL142" s="23"/>
      <c r="QM142" s="23"/>
      <c r="QN142" s="23"/>
      <c r="QO142" s="23"/>
      <c r="QP142" s="23"/>
      <c r="QQ142" s="23"/>
      <c r="QR142" s="23"/>
      <c r="QS142" s="23"/>
      <c r="QT142" s="23"/>
      <c r="QU142" s="23"/>
      <c r="QV142" s="23"/>
      <c r="QW142" s="23"/>
      <c r="QX142" s="23"/>
      <c r="QY142" s="23"/>
      <c r="QZ142" s="23"/>
      <c r="RA142" s="23"/>
      <c r="RB142" s="23"/>
      <c r="RC142" s="23"/>
      <c r="RD142" s="23"/>
      <c r="RE142" s="23"/>
      <c r="RF142" s="23"/>
      <c r="RG142" s="23"/>
      <c r="RH142" s="23"/>
      <c r="RI142" s="23"/>
      <c r="RJ142" s="23"/>
      <c r="RK142" s="23"/>
      <c r="RL142" s="23"/>
      <c r="RM142" s="23"/>
      <c r="RN142" s="23"/>
      <c r="RO142" s="23"/>
      <c r="RP142" s="23"/>
      <c r="RQ142" s="23"/>
      <c r="RR142" s="23"/>
      <c r="RS142" s="23"/>
      <c r="RT142" s="23"/>
      <c r="RU142" s="23"/>
      <c r="RV142" s="23"/>
      <c r="RW142" s="23"/>
      <c r="RX142" s="23"/>
      <c r="RY142" s="23"/>
      <c r="RZ142" s="23"/>
      <c r="SA142" s="23"/>
      <c r="SB142" s="23"/>
      <c r="SC142" s="23"/>
      <c r="SD142" s="23"/>
      <c r="SE142" s="23"/>
      <c r="SF142" s="23"/>
      <c r="SG142" s="23"/>
      <c r="SH142" s="23"/>
      <c r="SI142" s="23"/>
      <c r="SJ142" s="23"/>
      <c r="SK142" s="23"/>
      <c r="SL142" s="23"/>
      <c r="SM142" s="23"/>
      <c r="SN142" s="23"/>
      <c r="SO142" s="23"/>
      <c r="SP142" s="23"/>
      <c r="SQ142" s="23"/>
      <c r="SR142" s="23"/>
      <c r="SS142" s="23"/>
      <c r="ST142" s="23"/>
      <c r="SU142" s="23"/>
      <c r="SV142" s="23"/>
      <c r="SW142" s="23"/>
      <c r="SX142" s="23"/>
      <c r="SY142" s="23"/>
      <c r="SZ142" s="23"/>
      <c r="TA142" s="23"/>
      <c r="TB142" s="23"/>
      <c r="TC142" s="23"/>
      <c r="TD142" s="23"/>
      <c r="TE142" s="23"/>
      <c r="TF142" s="23"/>
      <c r="TG142" s="23"/>
    </row>
    <row r="143" spans="1:527" s="24" customFormat="1" ht="15" customHeight="1" x14ac:dyDescent="0.25">
      <c r="A143" s="88"/>
      <c r="B143" s="115"/>
      <c r="C143" s="115"/>
      <c r="D143" s="89" t="s">
        <v>421</v>
      </c>
      <c r="E143" s="105">
        <f t="shared" si="47"/>
        <v>0</v>
      </c>
      <c r="F143" s="105"/>
      <c r="G143" s="105"/>
      <c r="H143" s="105"/>
      <c r="I143" s="105"/>
      <c r="J143" s="105">
        <f t="shared" si="49"/>
        <v>4662070.12</v>
      </c>
      <c r="K143" s="105">
        <f>1471470+3190600.12</f>
        <v>4662070.12</v>
      </c>
      <c r="L143" s="105"/>
      <c r="M143" s="105"/>
      <c r="N143" s="105"/>
      <c r="O143" s="105">
        <f>1471470+3190600.12</f>
        <v>4662070.12</v>
      </c>
      <c r="P143" s="105">
        <f t="shared" si="48"/>
        <v>4662070.12</v>
      </c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30"/>
      <c r="NY143" s="30"/>
      <c r="NZ143" s="30"/>
      <c r="OA143" s="30"/>
      <c r="OB143" s="30"/>
      <c r="OC143" s="30"/>
      <c r="OD143" s="30"/>
      <c r="OE143" s="30"/>
      <c r="OF143" s="30"/>
      <c r="OG143" s="30"/>
      <c r="OH143" s="30"/>
      <c r="OI143" s="30"/>
      <c r="OJ143" s="30"/>
      <c r="OK143" s="30"/>
      <c r="OL143" s="30"/>
      <c r="OM143" s="30"/>
      <c r="ON143" s="30"/>
      <c r="OO143" s="30"/>
      <c r="OP143" s="30"/>
      <c r="OQ143" s="30"/>
      <c r="OR143" s="30"/>
      <c r="OS143" s="30"/>
      <c r="OT143" s="30"/>
      <c r="OU143" s="30"/>
      <c r="OV143" s="30"/>
      <c r="OW143" s="30"/>
      <c r="OX143" s="30"/>
      <c r="OY143" s="30"/>
      <c r="OZ143" s="30"/>
      <c r="PA143" s="30"/>
      <c r="PB143" s="30"/>
      <c r="PC143" s="30"/>
      <c r="PD143" s="30"/>
      <c r="PE143" s="30"/>
      <c r="PF143" s="30"/>
      <c r="PG143" s="30"/>
      <c r="PH143" s="30"/>
      <c r="PI143" s="30"/>
      <c r="PJ143" s="30"/>
      <c r="PK143" s="30"/>
      <c r="PL143" s="30"/>
      <c r="PM143" s="30"/>
      <c r="PN143" s="30"/>
      <c r="PO143" s="30"/>
      <c r="PP143" s="30"/>
      <c r="PQ143" s="30"/>
      <c r="PR143" s="30"/>
      <c r="PS143" s="30"/>
      <c r="PT143" s="30"/>
      <c r="PU143" s="30"/>
      <c r="PV143" s="30"/>
      <c r="PW143" s="30"/>
      <c r="PX143" s="30"/>
      <c r="PY143" s="30"/>
      <c r="PZ143" s="30"/>
      <c r="QA143" s="30"/>
      <c r="QB143" s="30"/>
      <c r="QC143" s="30"/>
      <c r="QD143" s="30"/>
      <c r="QE143" s="30"/>
      <c r="QF143" s="30"/>
      <c r="QG143" s="30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0"/>
      <c r="RN143" s="30"/>
      <c r="RO143" s="30"/>
      <c r="RP143" s="30"/>
      <c r="RQ143" s="30"/>
      <c r="RR143" s="30"/>
      <c r="RS143" s="30"/>
      <c r="RT143" s="30"/>
      <c r="RU143" s="30"/>
      <c r="RV143" s="30"/>
      <c r="RW143" s="30"/>
      <c r="RX143" s="30"/>
      <c r="RY143" s="30"/>
      <c r="RZ143" s="30"/>
      <c r="SA143" s="30"/>
      <c r="SB143" s="30"/>
      <c r="SC143" s="30"/>
      <c r="SD143" s="30"/>
      <c r="SE143" s="30"/>
      <c r="SF143" s="30"/>
      <c r="SG143" s="30"/>
      <c r="SH143" s="30"/>
      <c r="SI143" s="30"/>
      <c r="SJ143" s="30"/>
      <c r="SK143" s="30"/>
      <c r="SL143" s="30"/>
      <c r="SM143" s="30"/>
      <c r="SN143" s="30"/>
      <c r="SO143" s="30"/>
      <c r="SP143" s="30"/>
      <c r="SQ143" s="30"/>
      <c r="SR143" s="30"/>
      <c r="SS143" s="30"/>
      <c r="ST143" s="30"/>
      <c r="SU143" s="30"/>
      <c r="SV143" s="30"/>
      <c r="SW143" s="30"/>
      <c r="SX143" s="30"/>
      <c r="SY143" s="30"/>
      <c r="SZ143" s="30"/>
      <c r="TA143" s="30"/>
      <c r="TB143" s="30"/>
      <c r="TC143" s="30"/>
      <c r="TD143" s="30"/>
      <c r="TE143" s="30"/>
      <c r="TF143" s="30"/>
      <c r="TG143" s="30"/>
    </row>
    <row r="144" spans="1:527" s="22" customFormat="1" ht="45" hidden="1" customHeight="1" x14ac:dyDescent="0.25">
      <c r="A144" s="60" t="s">
        <v>363</v>
      </c>
      <c r="B144" s="97">
        <v>7700</v>
      </c>
      <c r="C144" s="60" t="s">
        <v>95</v>
      </c>
      <c r="D144" s="61" t="s">
        <v>364</v>
      </c>
      <c r="E144" s="103">
        <f t="shared" si="47"/>
        <v>0</v>
      </c>
      <c r="F144" s="103"/>
      <c r="G144" s="103"/>
      <c r="H144" s="103"/>
      <c r="I144" s="103"/>
      <c r="J144" s="103">
        <f t="shared" si="49"/>
        <v>0</v>
      </c>
      <c r="K144" s="103"/>
      <c r="L144" s="103"/>
      <c r="M144" s="103"/>
      <c r="N144" s="103"/>
      <c r="O144" s="103">
        <f>630000-630000</f>
        <v>0</v>
      </c>
      <c r="P144" s="103">
        <f t="shared" si="48"/>
        <v>0</v>
      </c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  <c r="IW144" s="23"/>
      <c r="IX144" s="23"/>
      <c r="IY144" s="23"/>
      <c r="IZ144" s="23"/>
      <c r="JA144" s="23"/>
      <c r="JB144" s="23"/>
      <c r="JC144" s="23"/>
      <c r="JD144" s="23"/>
      <c r="JE144" s="23"/>
      <c r="JF144" s="23"/>
      <c r="JG144" s="23"/>
      <c r="JH144" s="23"/>
      <c r="JI144" s="23"/>
      <c r="JJ144" s="23"/>
      <c r="JK144" s="23"/>
      <c r="JL144" s="23"/>
      <c r="JM144" s="23"/>
      <c r="JN144" s="23"/>
      <c r="JO144" s="23"/>
      <c r="JP144" s="23"/>
      <c r="JQ144" s="23"/>
      <c r="JR144" s="23"/>
      <c r="JS144" s="23"/>
      <c r="JT144" s="23"/>
      <c r="JU144" s="23"/>
      <c r="JV144" s="23"/>
      <c r="JW144" s="23"/>
      <c r="JX144" s="23"/>
      <c r="JY144" s="23"/>
      <c r="JZ144" s="23"/>
      <c r="KA144" s="23"/>
      <c r="KB144" s="23"/>
      <c r="KC144" s="23"/>
      <c r="KD144" s="23"/>
      <c r="KE144" s="23"/>
      <c r="KF144" s="23"/>
      <c r="KG144" s="23"/>
      <c r="KH144" s="23"/>
      <c r="KI144" s="23"/>
      <c r="KJ144" s="23"/>
      <c r="KK144" s="23"/>
      <c r="KL144" s="23"/>
      <c r="KM144" s="23"/>
      <c r="KN144" s="23"/>
      <c r="KO144" s="23"/>
      <c r="KP144" s="23"/>
      <c r="KQ144" s="23"/>
      <c r="KR144" s="23"/>
      <c r="KS144" s="23"/>
      <c r="KT144" s="23"/>
      <c r="KU144" s="23"/>
      <c r="KV144" s="23"/>
      <c r="KW144" s="23"/>
      <c r="KX144" s="23"/>
      <c r="KY144" s="23"/>
      <c r="KZ144" s="23"/>
      <c r="LA144" s="23"/>
      <c r="LB144" s="23"/>
      <c r="LC144" s="23"/>
      <c r="LD144" s="23"/>
      <c r="LE144" s="23"/>
      <c r="LF144" s="23"/>
      <c r="LG144" s="23"/>
      <c r="LH144" s="23"/>
      <c r="LI144" s="23"/>
      <c r="LJ144" s="23"/>
      <c r="LK144" s="23"/>
      <c r="LL144" s="23"/>
      <c r="LM144" s="23"/>
      <c r="LN144" s="23"/>
      <c r="LO144" s="23"/>
      <c r="LP144" s="23"/>
      <c r="LQ144" s="23"/>
      <c r="LR144" s="23"/>
      <c r="LS144" s="23"/>
      <c r="LT144" s="23"/>
      <c r="LU144" s="23"/>
      <c r="LV144" s="23"/>
      <c r="LW144" s="23"/>
      <c r="LX144" s="23"/>
      <c r="LY144" s="23"/>
      <c r="LZ144" s="23"/>
      <c r="MA144" s="23"/>
      <c r="MB144" s="23"/>
      <c r="MC144" s="23"/>
      <c r="MD144" s="23"/>
      <c r="ME144" s="23"/>
      <c r="MF144" s="23"/>
      <c r="MG144" s="23"/>
      <c r="MH144" s="23"/>
      <c r="MI144" s="23"/>
      <c r="MJ144" s="23"/>
      <c r="MK144" s="23"/>
      <c r="ML144" s="23"/>
      <c r="MM144" s="23"/>
      <c r="MN144" s="23"/>
      <c r="MO144" s="23"/>
      <c r="MP144" s="23"/>
      <c r="MQ144" s="23"/>
      <c r="MR144" s="23"/>
      <c r="MS144" s="23"/>
      <c r="MT144" s="23"/>
      <c r="MU144" s="23"/>
      <c r="MV144" s="23"/>
      <c r="MW144" s="23"/>
      <c r="MX144" s="23"/>
      <c r="MY144" s="23"/>
      <c r="MZ144" s="23"/>
      <c r="NA144" s="23"/>
      <c r="NB144" s="23"/>
      <c r="NC144" s="23"/>
      <c r="ND144" s="23"/>
      <c r="NE144" s="23"/>
      <c r="NF144" s="23"/>
      <c r="NG144" s="23"/>
      <c r="NH144" s="23"/>
      <c r="NI144" s="23"/>
      <c r="NJ144" s="23"/>
      <c r="NK144" s="23"/>
      <c r="NL144" s="23"/>
      <c r="NM144" s="23"/>
      <c r="NN144" s="23"/>
      <c r="NO144" s="23"/>
      <c r="NP144" s="23"/>
      <c r="NQ144" s="23"/>
      <c r="NR144" s="23"/>
      <c r="NS144" s="23"/>
      <c r="NT144" s="23"/>
      <c r="NU144" s="23"/>
      <c r="NV144" s="23"/>
      <c r="NW144" s="23"/>
      <c r="NX144" s="23"/>
      <c r="NY144" s="23"/>
      <c r="NZ144" s="23"/>
      <c r="OA144" s="23"/>
      <c r="OB144" s="23"/>
      <c r="OC144" s="23"/>
      <c r="OD144" s="23"/>
      <c r="OE144" s="23"/>
      <c r="OF144" s="23"/>
      <c r="OG144" s="23"/>
      <c r="OH144" s="23"/>
      <c r="OI144" s="23"/>
      <c r="OJ144" s="23"/>
      <c r="OK144" s="23"/>
      <c r="OL144" s="23"/>
      <c r="OM144" s="23"/>
      <c r="ON144" s="23"/>
      <c r="OO144" s="23"/>
      <c r="OP144" s="23"/>
      <c r="OQ144" s="23"/>
      <c r="OR144" s="23"/>
      <c r="OS144" s="23"/>
      <c r="OT144" s="23"/>
      <c r="OU144" s="23"/>
      <c r="OV144" s="23"/>
      <c r="OW144" s="23"/>
      <c r="OX144" s="23"/>
      <c r="OY144" s="23"/>
      <c r="OZ144" s="23"/>
      <c r="PA144" s="23"/>
      <c r="PB144" s="23"/>
      <c r="PC144" s="23"/>
      <c r="PD144" s="23"/>
      <c r="PE144" s="23"/>
      <c r="PF144" s="23"/>
      <c r="PG144" s="23"/>
      <c r="PH144" s="23"/>
      <c r="PI144" s="23"/>
      <c r="PJ144" s="23"/>
      <c r="PK144" s="23"/>
      <c r="PL144" s="23"/>
      <c r="PM144" s="23"/>
      <c r="PN144" s="23"/>
      <c r="PO144" s="23"/>
      <c r="PP144" s="23"/>
      <c r="PQ144" s="23"/>
      <c r="PR144" s="23"/>
      <c r="PS144" s="23"/>
      <c r="PT144" s="23"/>
      <c r="PU144" s="23"/>
      <c r="PV144" s="23"/>
      <c r="PW144" s="23"/>
      <c r="PX144" s="23"/>
      <c r="PY144" s="23"/>
      <c r="PZ144" s="23"/>
      <c r="QA144" s="23"/>
      <c r="QB144" s="23"/>
      <c r="QC144" s="23"/>
      <c r="QD144" s="23"/>
      <c r="QE144" s="23"/>
      <c r="QF144" s="23"/>
      <c r="QG144" s="23"/>
      <c r="QH144" s="23"/>
      <c r="QI144" s="23"/>
      <c r="QJ144" s="23"/>
      <c r="QK144" s="23"/>
      <c r="QL144" s="23"/>
      <c r="QM144" s="23"/>
      <c r="QN144" s="23"/>
      <c r="QO144" s="23"/>
      <c r="QP144" s="23"/>
      <c r="QQ144" s="23"/>
      <c r="QR144" s="23"/>
      <c r="QS144" s="23"/>
      <c r="QT144" s="23"/>
      <c r="QU144" s="23"/>
      <c r="QV144" s="23"/>
      <c r="QW144" s="23"/>
      <c r="QX144" s="23"/>
      <c r="QY144" s="23"/>
      <c r="QZ144" s="23"/>
      <c r="RA144" s="23"/>
      <c r="RB144" s="23"/>
      <c r="RC144" s="23"/>
      <c r="RD144" s="23"/>
      <c r="RE144" s="23"/>
      <c r="RF144" s="23"/>
      <c r="RG144" s="23"/>
      <c r="RH144" s="23"/>
      <c r="RI144" s="23"/>
      <c r="RJ144" s="23"/>
      <c r="RK144" s="23"/>
      <c r="RL144" s="23"/>
      <c r="RM144" s="23"/>
      <c r="RN144" s="23"/>
      <c r="RO144" s="23"/>
      <c r="RP144" s="23"/>
      <c r="RQ144" s="23"/>
      <c r="RR144" s="23"/>
      <c r="RS144" s="23"/>
      <c r="RT144" s="23"/>
      <c r="RU144" s="23"/>
      <c r="RV144" s="23"/>
      <c r="RW144" s="23"/>
      <c r="RX144" s="23"/>
      <c r="RY144" s="23"/>
      <c r="RZ144" s="23"/>
      <c r="SA144" s="23"/>
      <c r="SB144" s="23"/>
      <c r="SC144" s="23"/>
      <c r="SD144" s="23"/>
      <c r="SE144" s="23"/>
      <c r="SF144" s="23"/>
      <c r="SG144" s="23"/>
      <c r="SH144" s="23"/>
      <c r="SI144" s="23"/>
      <c r="SJ144" s="23"/>
      <c r="SK144" s="23"/>
      <c r="SL144" s="23"/>
      <c r="SM144" s="23"/>
      <c r="SN144" s="23"/>
      <c r="SO144" s="23"/>
      <c r="SP144" s="23"/>
      <c r="SQ144" s="23"/>
      <c r="SR144" s="23"/>
      <c r="SS144" s="23"/>
      <c r="ST144" s="23"/>
      <c r="SU144" s="23"/>
      <c r="SV144" s="23"/>
      <c r="SW144" s="23"/>
      <c r="SX144" s="23"/>
      <c r="SY144" s="23"/>
      <c r="SZ144" s="23"/>
      <c r="TA144" s="23"/>
      <c r="TB144" s="23"/>
      <c r="TC144" s="23"/>
      <c r="TD144" s="23"/>
      <c r="TE144" s="23"/>
      <c r="TF144" s="23"/>
      <c r="TG144" s="23"/>
    </row>
    <row r="145" spans="1:527" s="22" customFormat="1" ht="15.75" x14ac:dyDescent="0.25">
      <c r="A145" s="60" t="s">
        <v>435</v>
      </c>
      <c r="B145" s="97">
        <v>9770</v>
      </c>
      <c r="C145" s="60" t="s">
        <v>46</v>
      </c>
      <c r="D145" s="61" t="s">
        <v>436</v>
      </c>
      <c r="E145" s="103">
        <f t="shared" si="47"/>
        <v>0</v>
      </c>
      <c r="F145" s="103"/>
      <c r="G145" s="103"/>
      <c r="H145" s="103"/>
      <c r="I145" s="103"/>
      <c r="J145" s="103">
        <f t="shared" si="49"/>
        <v>3000111.6</v>
      </c>
      <c r="K145" s="103">
        <f>2000000+1000111.6</f>
        <v>3000111.6</v>
      </c>
      <c r="L145" s="103"/>
      <c r="M145" s="103"/>
      <c r="N145" s="103"/>
      <c r="O145" s="103">
        <f>2000000+1000111.6</f>
        <v>3000111.6</v>
      </c>
      <c r="P145" s="103">
        <f t="shared" si="48"/>
        <v>3000111.6</v>
      </c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  <c r="PA145" s="23"/>
      <c r="PB145" s="23"/>
      <c r="PC145" s="23"/>
      <c r="PD145" s="23"/>
      <c r="PE145" s="23"/>
      <c r="PF145" s="23"/>
      <c r="PG145" s="23"/>
      <c r="PH145" s="23"/>
      <c r="PI145" s="23"/>
      <c r="PJ145" s="23"/>
      <c r="PK145" s="23"/>
      <c r="PL145" s="23"/>
      <c r="PM145" s="23"/>
      <c r="PN145" s="23"/>
      <c r="PO145" s="23"/>
      <c r="PP145" s="23"/>
      <c r="PQ145" s="23"/>
      <c r="PR145" s="23"/>
      <c r="PS145" s="23"/>
      <c r="PT145" s="23"/>
      <c r="PU145" s="23"/>
      <c r="PV145" s="23"/>
      <c r="PW145" s="23"/>
      <c r="PX145" s="23"/>
      <c r="PY145" s="23"/>
      <c r="PZ145" s="23"/>
      <c r="QA145" s="23"/>
      <c r="QB145" s="23"/>
      <c r="QC145" s="23"/>
      <c r="QD145" s="23"/>
      <c r="QE145" s="23"/>
      <c r="QF145" s="23"/>
      <c r="QG145" s="23"/>
      <c r="QH145" s="23"/>
      <c r="QI145" s="23"/>
      <c r="QJ145" s="23"/>
      <c r="QK145" s="23"/>
      <c r="QL145" s="23"/>
      <c r="QM145" s="23"/>
      <c r="QN145" s="23"/>
      <c r="QO145" s="23"/>
      <c r="QP145" s="23"/>
      <c r="QQ145" s="23"/>
      <c r="QR145" s="23"/>
      <c r="QS145" s="23"/>
      <c r="QT145" s="23"/>
      <c r="QU145" s="23"/>
      <c r="QV145" s="23"/>
      <c r="QW145" s="23"/>
      <c r="QX145" s="23"/>
      <c r="QY145" s="23"/>
      <c r="QZ145" s="23"/>
      <c r="RA145" s="23"/>
      <c r="RB145" s="23"/>
      <c r="RC145" s="23"/>
      <c r="RD145" s="23"/>
      <c r="RE145" s="23"/>
      <c r="RF145" s="23"/>
      <c r="RG145" s="23"/>
      <c r="RH145" s="23"/>
      <c r="RI145" s="23"/>
      <c r="RJ145" s="23"/>
      <c r="RK145" s="23"/>
      <c r="RL145" s="23"/>
      <c r="RM145" s="23"/>
      <c r="RN145" s="23"/>
      <c r="RO145" s="23"/>
      <c r="RP145" s="23"/>
      <c r="RQ145" s="23"/>
      <c r="RR145" s="23"/>
      <c r="RS145" s="23"/>
      <c r="RT145" s="23"/>
      <c r="RU145" s="23"/>
      <c r="RV145" s="23"/>
      <c r="RW145" s="23"/>
      <c r="RX145" s="23"/>
      <c r="RY145" s="23"/>
      <c r="RZ145" s="23"/>
      <c r="SA145" s="23"/>
      <c r="SB145" s="23"/>
      <c r="SC145" s="23"/>
      <c r="SD145" s="23"/>
      <c r="SE145" s="23"/>
      <c r="SF145" s="23"/>
      <c r="SG145" s="23"/>
      <c r="SH145" s="23"/>
      <c r="SI145" s="23"/>
      <c r="SJ145" s="23"/>
      <c r="SK145" s="23"/>
      <c r="SL145" s="23"/>
      <c r="SM145" s="23"/>
      <c r="SN145" s="23"/>
      <c r="SO145" s="23"/>
      <c r="SP145" s="23"/>
      <c r="SQ145" s="23"/>
      <c r="SR145" s="23"/>
      <c r="SS145" s="23"/>
      <c r="ST145" s="23"/>
      <c r="SU145" s="23"/>
      <c r="SV145" s="23"/>
      <c r="SW145" s="23"/>
      <c r="SX145" s="23"/>
      <c r="SY145" s="23"/>
      <c r="SZ145" s="23"/>
      <c r="TA145" s="23"/>
      <c r="TB145" s="23"/>
      <c r="TC145" s="23"/>
      <c r="TD145" s="23"/>
      <c r="TE145" s="23"/>
      <c r="TF145" s="23"/>
      <c r="TG145" s="23"/>
    </row>
    <row r="146" spans="1:527" s="27" customFormat="1" ht="36" customHeight="1" x14ac:dyDescent="0.25">
      <c r="A146" s="114" t="s">
        <v>180</v>
      </c>
      <c r="B146" s="116"/>
      <c r="C146" s="116"/>
      <c r="D146" s="111" t="s">
        <v>39</v>
      </c>
      <c r="E146" s="99">
        <f>E147</f>
        <v>194664609.35000002</v>
      </c>
      <c r="F146" s="99">
        <f t="shared" ref="F146:J146" si="50">F147</f>
        <v>194664609.35000002</v>
      </c>
      <c r="G146" s="99">
        <f t="shared" si="50"/>
        <v>60937100</v>
      </c>
      <c r="H146" s="99">
        <f t="shared" si="50"/>
        <v>1330100</v>
      </c>
      <c r="I146" s="99">
        <f t="shared" si="50"/>
        <v>0</v>
      </c>
      <c r="J146" s="99">
        <f t="shared" si="50"/>
        <v>770200</v>
      </c>
      <c r="K146" s="99">
        <f t="shared" ref="K146" si="51">K147</f>
        <v>674000</v>
      </c>
      <c r="L146" s="99">
        <f t="shared" ref="L146" si="52">L147</f>
        <v>96200</v>
      </c>
      <c r="M146" s="99">
        <f t="shared" ref="M146" si="53">M147</f>
        <v>75000</v>
      </c>
      <c r="N146" s="99">
        <f t="shared" ref="N146" si="54">N147</f>
        <v>0</v>
      </c>
      <c r="O146" s="99">
        <f t="shared" ref="O146:P146" si="55">O147</f>
        <v>674000</v>
      </c>
      <c r="P146" s="99">
        <f t="shared" si="55"/>
        <v>195434809.35000002</v>
      </c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  <c r="IQ146" s="32"/>
      <c r="IR146" s="32"/>
      <c r="IS146" s="32"/>
      <c r="IT146" s="32"/>
      <c r="IU146" s="32"/>
      <c r="IV146" s="32"/>
      <c r="IW146" s="32"/>
      <c r="IX146" s="32"/>
      <c r="IY146" s="32"/>
      <c r="IZ146" s="32"/>
      <c r="JA146" s="32"/>
      <c r="JB146" s="32"/>
      <c r="JC146" s="32"/>
      <c r="JD146" s="32"/>
      <c r="JE146" s="32"/>
      <c r="JF146" s="32"/>
      <c r="JG146" s="32"/>
      <c r="JH146" s="32"/>
      <c r="JI146" s="32"/>
      <c r="JJ146" s="32"/>
      <c r="JK146" s="32"/>
      <c r="JL146" s="32"/>
      <c r="JM146" s="32"/>
      <c r="JN146" s="32"/>
      <c r="JO146" s="32"/>
      <c r="JP146" s="32"/>
      <c r="JQ146" s="32"/>
      <c r="JR146" s="32"/>
      <c r="JS146" s="32"/>
      <c r="JT146" s="32"/>
      <c r="JU146" s="32"/>
      <c r="JV146" s="32"/>
      <c r="JW146" s="32"/>
      <c r="JX146" s="32"/>
      <c r="JY146" s="32"/>
      <c r="JZ146" s="32"/>
      <c r="KA146" s="32"/>
      <c r="KB146" s="32"/>
      <c r="KC146" s="32"/>
      <c r="KD146" s="32"/>
      <c r="KE146" s="32"/>
      <c r="KF146" s="32"/>
      <c r="KG146" s="32"/>
      <c r="KH146" s="32"/>
      <c r="KI146" s="32"/>
      <c r="KJ146" s="32"/>
      <c r="KK146" s="32"/>
      <c r="KL146" s="32"/>
      <c r="KM146" s="32"/>
      <c r="KN146" s="32"/>
      <c r="KO146" s="32"/>
      <c r="KP146" s="32"/>
      <c r="KQ146" s="32"/>
      <c r="KR146" s="32"/>
      <c r="KS146" s="32"/>
      <c r="KT146" s="32"/>
      <c r="KU146" s="32"/>
      <c r="KV146" s="32"/>
      <c r="KW146" s="32"/>
      <c r="KX146" s="32"/>
      <c r="KY146" s="32"/>
      <c r="KZ146" s="32"/>
      <c r="LA146" s="32"/>
      <c r="LB146" s="32"/>
      <c r="LC146" s="32"/>
      <c r="LD146" s="32"/>
      <c r="LE146" s="32"/>
      <c r="LF146" s="32"/>
      <c r="LG146" s="32"/>
      <c r="LH146" s="32"/>
      <c r="LI146" s="32"/>
      <c r="LJ146" s="32"/>
      <c r="LK146" s="32"/>
      <c r="LL146" s="32"/>
      <c r="LM146" s="32"/>
      <c r="LN146" s="32"/>
      <c r="LO146" s="32"/>
      <c r="LP146" s="32"/>
      <c r="LQ146" s="32"/>
      <c r="LR146" s="32"/>
      <c r="LS146" s="32"/>
      <c r="LT146" s="32"/>
      <c r="LU146" s="32"/>
      <c r="LV146" s="32"/>
      <c r="LW146" s="32"/>
      <c r="LX146" s="32"/>
      <c r="LY146" s="32"/>
      <c r="LZ146" s="32"/>
      <c r="MA146" s="32"/>
      <c r="MB146" s="32"/>
      <c r="MC146" s="32"/>
      <c r="MD146" s="32"/>
      <c r="ME146" s="32"/>
      <c r="MF146" s="32"/>
      <c r="MG146" s="32"/>
      <c r="MH146" s="32"/>
      <c r="MI146" s="32"/>
      <c r="MJ146" s="32"/>
      <c r="MK146" s="32"/>
      <c r="ML146" s="32"/>
      <c r="MM146" s="32"/>
      <c r="MN146" s="32"/>
      <c r="MO146" s="32"/>
      <c r="MP146" s="32"/>
      <c r="MQ146" s="32"/>
      <c r="MR146" s="32"/>
      <c r="MS146" s="32"/>
      <c r="MT146" s="32"/>
      <c r="MU146" s="32"/>
      <c r="MV146" s="32"/>
      <c r="MW146" s="32"/>
      <c r="MX146" s="32"/>
      <c r="MY146" s="32"/>
      <c r="MZ146" s="32"/>
      <c r="NA146" s="32"/>
      <c r="NB146" s="32"/>
      <c r="NC146" s="32"/>
      <c r="ND146" s="32"/>
      <c r="NE146" s="32"/>
      <c r="NF146" s="32"/>
      <c r="NG146" s="32"/>
      <c r="NH146" s="32"/>
      <c r="NI146" s="32"/>
      <c r="NJ146" s="32"/>
      <c r="NK146" s="32"/>
      <c r="NL146" s="32"/>
      <c r="NM146" s="32"/>
      <c r="NN146" s="32"/>
      <c r="NO146" s="32"/>
      <c r="NP146" s="32"/>
      <c r="NQ146" s="32"/>
      <c r="NR146" s="32"/>
      <c r="NS146" s="32"/>
      <c r="NT146" s="32"/>
      <c r="NU146" s="32"/>
      <c r="NV146" s="32"/>
      <c r="NW146" s="32"/>
      <c r="NX146" s="32"/>
      <c r="NY146" s="32"/>
      <c r="NZ146" s="32"/>
      <c r="OA146" s="32"/>
      <c r="OB146" s="32"/>
      <c r="OC146" s="32"/>
      <c r="OD146" s="32"/>
      <c r="OE146" s="32"/>
      <c r="OF146" s="32"/>
      <c r="OG146" s="32"/>
      <c r="OH146" s="32"/>
      <c r="OI146" s="32"/>
      <c r="OJ146" s="32"/>
      <c r="OK146" s="32"/>
      <c r="OL146" s="32"/>
      <c r="OM146" s="32"/>
      <c r="ON146" s="32"/>
      <c r="OO146" s="32"/>
      <c r="OP146" s="32"/>
      <c r="OQ146" s="32"/>
      <c r="OR146" s="32"/>
      <c r="OS146" s="32"/>
      <c r="OT146" s="32"/>
      <c r="OU146" s="32"/>
      <c r="OV146" s="32"/>
      <c r="OW146" s="32"/>
      <c r="OX146" s="32"/>
      <c r="OY146" s="32"/>
      <c r="OZ146" s="32"/>
      <c r="PA146" s="32"/>
      <c r="PB146" s="32"/>
      <c r="PC146" s="32"/>
      <c r="PD146" s="32"/>
      <c r="PE146" s="32"/>
      <c r="PF146" s="32"/>
      <c r="PG146" s="32"/>
      <c r="PH146" s="32"/>
      <c r="PI146" s="32"/>
      <c r="PJ146" s="32"/>
      <c r="PK146" s="32"/>
      <c r="PL146" s="32"/>
      <c r="PM146" s="32"/>
      <c r="PN146" s="32"/>
      <c r="PO146" s="32"/>
      <c r="PP146" s="32"/>
      <c r="PQ146" s="32"/>
      <c r="PR146" s="32"/>
      <c r="PS146" s="32"/>
      <c r="PT146" s="32"/>
      <c r="PU146" s="32"/>
      <c r="PV146" s="32"/>
      <c r="PW146" s="32"/>
      <c r="PX146" s="32"/>
      <c r="PY146" s="32"/>
      <c r="PZ146" s="32"/>
      <c r="QA146" s="32"/>
      <c r="QB146" s="32"/>
      <c r="QC146" s="32"/>
      <c r="QD146" s="32"/>
      <c r="QE146" s="32"/>
      <c r="QF146" s="32"/>
      <c r="QG146" s="32"/>
      <c r="QH146" s="32"/>
      <c r="QI146" s="32"/>
      <c r="QJ146" s="32"/>
      <c r="QK146" s="32"/>
      <c r="QL146" s="32"/>
      <c r="QM146" s="32"/>
      <c r="QN146" s="32"/>
      <c r="QO146" s="32"/>
      <c r="QP146" s="32"/>
      <c r="QQ146" s="32"/>
      <c r="QR146" s="32"/>
      <c r="QS146" s="32"/>
      <c r="QT146" s="32"/>
      <c r="QU146" s="32"/>
      <c r="QV146" s="32"/>
      <c r="QW146" s="32"/>
      <c r="QX146" s="32"/>
      <c r="QY146" s="32"/>
      <c r="QZ146" s="32"/>
      <c r="RA146" s="32"/>
      <c r="RB146" s="32"/>
      <c r="RC146" s="32"/>
      <c r="RD146" s="32"/>
      <c r="RE146" s="32"/>
      <c r="RF146" s="32"/>
      <c r="RG146" s="32"/>
      <c r="RH146" s="32"/>
      <c r="RI146" s="32"/>
      <c r="RJ146" s="32"/>
      <c r="RK146" s="32"/>
      <c r="RL146" s="32"/>
      <c r="RM146" s="32"/>
      <c r="RN146" s="32"/>
      <c r="RO146" s="32"/>
      <c r="RP146" s="32"/>
      <c r="RQ146" s="32"/>
      <c r="RR146" s="32"/>
      <c r="RS146" s="32"/>
      <c r="RT146" s="32"/>
      <c r="RU146" s="32"/>
      <c r="RV146" s="32"/>
      <c r="RW146" s="32"/>
      <c r="RX146" s="32"/>
      <c r="RY146" s="32"/>
      <c r="RZ146" s="32"/>
      <c r="SA146" s="32"/>
      <c r="SB146" s="32"/>
      <c r="SC146" s="32"/>
      <c r="SD146" s="32"/>
      <c r="SE146" s="32"/>
      <c r="SF146" s="32"/>
      <c r="SG146" s="32"/>
      <c r="SH146" s="32"/>
      <c r="SI146" s="32"/>
      <c r="SJ146" s="32"/>
      <c r="SK146" s="32"/>
      <c r="SL146" s="32"/>
      <c r="SM146" s="32"/>
      <c r="SN146" s="32"/>
      <c r="SO146" s="32"/>
      <c r="SP146" s="32"/>
      <c r="SQ146" s="32"/>
      <c r="SR146" s="32"/>
      <c r="SS146" s="32"/>
      <c r="ST146" s="32"/>
      <c r="SU146" s="32"/>
      <c r="SV146" s="32"/>
      <c r="SW146" s="32"/>
      <c r="SX146" s="32"/>
      <c r="SY146" s="32"/>
      <c r="SZ146" s="32"/>
      <c r="TA146" s="32"/>
      <c r="TB146" s="32"/>
      <c r="TC146" s="32"/>
      <c r="TD146" s="32"/>
      <c r="TE146" s="32"/>
      <c r="TF146" s="32"/>
      <c r="TG146" s="32"/>
    </row>
    <row r="147" spans="1:527" s="34" customFormat="1" ht="32.25" customHeight="1" x14ac:dyDescent="0.25">
      <c r="A147" s="100" t="s">
        <v>181</v>
      </c>
      <c r="B147" s="113"/>
      <c r="C147" s="113"/>
      <c r="D147" s="81" t="s">
        <v>396</v>
      </c>
      <c r="E147" s="102">
        <f>E151+E152+E153+E154+E155+E157+E158+E159+E161+E163+E164+E165+E167+E169+E170+E171+E172+E173+E174+E176+E178+E179+E181+E182</f>
        <v>194664609.35000002</v>
      </c>
      <c r="F147" s="102">
        <f>F151+F152+F153+F154+F155+F157+F158+F159+F161+F163+F164+F165+F167+F169+F170+F171+F172+F173+F174+F176+F178+F179+F181+F182</f>
        <v>194664609.35000002</v>
      </c>
      <c r="G147" s="102">
        <f t="shared" ref="G147:O147" si="56">G151+G152+G153+G154+G155+G157+G158+G159+G161+G163+G164+G165+G167+G169+G170+G171+G172+G173+G174+G176+G178+G179+G181+G182</f>
        <v>60937100</v>
      </c>
      <c r="H147" s="102">
        <f t="shared" si="56"/>
        <v>1330100</v>
      </c>
      <c r="I147" s="102">
        <f t="shared" si="56"/>
        <v>0</v>
      </c>
      <c r="J147" s="102">
        <f t="shared" si="56"/>
        <v>770200</v>
      </c>
      <c r="K147" s="102">
        <f t="shared" si="56"/>
        <v>674000</v>
      </c>
      <c r="L147" s="102">
        <f t="shared" si="56"/>
        <v>96200</v>
      </c>
      <c r="M147" s="102">
        <f t="shared" si="56"/>
        <v>75000</v>
      </c>
      <c r="N147" s="102">
        <f t="shared" si="56"/>
        <v>0</v>
      </c>
      <c r="O147" s="102">
        <f t="shared" si="56"/>
        <v>674000</v>
      </c>
      <c r="P147" s="102">
        <f>P151+P152+P153+P154+P155+P157+P158+P159+P161+P163+P164+P165+P167+P169+P170+P171+P172+P173+P174+P176+P178+P179+P181+P182</f>
        <v>195434809.35000002</v>
      </c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  <c r="IJ147" s="33"/>
      <c r="IK147" s="33"/>
      <c r="IL147" s="33"/>
      <c r="IM147" s="33"/>
      <c r="IN147" s="33"/>
      <c r="IO147" s="33"/>
      <c r="IP147" s="33"/>
      <c r="IQ147" s="33"/>
      <c r="IR147" s="33"/>
      <c r="IS147" s="33"/>
      <c r="IT147" s="33"/>
      <c r="IU147" s="33"/>
      <c r="IV147" s="33"/>
      <c r="IW147" s="33"/>
      <c r="IX147" s="33"/>
      <c r="IY147" s="33"/>
      <c r="IZ147" s="33"/>
      <c r="JA147" s="33"/>
      <c r="JB147" s="33"/>
      <c r="JC147" s="33"/>
      <c r="JD147" s="33"/>
      <c r="JE147" s="33"/>
      <c r="JF147" s="33"/>
      <c r="JG147" s="33"/>
      <c r="JH147" s="33"/>
      <c r="JI147" s="33"/>
      <c r="JJ147" s="33"/>
      <c r="JK147" s="33"/>
      <c r="JL147" s="33"/>
      <c r="JM147" s="33"/>
      <c r="JN147" s="33"/>
      <c r="JO147" s="33"/>
      <c r="JP147" s="33"/>
      <c r="JQ147" s="33"/>
      <c r="JR147" s="33"/>
      <c r="JS147" s="33"/>
      <c r="JT147" s="33"/>
      <c r="JU147" s="33"/>
      <c r="JV147" s="33"/>
      <c r="JW147" s="33"/>
      <c r="JX147" s="33"/>
      <c r="JY147" s="33"/>
      <c r="JZ147" s="33"/>
      <c r="KA147" s="33"/>
      <c r="KB147" s="33"/>
      <c r="KC147" s="33"/>
      <c r="KD147" s="33"/>
      <c r="KE147" s="33"/>
      <c r="KF147" s="33"/>
      <c r="KG147" s="33"/>
      <c r="KH147" s="33"/>
      <c r="KI147" s="33"/>
      <c r="KJ147" s="33"/>
      <c r="KK147" s="33"/>
      <c r="KL147" s="33"/>
      <c r="KM147" s="33"/>
      <c r="KN147" s="33"/>
      <c r="KO147" s="33"/>
      <c r="KP147" s="33"/>
      <c r="KQ147" s="33"/>
      <c r="KR147" s="33"/>
      <c r="KS147" s="33"/>
      <c r="KT147" s="33"/>
      <c r="KU147" s="33"/>
      <c r="KV147" s="33"/>
      <c r="KW147" s="33"/>
      <c r="KX147" s="33"/>
      <c r="KY147" s="33"/>
      <c r="KZ147" s="33"/>
      <c r="LA147" s="33"/>
      <c r="LB147" s="33"/>
      <c r="LC147" s="33"/>
      <c r="LD147" s="33"/>
      <c r="LE147" s="33"/>
      <c r="LF147" s="33"/>
      <c r="LG147" s="33"/>
      <c r="LH147" s="33"/>
      <c r="LI147" s="33"/>
      <c r="LJ147" s="33"/>
      <c r="LK147" s="33"/>
      <c r="LL147" s="33"/>
      <c r="LM147" s="33"/>
      <c r="LN147" s="33"/>
      <c r="LO147" s="33"/>
      <c r="LP147" s="33"/>
      <c r="LQ147" s="33"/>
      <c r="LR147" s="33"/>
      <c r="LS147" s="33"/>
      <c r="LT147" s="33"/>
      <c r="LU147" s="33"/>
      <c r="LV147" s="33"/>
      <c r="LW147" s="33"/>
      <c r="LX147" s="33"/>
      <c r="LY147" s="33"/>
      <c r="LZ147" s="33"/>
      <c r="MA147" s="33"/>
      <c r="MB147" s="33"/>
      <c r="MC147" s="33"/>
      <c r="MD147" s="33"/>
      <c r="ME147" s="33"/>
      <c r="MF147" s="33"/>
      <c r="MG147" s="33"/>
      <c r="MH147" s="33"/>
      <c r="MI147" s="33"/>
      <c r="MJ147" s="33"/>
      <c r="MK147" s="33"/>
      <c r="ML147" s="33"/>
      <c r="MM147" s="33"/>
      <c r="MN147" s="33"/>
      <c r="MO147" s="33"/>
      <c r="MP147" s="33"/>
      <c r="MQ147" s="33"/>
      <c r="MR147" s="33"/>
      <c r="MS147" s="33"/>
      <c r="MT147" s="33"/>
      <c r="MU147" s="33"/>
      <c r="MV147" s="33"/>
      <c r="MW147" s="33"/>
      <c r="MX147" s="33"/>
      <c r="MY147" s="33"/>
      <c r="MZ147" s="33"/>
      <c r="NA147" s="33"/>
      <c r="NB147" s="33"/>
      <c r="NC147" s="33"/>
      <c r="ND147" s="33"/>
      <c r="NE147" s="33"/>
      <c r="NF147" s="33"/>
      <c r="NG147" s="33"/>
      <c r="NH147" s="33"/>
      <c r="NI147" s="33"/>
      <c r="NJ147" s="33"/>
      <c r="NK147" s="33"/>
      <c r="NL147" s="33"/>
      <c r="NM147" s="33"/>
      <c r="NN147" s="33"/>
      <c r="NO147" s="33"/>
      <c r="NP147" s="33"/>
      <c r="NQ147" s="33"/>
      <c r="NR147" s="33"/>
      <c r="NS147" s="33"/>
      <c r="NT147" s="33"/>
      <c r="NU147" s="33"/>
      <c r="NV147" s="33"/>
      <c r="NW147" s="33"/>
      <c r="NX147" s="33"/>
      <c r="NY147" s="33"/>
      <c r="NZ147" s="33"/>
      <c r="OA147" s="33"/>
      <c r="OB147" s="33"/>
      <c r="OC147" s="33"/>
      <c r="OD147" s="33"/>
      <c r="OE147" s="33"/>
      <c r="OF147" s="33"/>
      <c r="OG147" s="33"/>
      <c r="OH147" s="33"/>
      <c r="OI147" s="33"/>
      <c r="OJ147" s="33"/>
      <c r="OK147" s="33"/>
      <c r="OL147" s="33"/>
      <c r="OM147" s="33"/>
      <c r="ON147" s="33"/>
      <c r="OO147" s="33"/>
      <c r="OP147" s="33"/>
      <c r="OQ147" s="33"/>
      <c r="OR147" s="33"/>
      <c r="OS147" s="33"/>
      <c r="OT147" s="33"/>
      <c r="OU147" s="33"/>
      <c r="OV147" s="33"/>
      <c r="OW147" s="33"/>
      <c r="OX147" s="33"/>
      <c r="OY147" s="33"/>
      <c r="OZ147" s="33"/>
      <c r="PA147" s="33"/>
      <c r="PB147" s="33"/>
      <c r="PC147" s="33"/>
      <c r="PD147" s="33"/>
      <c r="PE147" s="33"/>
      <c r="PF147" s="33"/>
      <c r="PG147" s="33"/>
      <c r="PH147" s="33"/>
      <c r="PI147" s="33"/>
      <c r="PJ147" s="33"/>
      <c r="PK147" s="33"/>
      <c r="PL147" s="33"/>
      <c r="PM147" s="33"/>
      <c r="PN147" s="33"/>
      <c r="PO147" s="33"/>
      <c r="PP147" s="33"/>
      <c r="PQ147" s="33"/>
      <c r="PR147" s="33"/>
      <c r="PS147" s="33"/>
      <c r="PT147" s="33"/>
      <c r="PU147" s="33"/>
      <c r="PV147" s="33"/>
      <c r="PW147" s="33"/>
      <c r="PX147" s="33"/>
      <c r="PY147" s="33"/>
      <c r="PZ147" s="33"/>
      <c r="QA147" s="33"/>
      <c r="QB147" s="33"/>
      <c r="QC147" s="33"/>
      <c r="QD147" s="33"/>
      <c r="QE147" s="33"/>
      <c r="QF147" s="33"/>
      <c r="QG147" s="33"/>
      <c r="QH147" s="33"/>
      <c r="QI147" s="33"/>
      <c r="QJ147" s="33"/>
      <c r="QK147" s="33"/>
      <c r="QL147" s="33"/>
      <c r="QM147" s="33"/>
      <c r="QN147" s="33"/>
      <c r="QO147" s="33"/>
      <c r="QP147" s="33"/>
      <c r="QQ147" s="33"/>
      <c r="QR147" s="33"/>
      <c r="QS147" s="33"/>
      <c r="QT147" s="33"/>
      <c r="QU147" s="33"/>
      <c r="QV147" s="33"/>
      <c r="QW147" s="33"/>
      <c r="QX147" s="33"/>
      <c r="QY147" s="33"/>
      <c r="QZ147" s="33"/>
      <c r="RA147" s="33"/>
      <c r="RB147" s="33"/>
      <c r="RC147" s="33"/>
      <c r="RD147" s="33"/>
      <c r="RE147" s="33"/>
      <c r="RF147" s="33"/>
      <c r="RG147" s="33"/>
      <c r="RH147" s="33"/>
      <c r="RI147" s="33"/>
      <c r="RJ147" s="33"/>
      <c r="RK147" s="33"/>
      <c r="RL147" s="33"/>
      <c r="RM147" s="33"/>
      <c r="RN147" s="33"/>
      <c r="RO147" s="33"/>
      <c r="RP147" s="33"/>
      <c r="RQ147" s="33"/>
      <c r="RR147" s="33"/>
      <c r="RS147" s="33"/>
      <c r="RT147" s="33"/>
      <c r="RU147" s="33"/>
      <c r="RV147" s="33"/>
      <c r="RW147" s="33"/>
      <c r="RX147" s="33"/>
      <c r="RY147" s="33"/>
      <c r="RZ147" s="33"/>
      <c r="SA147" s="33"/>
      <c r="SB147" s="33"/>
      <c r="SC147" s="33"/>
      <c r="SD147" s="33"/>
      <c r="SE147" s="33"/>
      <c r="SF147" s="33"/>
      <c r="SG147" s="33"/>
      <c r="SH147" s="33"/>
      <c r="SI147" s="33"/>
      <c r="SJ147" s="33"/>
      <c r="SK147" s="33"/>
      <c r="SL147" s="33"/>
      <c r="SM147" s="33"/>
      <c r="SN147" s="33"/>
      <c r="SO147" s="33"/>
      <c r="SP147" s="33"/>
      <c r="SQ147" s="33"/>
      <c r="SR147" s="33"/>
      <c r="SS147" s="33"/>
      <c r="ST147" s="33"/>
      <c r="SU147" s="33"/>
      <c r="SV147" s="33"/>
      <c r="SW147" s="33"/>
      <c r="SX147" s="33"/>
      <c r="SY147" s="33"/>
      <c r="SZ147" s="33"/>
      <c r="TA147" s="33"/>
      <c r="TB147" s="33"/>
      <c r="TC147" s="33"/>
      <c r="TD147" s="33"/>
      <c r="TE147" s="33"/>
      <c r="TF147" s="33"/>
      <c r="TG147" s="33"/>
    </row>
    <row r="148" spans="1:527" s="34" customFormat="1" ht="275.25" hidden="1" customHeight="1" x14ac:dyDescent="0.25">
      <c r="A148" s="100"/>
      <c r="B148" s="113"/>
      <c r="C148" s="113"/>
      <c r="D148" s="81" t="str">
        <f>'дод 8'!C88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8" s="102">
        <f>E175</f>
        <v>0</v>
      </c>
      <c r="F148" s="102">
        <f>L175</f>
        <v>0</v>
      </c>
      <c r="G148" s="102">
        <f t="shared" ref="G148:P148" si="57">G175</f>
        <v>0</v>
      </c>
      <c r="H148" s="102">
        <f t="shared" si="57"/>
        <v>0</v>
      </c>
      <c r="I148" s="102">
        <f t="shared" si="57"/>
        <v>0</v>
      </c>
      <c r="J148" s="102">
        <f t="shared" si="57"/>
        <v>0</v>
      </c>
      <c r="K148" s="102">
        <f t="shared" si="57"/>
        <v>0</v>
      </c>
      <c r="L148" s="102">
        <f t="shared" si="57"/>
        <v>0</v>
      </c>
      <c r="M148" s="102">
        <f t="shared" si="57"/>
        <v>0</v>
      </c>
      <c r="N148" s="102">
        <f t="shared" si="57"/>
        <v>0</v>
      </c>
      <c r="O148" s="102">
        <f t="shared" si="57"/>
        <v>0</v>
      </c>
      <c r="P148" s="102">
        <f t="shared" si="57"/>
        <v>0</v>
      </c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  <c r="IT148" s="33"/>
      <c r="IU148" s="33"/>
      <c r="IV148" s="33"/>
      <c r="IW148" s="33"/>
      <c r="IX148" s="33"/>
      <c r="IY148" s="33"/>
      <c r="IZ148" s="33"/>
      <c r="JA148" s="33"/>
      <c r="JB148" s="33"/>
      <c r="JC148" s="33"/>
      <c r="JD148" s="33"/>
      <c r="JE148" s="33"/>
      <c r="JF148" s="33"/>
      <c r="JG148" s="33"/>
      <c r="JH148" s="33"/>
      <c r="JI148" s="33"/>
      <c r="JJ148" s="33"/>
      <c r="JK148" s="33"/>
      <c r="JL148" s="33"/>
      <c r="JM148" s="33"/>
      <c r="JN148" s="33"/>
      <c r="JO148" s="33"/>
      <c r="JP148" s="33"/>
      <c r="JQ148" s="33"/>
      <c r="JR148" s="33"/>
      <c r="JS148" s="33"/>
      <c r="JT148" s="33"/>
      <c r="JU148" s="33"/>
      <c r="JV148" s="33"/>
      <c r="JW148" s="33"/>
      <c r="JX148" s="33"/>
      <c r="JY148" s="33"/>
      <c r="JZ148" s="33"/>
      <c r="KA148" s="33"/>
      <c r="KB148" s="33"/>
      <c r="KC148" s="33"/>
      <c r="KD148" s="33"/>
      <c r="KE148" s="33"/>
      <c r="KF148" s="33"/>
      <c r="KG148" s="33"/>
      <c r="KH148" s="33"/>
      <c r="KI148" s="33"/>
      <c r="KJ148" s="33"/>
      <c r="KK148" s="33"/>
      <c r="KL148" s="33"/>
      <c r="KM148" s="33"/>
      <c r="KN148" s="33"/>
      <c r="KO148" s="33"/>
      <c r="KP148" s="33"/>
      <c r="KQ148" s="33"/>
      <c r="KR148" s="33"/>
      <c r="KS148" s="33"/>
      <c r="KT148" s="33"/>
      <c r="KU148" s="33"/>
      <c r="KV148" s="33"/>
      <c r="KW148" s="33"/>
      <c r="KX148" s="33"/>
      <c r="KY148" s="33"/>
      <c r="KZ148" s="33"/>
      <c r="LA148" s="33"/>
      <c r="LB148" s="33"/>
      <c r="LC148" s="33"/>
      <c r="LD148" s="33"/>
      <c r="LE148" s="33"/>
      <c r="LF148" s="33"/>
      <c r="LG148" s="33"/>
      <c r="LH148" s="33"/>
      <c r="LI148" s="33"/>
      <c r="LJ148" s="33"/>
      <c r="LK148" s="33"/>
      <c r="LL148" s="33"/>
      <c r="LM148" s="33"/>
      <c r="LN148" s="33"/>
      <c r="LO148" s="33"/>
      <c r="LP148" s="33"/>
      <c r="LQ148" s="33"/>
      <c r="LR148" s="33"/>
      <c r="LS148" s="33"/>
      <c r="LT148" s="33"/>
      <c r="LU148" s="33"/>
      <c r="LV148" s="33"/>
      <c r="LW148" s="33"/>
      <c r="LX148" s="33"/>
      <c r="LY148" s="33"/>
      <c r="LZ148" s="33"/>
      <c r="MA148" s="33"/>
      <c r="MB148" s="33"/>
      <c r="MC148" s="33"/>
      <c r="MD148" s="33"/>
      <c r="ME148" s="33"/>
      <c r="MF148" s="33"/>
      <c r="MG148" s="33"/>
      <c r="MH148" s="33"/>
      <c r="MI148" s="33"/>
      <c r="MJ148" s="33"/>
      <c r="MK148" s="33"/>
      <c r="ML148" s="33"/>
      <c r="MM148" s="33"/>
      <c r="MN148" s="33"/>
      <c r="MO148" s="33"/>
      <c r="MP148" s="33"/>
      <c r="MQ148" s="33"/>
      <c r="MR148" s="33"/>
      <c r="MS148" s="33"/>
      <c r="MT148" s="33"/>
      <c r="MU148" s="33"/>
      <c r="MV148" s="33"/>
      <c r="MW148" s="33"/>
      <c r="MX148" s="33"/>
      <c r="MY148" s="33"/>
      <c r="MZ148" s="33"/>
      <c r="NA148" s="33"/>
      <c r="NB148" s="33"/>
      <c r="NC148" s="33"/>
      <c r="ND148" s="33"/>
      <c r="NE148" s="33"/>
      <c r="NF148" s="33"/>
      <c r="NG148" s="33"/>
      <c r="NH148" s="33"/>
      <c r="NI148" s="33"/>
      <c r="NJ148" s="33"/>
      <c r="NK148" s="33"/>
      <c r="NL148" s="33"/>
      <c r="NM148" s="33"/>
      <c r="NN148" s="33"/>
      <c r="NO148" s="33"/>
      <c r="NP148" s="33"/>
      <c r="NQ148" s="33"/>
      <c r="NR148" s="33"/>
      <c r="NS148" s="33"/>
      <c r="NT148" s="33"/>
      <c r="NU148" s="33"/>
      <c r="NV148" s="33"/>
      <c r="NW148" s="33"/>
      <c r="NX148" s="33"/>
      <c r="NY148" s="33"/>
      <c r="NZ148" s="33"/>
      <c r="OA148" s="33"/>
      <c r="OB148" s="33"/>
      <c r="OC148" s="33"/>
      <c r="OD148" s="33"/>
      <c r="OE148" s="33"/>
      <c r="OF148" s="33"/>
      <c r="OG148" s="33"/>
      <c r="OH148" s="33"/>
      <c r="OI148" s="33"/>
      <c r="OJ148" s="33"/>
      <c r="OK148" s="33"/>
      <c r="OL148" s="33"/>
      <c r="OM148" s="33"/>
      <c r="ON148" s="33"/>
      <c r="OO148" s="33"/>
      <c r="OP148" s="33"/>
      <c r="OQ148" s="33"/>
      <c r="OR148" s="33"/>
      <c r="OS148" s="33"/>
      <c r="OT148" s="33"/>
      <c r="OU148" s="33"/>
      <c r="OV148" s="33"/>
      <c r="OW148" s="33"/>
      <c r="OX148" s="33"/>
      <c r="OY148" s="33"/>
      <c r="OZ148" s="33"/>
      <c r="PA148" s="33"/>
      <c r="PB148" s="33"/>
      <c r="PC148" s="33"/>
      <c r="PD148" s="33"/>
      <c r="PE148" s="33"/>
      <c r="PF148" s="33"/>
      <c r="PG148" s="33"/>
      <c r="PH148" s="33"/>
      <c r="PI148" s="33"/>
      <c r="PJ148" s="33"/>
      <c r="PK148" s="33"/>
      <c r="PL148" s="33"/>
      <c r="PM148" s="33"/>
      <c r="PN148" s="33"/>
      <c r="PO148" s="33"/>
      <c r="PP148" s="33"/>
      <c r="PQ148" s="33"/>
      <c r="PR148" s="33"/>
      <c r="PS148" s="33"/>
      <c r="PT148" s="33"/>
      <c r="PU148" s="33"/>
      <c r="PV148" s="33"/>
      <c r="PW148" s="33"/>
      <c r="PX148" s="33"/>
      <c r="PY148" s="33"/>
      <c r="PZ148" s="33"/>
      <c r="QA148" s="33"/>
      <c r="QB148" s="33"/>
      <c r="QC148" s="33"/>
      <c r="QD148" s="33"/>
      <c r="QE148" s="33"/>
      <c r="QF148" s="33"/>
      <c r="QG148" s="33"/>
      <c r="QH148" s="33"/>
      <c r="QI148" s="33"/>
      <c r="QJ148" s="33"/>
      <c r="QK148" s="33"/>
      <c r="QL148" s="33"/>
      <c r="QM148" s="33"/>
      <c r="QN148" s="33"/>
      <c r="QO148" s="33"/>
      <c r="QP148" s="33"/>
      <c r="QQ148" s="33"/>
      <c r="QR148" s="33"/>
      <c r="QS148" s="33"/>
      <c r="QT148" s="33"/>
      <c r="QU148" s="33"/>
      <c r="QV148" s="33"/>
      <c r="QW148" s="33"/>
      <c r="QX148" s="33"/>
      <c r="QY148" s="33"/>
      <c r="QZ148" s="33"/>
      <c r="RA148" s="33"/>
      <c r="RB148" s="33"/>
      <c r="RC148" s="33"/>
      <c r="RD148" s="33"/>
      <c r="RE148" s="33"/>
      <c r="RF148" s="33"/>
      <c r="RG148" s="33"/>
      <c r="RH148" s="33"/>
      <c r="RI148" s="33"/>
      <c r="RJ148" s="33"/>
      <c r="RK148" s="33"/>
      <c r="RL148" s="33"/>
      <c r="RM148" s="33"/>
      <c r="RN148" s="33"/>
      <c r="RO148" s="33"/>
      <c r="RP148" s="33"/>
      <c r="RQ148" s="33"/>
      <c r="RR148" s="33"/>
      <c r="RS148" s="33"/>
      <c r="RT148" s="33"/>
      <c r="RU148" s="33"/>
      <c r="RV148" s="33"/>
      <c r="RW148" s="33"/>
      <c r="RX148" s="33"/>
      <c r="RY148" s="33"/>
      <c r="RZ148" s="33"/>
      <c r="SA148" s="33"/>
      <c r="SB148" s="33"/>
      <c r="SC148" s="33"/>
      <c r="SD148" s="33"/>
      <c r="SE148" s="33"/>
      <c r="SF148" s="33"/>
      <c r="SG148" s="33"/>
      <c r="SH148" s="33"/>
      <c r="SI148" s="33"/>
      <c r="SJ148" s="33"/>
      <c r="SK148" s="33"/>
      <c r="SL148" s="33"/>
      <c r="SM148" s="33"/>
      <c r="SN148" s="33"/>
      <c r="SO148" s="33"/>
      <c r="SP148" s="33"/>
      <c r="SQ148" s="33"/>
      <c r="SR148" s="33"/>
      <c r="SS148" s="33"/>
      <c r="ST148" s="33"/>
      <c r="SU148" s="33"/>
      <c r="SV148" s="33"/>
      <c r="SW148" s="33"/>
      <c r="SX148" s="33"/>
      <c r="SY148" s="33"/>
      <c r="SZ148" s="33"/>
      <c r="TA148" s="33"/>
      <c r="TB148" s="33"/>
      <c r="TC148" s="33"/>
      <c r="TD148" s="33"/>
      <c r="TE148" s="33"/>
      <c r="TF148" s="33"/>
      <c r="TG148" s="33"/>
    </row>
    <row r="149" spans="1:527" s="34" customFormat="1" ht="255" hidden="1" customHeight="1" x14ac:dyDescent="0.25">
      <c r="A149" s="100"/>
      <c r="B149" s="113"/>
      <c r="C149" s="113"/>
      <c r="D149" s="81" t="str">
        <f>'дод 8'!C89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9" s="102">
        <f>E177</f>
        <v>0</v>
      </c>
      <c r="F149" s="102">
        <f t="shared" ref="F149:P149" si="58">F177</f>
        <v>0</v>
      </c>
      <c r="G149" s="102">
        <f t="shared" si="58"/>
        <v>0</v>
      </c>
      <c r="H149" s="102">
        <f t="shared" si="58"/>
        <v>0</v>
      </c>
      <c r="I149" s="102">
        <f t="shared" si="58"/>
        <v>0</v>
      </c>
      <c r="J149" s="102">
        <f t="shared" si="58"/>
        <v>0</v>
      </c>
      <c r="K149" s="102">
        <f t="shared" si="58"/>
        <v>0</v>
      </c>
      <c r="L149" s="102">
        <f t="shared" si="58"/>
        <v>0</v>
      </c>
      <c r="M149" s="102">
        <f t="shared" si="58"/>
        <v>0</v>
      </c>
      <c r="N149" s="102">
        <f t="shared" si="58"/>
        <v>0</v>
      </c>
      <c r="O149" s="102">
        <f t="shared" si="58"/>
        <v>0</v>
      </c>
      <c r="P149" s="102">
        <f t="shared" si="58"/>
        <v>0</v>
      </c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  <c r="IU149" s="33"/>
      <c r="IV149" s="33"/>
      <c r="IW149" s="33"/>
      <c r="IX149" s="33"/>
      <c r="IY149" s="33"/>
      <c r="IZ149" s="33"/>
      <c r="JA149" s="33"/>
      <c r="JB149" s="33"/>
      <c r="JC149" s="33"/>
      <c r="JD149" s="33"/>
      <c r="JE149" s="33"/>
      <c r="JF149" s="33"/>
      <c r="JG149" s="33"/>
      <c r="JH149" s="33"/>
      <c r="JI149" s="33"/>
      <c r="JJ149" s="33"/>
      <c r="JK149" s="33"/>
      <c r="JL149" s="33"/>
      <c r="JM149" s="33"/>
      <c r="JN149" s="33"/>
      <c r="JO149" s="33"/>
      <c r="JP149" s="33"/>
      <c r="JQ149" s="33"/>
      <c r="JR149" s="33"/>
      <c r="JS149" s="33"/>
      <c r="JT149" s="33"/>
      <c r="JU149" s="33"/>
      <c r="JV149" s="33"/>
      <c r="JW149" s="33"/>
      <c r="JX149" s="33"/>
      <c r="JY149" s="33"/>
      <c r="JZ149" s="33"/>
      <c r="KA149" s="33"/>
      <c r="KB149" s="33"/>
      <c r="KC149" s="33"/>
      <c r="KD149" s="33"/>
      <c r="KE149" s="33"/>
      <c r="KF149" s="33"/>
      <c r="KG149" s="33"/>
      <c r="KH149" s="33"/>
      <c r="KI149" s="33"/>
      <c r="KJ149" s="33"/>
      <c r="KK149" s="33"/>
      <c r="KL149" s="33"/>
      <c r="KM149" s="33"/>
      <c r="KN149" s="33"/>
      <c r="KO149" s="33"/>
      <c r="KP149" s="33"/>
      <c r="KQ149" s="33"/>
      <c r="KR149" s="33"/>
      <c r="KS149" s="33"/>
      <c r="KT149" s="33"/>
      <c r="KU149" s="33"/>
      <c r="KV149" s="33"/>
      <c r="KW149" s="33"/>
      <c r="KX149" s="33"/>
      <c r="KY149" s="33"/>
      <c r="KZ149" s="33"/>
      <c r="LA149" s="33"/>
      <c r="LB149" s="33"/>
      <c r="LC149" s="33"/>
      <c r="LD149" s="33"/>
      <c r="LE149" s="33"/>
      <c r="LF149" s="33"/>
      <c r="LG149" s="33"/>
      <c r="LH149" s="33"/>
      <c r="LI149" s="33"/>
      <c r="LJ149" s="33"/>
      <c r="LK149" s="33"/>
      <c r="LL149" s="33"/>
      <c r="LM149" s="33"/>
      <c r="LN149" s="33"/>
      <c r="LO149" s="33"/>
      <c r="LP149" s="33"/>
      <c r="LQ149" s="33"/>
      <c r="LR149" s="33"/>
      <c r="LS149" s="33"/>
      <c r="LT149" s="33"/>
      <c r="LU149" s="33"/>
      <c r="LV149" s="33"/>
      <c r="LW149" s="33"/>
      <c r="LX149" s="33"/>
      <c r="LY149" s="33"/>
      <c r="LZ149" s="33"/>
      <c r="MA149" s="33"/>
      <c r="MB149" s="33"/>
      <c r="MC149" s="33"/>
      <c r="MD149" s="33"/>
      <c r="ME149" s="33"/>
      <c r="MF149" s="33"/>
      <c r="MG149" s="33"/>
      <c r="MH149" s="33"/>
      <c r="MI149" s="33"/>
      <c r="MJ149" s="33"/>
      <c r="MK149" s="33"/>
      <c r="ML149" s="33"/>
      <c r="MM149" s="33"/>
      <c r="MN149" s="33"/>
      <c r="MO149" s="33"/>
      <c r="MP149" s="33"/>
      <c r="MQ149" s="33"/>
      <c r="MR149" s="33"/>
      <c r="MS149" s="33"/>
      <c r="MT149" s="33"/>
      <c r="MU149" s="33"/>
      <c r="MV149" s="33"/>
      <c r="MW149" s="33"/>
      <c r="MX149" s="33"/>
      <c r="MY149" s="33"/>
      <c r="MZ149" s="33"/>
      <c r="NA149" s="33"/>
      <c r="NB149" s="33"/>
      <c r="NC149" s="33"/>
      <c r="ND149" s="33"/>
      <c r="NE149" s="33"/>
      <c r="NF149" s="33"/>
      <c r="NG149" s="33"/>
      <c r="NH149" s="33"/>
      <c r="NI149" s="33"/>
      <c r="NJ149" s="33"/>
      <c r="NK149" s="33"/>
      <c r="NL149" s="33"/>
      <c r="NM149" s="33"/>
      <c r="NN149" s="33"/>
      <c r="NO149" s="33"/>
      <c r="NP149" s="33"/>
      <c r="NQ149" s="33"/>
      <c r="NR149" s="33"/>
      <c r="NS149" s="33"/>
      <c r="NT149" s="33"/>
      <c r="NU149" s="33"/>
      <c r="NV149" s="33"/>
      <c r="NW149" s="33"/>
      <c r="NX149" s="33"/>
      <c r="NY149" s="33"/>
      <c r="NZ149" s="33"/>
      <c r="OA149" s="33"/>
      <c r="OB149" s="33"/>
      <c r="OC149" s="33"/>
      <c r="OD149" s="33"/>
      <c r="OE149" s="33"/>
      <c r="OF149" s="33"/>
      <c r="OG149" s="33"/>
      <c r="OH149" s="33"/>
      <c r="OI149" s="33"/>
      <c r="OJ149" s="33"/>
      <c r="OK149" s="33"/>
      <c r="OL149" s="33"/>
      <c r="OM149" s="33"/>
      <c r="ON149" s="33"/>
      <c r="OO149" s="33"/>
      <c r="OP149" s="33"/>
      <c r="OQ149" s="33"/>
      <c r="OR149" s="33"/>
      <c r="OS149" s="33"/>
      <c r="OT149" s="33"/>
      <c r="OU149" s="33"/>
      <c r="OV149" s="33"/>
      <c r="OW149" s="33"/>
      <c r="OX149" s="33"/>
      <c r="OY149" s="33"/>
      <c r="OZ149" s="33"/>
      <c r="PA149" s="33"/>
      <c r="PB149" s="33"/>
      <c r="PC149" s="33"/>
      <c r="PD149" s="33"/>
      <c r="PE149" s="33"/>
      <c r="PF149" s="33"/>
      <c r="PG149" s="33"/>
      <c r="PH149" s="33"/>
      <c r="PI149" s="33"/>
      <c r="PJ149" s="33"/>
      <c r="PK149" s="33"/>
      <c r="PL149" s="33"/>
      <c r="PM149" s="33"/>
      <c r="PN149" s="33"/>
      <c r="PO149" s="33"/>
      <c r="PP149" s="33"/>
      <c r="PQ149" s="33"/>
      <c r="PR149" s="33"/>
      <c r="PS149" s="33"/>
      <c r="PT149" s="33"/>
      <c r="PU149" s="33"/>
      <c r="PV149" s="33"/>
      <c r="PW149" s="33"/>
      <c r="PX149" s="33"/>
      <c r="PY149" s="33"/>
      <c r="PZ149" s="33"/>
      <c r="QA149" s="33"/>
      <c r="QB149" s="33"/>
      <c r="QC149" s="33"/>
      <c r="QD149" s="33"/>
      <c r="QE149" s="33"/>
      <c r="QF149" s="33"/>
      <c r="QG149" s="33"/>
      <c r="QH149" s="33"/>
      <c r="QI149" s="33"/>
      <c r="QJ149" s="33"/>
      <c r="QK149" s="33"/>
      <c r="QL149" s="33"/>
      <c r="QM149" s="33"/>
      <c r="QN149" s="33"/>
      <c r="QO149" s="33"/>
      <c r="QP149" s="33"/>
      <c r="QQ149" s="33"/>
      <c r="QR149" s="33"/>
      <c r="QS149" s="33"/>
      <c r="QT149" s="33"/>
      <c r="QU149" s="33"/>
      <c r="QV149" s="33"/>
      <c r="QW149" s="33"/>
      <c r="QX149" s="33"/>
      <c r="QY149" s="33"/>
      <c r="QZ149" s="33"/>
      <c r="RA149" s="33"/>
      <c r="RB149" s="33"/>
      <c r="RC149" s="33"/>
      <c r="RD149" s="33"/>
      <c r="RE149" s="33"/>
      <c r="RF149" s="33"/>
      <c r="RG149" s="33"/>
      <c r="RH149" s="33"/>
      <c r="RI149" s="33"/>
      <c r="RJ149" s="33"/>
      <c r="RK149" s="33"/>
      <c r="RL149" s="33"/>
      <c r="RM149" s="33"/>
      <c r="RN149" s="33"/>
      <c r="RO149" s="33"/>
      <c r="RP149" s="33"/>
      <c r="RQ149" s="33"/>
      <c r="RR149" s="33"/>
      <c r="RS149" s="33"/>
      <c r="RT149" s="33"/>
      <c r="RU149" s="33"/>
      <c r="RV149" s="33"/>
      <c r="RW149" s="33"/>
      <c r="RX149" s="33"/>
      <c r="RY149" s="33"/>
      <c r="RZ149" s="33"/>
      <c r="SA149" s="33"/>
      <c r="SB149" s="33"/>
      <c r="SC149" s="33"/>
      <c r="SD149" s="33"/>
      <c r="SE149" s="33"/>
      <c r="SF149" s="33"/>
      <c r="SG149" s="33"/>
      <c r="SH149" s="33"/>
      <c r="SI149" s="33"/>
      <c r="SJ149" s="33"/>
      <c r="SK149" s="33"/>
      <c r="SL149" s="33"/>
      <c r="SM149" s="33"/>
      <c r="SN149" s="33"/>
      <c r="SO149" s="33"/>
      <c r="SP149" s="33"/>
      <c r="SQ149" s="33"/>
      <c r="SR149" s="33"/>
      <c r="SS149" s="33"/>
      <c r="ST149" s="33"/>
      <c r="SU149" s="33"/>
      <c r="SV149" s="33"/>
      <c r="SW149" s="33"/>
      <c r="SX149" s="33"/>
      <c r="SY149" s="33"/>
      <c r="SZ149" s="33"/>
      <c r="TA149" s="33"/>
      <c r="TB149" s="33"/>
      <c r="TC149" s="33"/>
      <c r="TD149" s="33"/>
      <c r="TE149" s="33"/>
      <c r="TF149" s="33"/>
      <c r="TG149" s="33"/>
    </row>
    <row r="150" spans="1:527" s="34" customFormat="1" ht="15.75" x14ac:dyDescent="0.25">
      <c r="A150" s="100"/>
      <c r="B150" s="113"/>
      <c r="C150" s="113"/>
      <c r="D150" s="81" t="s">
        <v>397</v>
      </c>
      <c r="E150" s="102">
        <f>E156+E160+E162+E166+E168+E180</f>
        <v>4858460.24</v>
      </c>
      <c r="F150" s="102">
        <f t="shared" ref="F150:P150" si="59">F156+F160+F162+F166+F168+F180</f>
        <v>4858460.24</v>
      </c>
      <c r="G150" s="102">
        <f t="shared" si="59"/>
        <v>0</v>
      </c>
      <c r="H150" s="102">
        <f t="shared" si="59"/>
        <v>0</v>
      </c>
      <c r="I150" s="102">
        <f t="shared" si="59"/>
        <v>0</v>
      </c>
      <c r="J150" s="102">
        <f t="shared" si="59"/>
        <v>0</v>
      </c>
      <c r="K150" s="102">
        <f t="shared" si="59"/>
        <v>0</v>
      </c>
      <c r="L150" s="102">
        <f t="shared" si="59"/>
        <v>0</v>
      </c>
      <c r="M150" s="102">
        <f t="shared" si="59"/>
        <v>0</v>
      </c>
      <c r="N150" s="102">
        <f t="shared" si="59"/>
        <v>0</v>
      </c>
      <c r="O150" s="102">
        <f t="shared" si="59"/>
        <v>0</v>
      </c>
      <c r="P150" s="102">
        <f t="shared" si="59"/>
        <v>4858460.24</v>
      </c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  <c r="IU150" s="33"/>
      <c r="IV150" s="33"/>
      <c r="IW150" s="33"/>
      <c r="IX150" s="33"/>
      <c r="IY150" s="33"/>
      <c r="IZ150" s="33"/>
      <c r="JA150" s="33"/>
      <c r="JB150" s="33"/>
      <c r="JC150" s="33"/>
      <c r="JD150" s="33"/>
      <c r="JE150" s="33"/>
      <c r="JF150" s="33"/>
      <c r="JG150" s="33"/>
      <c r="JH150" s="33"/>
      <c r="JI150" s="33"/>
      <c r="JJ150" s="33"/>
      <c r="JK150" s="33"/>
      <c r="JL150" s="33"/>
      <c r="JM150" s="33"/>
      <c r="JN150" s="33"/>
      <c r="JO150" s="33"/>
      <c r="JP150" s="33"/>
      <c r="JQ150" s="33"/>
      <c r="JR150" s="33"/>
      <c r="JS150" s="33"/>
      <c r="JT150" s="33"/>
      <c r="JU150" s="33"/>
      <c r="JV150" s="33"/>
      <c r="JW150" s="33"/>
      <c r="JX150" s="33"/>
      <c r="JY150" s="33"/>
      <c r="JZ150" s="33"/>
      <c r="KA150" s="33"/>
      <c r="KB150" s="33"/>
      <c r="KC150" s="33"/>
      <c r="KD150" s="33"/>
      <c r="KE150" s="33"/>
      <c r="KF150" s="33"/>
      <c r="KG150" s="33"/>
      <c r="KH150" s="33"/>
      <c r="KI150" s="33"/>
      <c r="KJ150" s="33"/>
      <c r="KK150" s="33"/>
      <c r="KL150" s="33"/>
      <c r="KM150" s="33"/>
      <c r="KN150" s="33"/>
      <c r="KO150" s="33"/>
      <c r="KP150" s="33"/>
      <c r="KQ150" s="33"/>
      <c r="KR150" s="33"/>
      <c r="KS150" s="33"/>
      <c r="KT150" s="33"/>
      <c r="KU150" s="33"/>
      <c r="KV150" s="33"/>
      <c r="KW150" s="33"/>
      <c r="KX150" s="33"/>
      <c r="KY150" s="33"/>
      <c r="KZ150" s="33"/>
      <c r="LA150" s="33"/>
      <c r="LB150" s="33"/>
      <c r="LC150" s="33"/>
      <c r="LD150" s="33"/>
      <c r="LE150" s="33"/>
      <c r="LF150" s="33"/>
      <c r="LG150" s="33"/>
      <c r="LH150" s="33"/>
      <c r="LI150" s="33"/>
      <c r="LJ150" s="33"/>
      <c r="LK150" s="33"/>
      <c r="LL150" s="33"/>
      <c r="LM150" s="33"/>
      <c r="LN150" s="33"/>
      <c r="LO150" s="33"/>
      <c r="LP150" s="33"/>
      <c r="LQ150" s="33"/>
      <c r="LR150" s="33"/>
      <c r="LS150" s="33"/>
      <c r="LT150" s="33"/>
      <c r="LU150" s="33"/>
      <c r="LV150" s="33"/>
      <c r="LW150" s="33"/>
      <c r="LX150" s="33"/>
      <c r="LY150" s="33"/>
      <c r="LZ150" s="33"/>
      <c r="MA150" s="33"/>
      <c r="MB150" s="33"/>
      <c r="MC150" s="33"/>
      <c r="MD150" s="33"/>
      <c r="ME150" s="33"/>
      <c r="MF150" s="33"/>
      <c r="MG150" s="33"/>
      <c r="MH150" s="33"/>
      <c r="MI150" s="33"/>
      <c r="MJ150" s="33"/>
      <c r="MK150" s="33"/>
      <c r="ML150" s="33"/>
      <c r="MM150" s="33"/>
      <c r="MN150" s="33"/>
      <c r="MO150" s="33"/>
      <c r="MP150" s="33"/>
      <c r="MQ150" s="33"/>
      <c r="MR150" s="33"/>
      <c r="MS150" s="33"/>
      <c r="MT150" s="33"/>
      <c r="MU150" s="33"/>
      <c r="MV150" s="33"/>
      <c r="MW150" s="33"/>
      <c r="MX150" s="33"/>
      <c r="MY150" s="33"/>
      <c r="MZ150" s="33"/>
      <c r="NA150" s="33"/>
      <c r="NB150" s="33"/>
      <c r="NC150" s="33"/>
      <c r="ND150" s="33"/>
      <c r="NE150" s="33"/>
      <c r="NF150" s="33"/>
      <c r="NG150" s="33"/>
      <c r="NH150" s="33"/>
      <c r="NI150" s="33"/>
      <c r="NJ150" s="33"/>
      <c r="NK150" s="33"/>
      <c r="NL150" s="33"/>
      <c r="NM150" s="33"/>
      <c r="NN150" s="33"/>
      <c r="NO150" s="33"/>
      <c r="NP150" s="33"/>
      <c r="NQ150" s="33"/>
      <c r="NR150" s="33"/>
      <c r="NS150" s="33"/>
      <c r="NT150" s="33"/>
      <c r="NU150" s="33"/>
      <c r="NV150" s="33"/>
      <c r="NW150" s="33"/>
      <c r="NX150" s="33"/>
      <c r="NY150" s="33"/>
      <c r="NZ150" s="33"/>
      <c r="OA150" s="33"/>
      <c r="OB150" s="33"/>
      <c r="OC150" s="33"/>
      <c r="OD150" s="33"/>
      <c r="OE150" s="33"/>
      <c r="OF150" s="33"/>
      <c r="OG150" s="33"/>
      <c r="OH150" s="33"/>
      <c r="OI150" s="33"/>
      <c r="OJ150" s="33"/>
      <c r="OK150" s="33"/>
      <c r="OL150" s="33"/>
      <c r="OM150" s="33"/>
      <c r="ON150" s="33"/>
      <c r="OO150" s="33"/>
      <c r="OP150" s="33"/>
      <c r="OQ150" s="33"/>
      <c r="OR150" s="33"/>
      <c r="OS150" s="33"/>
      <c r="OT150" s="33"/>
      <c r="OU150" s="33"/>
      <c r="OV150" s="33"/>
      <c r="OW150" s="33"/>
      <c r="OX150" s="33"/>
      <c r="OY150" s="33"/>
      <c r="OZ150" s="33"/>
      <c r="PA150" s="33"/>
      <c r="PB150" s="33"/>
      <c r="PC150" s="33"/>
      <c r="PD150" s="33"/>
      <c r="PE150" s="33"/>
      <c r="PF150" s="33"/>
      <c r="PG150" s="33"/>
      <c r="PH150" s="33"/>
      <c r="PI150" s="33"/>
      <c r="PJ150" s="33"/>
      <c r="PK150" s="33"/>
      <c r="PL150" s="33"/>
      <c r="PM150" s="33"/>
      <c r="PN150" s="33"/>
      <c r="PO150" s="33"/>
      <c r="PP150" s="33"/>
      <c r="PQ150" s="33"/>
      <c r="PR150" s="33"/>
      <c r="PS150" s="33"/>
      <c r="PT150" s="33"/>
      <c r="PU150" s="33"/>
      <c r="PV150" s="33"/>
      <c r="PW150" s="33"/>
      <c r="PX150" s="33"/>
      <c r="PY150" s="33"/>
      <c r="PZ150" s="33"/>
      <c r="QA150" s="33"/>
      <c r="QB150" s="33"/>
      <c r="QC150" s="33"/>
      <c r="QD150" s="33"/>
      <c r="QE150" s="33"/>
      <c r="QF150" s="33"/>
      <c r="QG150" s="33"/>
      <c r="QH150" s="33"/>
      <c r="QI150" s="33"/>
      <c r="QJ150" s="33"/>
      <c r="QK150" s="33"/>
      <c r="QL150" s="33"/>
      <c r="QM150" s="33"/>
      <c r="QN150" s="33"/>
      <c r="QO150" s="33"/>
      <c r="QP150" s="33"/>
      <c r="QQ150" s="33"/>
      <c r="QR150" s="33"/>
      <c r="QS150" s="33"/>
      <c r="QT150" s="33"/>
      <c r="QU150" s="33"/>
      <c r="QV150" s="33"/>
      <c r="QW150" s="33"/>
      <c r="QX150" s="33"/>
      <c r="QY150" s="33"/>
      <c r="QZ150" s="33"/>
      <c r="RA150" s="33"/>
      <c r="RB150" s="33"/>
      <c r="RC150" s="33"/>
      <c r="RD150" s="33"/>
      <c r="RE150" s="33"/>
      <c r="RF150" s="33"/>
      <c r="RG150" s="33"/>
      <c r="RH150" s="33"/>
      <c r="RI150" s="33"/>
      <c r="RJ150" s="33"/>
      <c r="RK150" s="33"/>
      <c r="RL150" s="33"/>
      <c r="RM150" s="33"/>
      <c r="RN150" s="33"/>
      <c r="RO150" s="33"/>
      <c r="RP150" s="33"/>
      <c r="RQ150" s="33"/>
      <c r="RR150" s="33"/>
      <c r="RS150" s="33"/>
      <c r="RT150" s="33"/>
      <c r="RU150" s="33"/>
      <c r="RV150" s="33"/>
      <c r="RW150" s="33"/>
      <c r="RX150" s="33"/>
      <c r="RY150" s="33"/>
      <c r="RZ150" s="33"/>
      <c r="SA150" s="33"/>
      <c r="SB150" s="33"/>
      <c r="SC150" s="33"/>
      <c r="SD150" s="33"/>
      <c r="SE150" s="33"/>
      <c r="SF150" s="33"/>
      <c r="SG150" s="33"/>
      <c r="SH150" s="33"/>
      <c r="SI150" s="33"/>
      <c r="SJ150" s="33"/>
      <c r="SK150" s="33"/>
      <c r="SL150" s="33"/>
      <c r="SM150" s="33"/>
      <c r="SN150" s="33"/>
      <c r="SO150" s="33"/>
      <c r="SP150" s="33"/>
      <c r="SQ150" s="33"/>
      <c r="SR150" s="33"/>
      <c r="SS150" s="33"/>
      <c r="ST150" s="33"/>
      <c r="SU150" s="33"/>
      <c r="SV150" s="33"/>
      <c r="SW150" s="33"/>
      <c r="SX150" s="33"/>
      <c r="SY150" s="33"/>
      <c r="SZ150" s="33"/>
      <c r="TA150" s="33"/>
      <c r="TB150" s="33"/>
      <c r="TC150" s="33"/>
      <c r="TD150" s="33"/>
      <c r="TE150" s="33"/>
      <c r="TF150" s="33"/>
      <c r="TG150" s="33"/>
    </row>
    <row r="151" spans="1:527" s="22" customFormat="1" ht="45.75" customHeight="1" x14ac:dyDescent="0.25">
      <c r="A151" s="60" t="s">
        <v>182</v>
      </c>
      <c r="B151" s="97" t="str">
        <f>'дод 8'!A19</f>
        <v>0160</v>
      </c>
      <c r="C151" s="97" t="str">
        <f>'дод 8'!B19</f>
        <v>0111</v>
      </c>
      <c r="D151" s="36" t="s">
        <v>504</v>
      </c>
      <c r="E151" s="103">
        <f t="shared" ref="E151:E182" si="60">F151+I151</f>
        <v>55362100</v>
      </c>
      <c r="F151" s="103">
        <f>55404100-2500-39500</f>
        <v>55362100</v>
      </c>
      <c r="G151" s="103">
        <v>43270200</v>
      </c>
      <c r="H151" s="103">
        <v>762000</v>
      </c>
      <c r="I151" s="103"/>
      <c r="J151" s="103">
        <f>L151+O151</f>
        <v>68000</v>
      </c>
      <c r="K151" s="103">
        <v>68000</v>
      </c>
      <c r="L151" s="103"/>
      <c r="M151" s="103"/>
      <c r="N151" s="103"/>
      <c r="O151" s="103">
        <v>68000</v>
      </c>
      <c r="P151" s="103">
        <f t="shared" ref="P151:P182" si="61">E151+J151</f>
        <v>55430100</v>
      </c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  <c r="MJ151" s="23"/>
      <c r="MK151" s="23"/>
      <c r="ML151" s="23"/>
      <c r="MM151" s="23"/>
      <c r="MN151" s="23"/>
      <c r="MO151" s="23"/>
      <c r="MP151" s="23"/>
      <c r="MQ151" s="23"/>
      <c r="MR151" s="23"/>
      <c r="MS151" s="23"/>
      <c r="MT151" s="23"/>
      <c r="MU151" s="23"/>
      <c r="MV151" s="23"/>
      <c r="MW151" s="23"/>
      <c r="MX151" s="23"/>
      <c r="MY151" s="23"/>
      <c r="MZ151" s="23"/>
      <c r="NA151" s="23"/>
      <c r="NB151" s="23"/>
      <c r="NC151" s="23"/>
      <c r="ND151" s="23"/>
      <c r="NE151" s="23"/>
      <c r="NF151" s="23"/>
      <c r="NG151" s="23"/>
      <c r="NH151" s="23"/>
      <c r="NI151" s="23"/>
      <c r="NJ151" s="23"/>
      <c r="NK151" s="23"/>
      <c r="NL151" s="23"/>
      <c r="NM151" s="23"/>
      <c r="NN151" s="23"/>
      <c r="NO151" s="23"/>
      <c r="NP151" s="23"/>
      <c r="NQ151" s="23"/>
      <c r="NR151" s="23"/>
      <c r="NS151" s="23"/>
      <c r="NT151" s="23"/>
      <c r="NU151" s="23"/>
      <c r="NV151" s="23"/>
      <c r="NW151" s="23"/>
      <c r="NX151" s="23"/>
      <c r="NY151" s="23"/>
      <c r="NZ151" s="23"/>
      <c r="OA151" s="23"/>
      <c r="OB151" s="23"/>
      <c r="OC151" s="23"/>
      <c r="OD151" s="23"/>
      <c r="OE151" s="23"/>
      <c r="OF151" s="23"/>
      <c r="OG151" s="23"/>
      <c r="OH151" s="23"/>
      <c r="OI151" s="23"/>
      <c r="OJ151" s="23"/>
      <c r="OK151" s="23"/>
      <c r="OL151" s="23"/>
      <c r="OM151" s="23"/>
      <c r="ON151" s="23"/>
      <c r="OO151" s="23"/>
      <c r="OP151" s="23"/>
      <c r="OQ151" s="23"/>
      <c r="OR151" s="23"/>
      <c r="OS151" s="23"/>
      <c r="OT151" s="23"/>
      <c r="OU151" s="23"/>
      <c r="OV151" s="23"/>
      <c r="OW151" s="23"/>
      <c r="OX151" s="23"/>
      <c r="OY151" s="23"/>
      <c r="OZ151" s="23"/>
      <c r="PA151" s="23"/>
      <c r="PB151" s="23"/>
      <c r="PC151" s="23"/>
      <c r="PD151" s="23"/>
      <c r="PE151" s="23"/>
      <c r="PF151" s="23"/>
      <c r="PG151" s="23"/>
      <c r="PH151" s="23"/>
      <c r="PI151" s="23"/>
      <c r="PJ151" s="23"/>
      <c r="PK151" s="23"/>
      <c r="PL151" s="23"/>
      <c r="PM151" s="23"/>
      <c r="PN151" s="23"/>
      <c r="PO151" s="23"/>
      <c r="PP151" s="23"/>
      <c r="PQ151" s="23"/>
      <c r="PR151" s="23"/>
      <c r="PS151" s="23"/>
      <c r="PT151" s="23"/>
      <c r="PU151" s="23"/>
      <c r="PV151" s="23"/>
      <c r="PW151" s="23"/>
      <c r="PX151" s="23"/>
      <c r="PY151" s="23"/>
      <c r="PZ151" s="23"/>
      <c r="QA151" s="23"/>
      <c r="QB151" s="23"/>
      <c r="QC151" s="23"/>
      <c r="QD151" s="23"/>
      <c r="QE151" s="23"/>
      <c r="QF151" s="23"/>
      <c r="QG151" s="23"/>
      <c r="QH151" s="23"/>
      <c r="QI151" s="23"/>
      <c r="QJ151" s="23"/>
      <c r="QK151" s="23"/>
      <c r="QL151" s="23"/>
      <c r="QM151" s="23"/>
      <c r="QN151" s="23"/>
      <c r="QO151" s="23"/>
      <c r="QP151" s="23"/>
      <c r="QQ151" s="23"/>
      <c r="QR151" s="23"/>
      <c r="QS151" s="23"/>
      <c r="QT151" s="23"/>
      <c r="QU151" s="23"/>
      <c r="QV151" s="23"/>
      <c r="QW151" s="23"/>
      <c r="QX151" s="23"/>
      <c r="QY151" s="23"/>
      <c r="QZ151" s="23"/>
      <c r="RA151" s="23"/>
      <c r="RB151" s="23"/>
      <c r="RC151" s="23"/>
      <c r="RD151" s="23"/>
      <c r="RE151" s="23"/>
      <c r="RF151" s="23"/>
      <c r="RG151" s="23"/>
      <c r="RH151" s="23"/>
      <c r="RI151" s="23"/>
      <c r="RJ151" s="23"/>
      <c r="RK151" s="23"/>
      <c r="RL151" s="23"/>
      <c r="RM151" s="23"/>
      <c r="RN151" s="23"/>
      <c r="RO151" s="23"/>
      <c r="RP151" s="23"/>
      <c r="RQ151" s="23"/>
      <c r="RR151" s="23"/>
      <c r="RS151" s="23"/>
      <c r="RT151" s="23"/>
      <c r="RU151" s="23"/>
      <c r="RV151" s="23"/>
      <c r="RW151" s="23"/>
      <c r="RX151" s="23"/>
      <c r="RY151" s="23"/>
      <c r="RZ151" s="23"/>
      <c r="SA151" s="23"/>
      <c r="SB151" s="23"/>
      <c r="SC151" s="23"/>
      <c r="SD151" s="23"/>
      <c r="SE151" s="23"/>
      <c r="SF151" s="23"/>
      <c r="SG151" s="23"/>
      <c r="SH151" s="23"/>
      <c r="SI151" s="23"/>
      <c r="SJ151" s="23"/>
      <c r="SK151" s="23"/>
      <c r="SL151" s="23"/>
      <c r="SM151" s="23"/>
      <c r="SN151" s="23"/>
      <c r="SO151" s="23"/>
      <c r="SP151" s="23"/>
      <c r="SQ151" s="23"/>
      <c r="SR151" s="23"/>
      <c r="SS151" s="23"/>
      <c r="ST151" s="23"/>
      <c r="SU151" s="23"/>
      <c r="SV151" s="23"/>
      <c r="SW151" s="23"/>
      <c r="SX151" s="23"/>
      <c r="SY151" s="23"/>
      <c r="SZ151" s="23"/>
      <c r="TA151" s="23"/>
      <c r="TB151" s="23"/>
      <c r="TC151" s="23"/>
      <c r="TD151" s="23"/>
      <c r="TE151" s="23"/>
      <c r="TF151" s="23"/>
      <c r="TG151" s="23"/>
    </row>
    <row r="152" spans="1:527" s="22" customFormat="1" ht="23.25" customHeight="1" x14ac:dyDescent="0.25">
      <c r="A152" s="60" t="s">
        <v>553</v>
      </c>
      <c r="B152" s="60" t="s">
        <v>46</v>
      </c>
      <c r="C152" s="60" t="s">
        <v>95</v>
      </c>
      <c r="D152" s="36" t="s">
        <v>244</v>
      </c>
      <c r="E152" s="103">
        <f t="shared" si="60"/>
        <v>39500</v>
      </c>
      <c r="F152" s="103">
        <v>39500</v>
      </c>
      <c r="G152" s="103"/>
      <c r="H152" s="103"/>
      <c r="I152" s="103"/>
      <c r="J152" s="103">
        <f>L152+O152</f>
        <v>0</v>
      </c>
      <c r="K152" s="103"/>
      <c r="L152" s="103"/>
      <c r="M152" s="103"/>
      <c r="N152" s="103"/>
      <c r="O152" s="103"/>
      <c r="P152" s="103">
        <f t="shared" si="61"/>
        <v>39500</v>
      </c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  <c r="MJ152" s="23"/>
      <c r="MK152" s="23"/>
      <c r="ML152" s="23"/>
      <c r="MM152" s="23"/>
      <c r="MN152" s="23"/>
      <c r="MO152" s="23"/>
      <c r="MP152" s="23"/>
      <c r="MQ152" s="23"/>
      <c r="MR152" s="23"/>
      <c r="MS152" s="23"/>
      <c r="MT152" s="23"/>
      <c r="MU152" s="23"/>
      <c r="MV152" s="23"/>
      <c r="MW152" s="23"/>
      <c r="MX152" s="23"/>
      <c r="MY152" s="23"/>
      <c r="MZ152" s="23"/>
      <c r="NA152" s="23"/>
      <c r="NB152" s="23"/>
      <c r="NC152" s="23"/>
      <c r="ND152" s="23"/>
      <c r="NE152" s="23"/>
      <c r="NF152" s="23"/>
      <c r="NG152" s="23"/>
      <c r="NH152" s="23"/>
      <c r="NI152" s="23"/>
      <c r="NJ152" s="23"/>
      <c r="NK152" s="23"/>
      <c r="NL152" s="23"/>
      <c r="NM152" s="23"/>
      <c r="NN152" s="23"/>
      <c r="NO152" s="23"/>
      <c r="NP152" s="23"/>
      <c r="NQ152" s="23"/>
      <c r="NR152" s="23"/>
      <c r="NS152" s="23"/>
      <c r="NT152" s="23"/>
      <c r="NU152" s="23"/>
      <c r="NV152" s="23"/>
      <c r="NW152" s="23"/>
      <c r="NX152" s="23"/>
      <c r="NY152" s="23"/>
      <c r="NZ152" s="23"/>
      <c r="OA152" s="23"/>
      <c r="OB152" s="23"/>
      <c r="OC152" s="23"/>
      <c r="OD152" s="23"/>
      <c r="OE152" s="23"/>
      <c r="OF152" s="23"/>
      <c r="OG152" s="23"/>
      <c r="OH152" s="23"/>
      <c r="OI152" s="23"/>
      <c r="OJ152" s="23"/>
      <c r="OK152" s="23"/>
      <c r="OL152" s="23"/>
      <c r="OM152" s="23"/>
      <c r="ON152" s="23"/>
      <c r="OO152" s="23"/>
      <c r="OP152" s="23"/>
      <c r="OQ152" s="23"/>
      <c r="OR152" s="23"/>
      <c r="OS152" s="23"/>
      <c r="OT152" s="23"/>
      <c r="OU152" s="23"/>
      <c r="OV152" s="23"/>
      <c r="OW152" s="23"/>
      <c r="OX152" s="23"/>
      <c r="OY152" s="23"/>
      <c r="OZ152" s="23"/>
      <c r="PA152" s="23"/>
      <c r="PB152" s="23"/>
      <c r="PC152" s="23"/>
      <c r="PD152" s="23"/>
      <c r="PE152" s="23"/>
      <c r="PF152" s="23"/>
      <c r="PG152" s="23"/>
      <c r="PH152" s="23"/>
      <c r="PI152" s="23"/>
      <c r="PJ152" s="23"/>
      <c r="PK152" s="23"/>
      <c r="PL152" s="23"/>
      <c r="PM152" s="23"/>
      <c r="PN152" s="23"/>
      <c r="PO152" s="23"/>
      <c r="PP152" s="23"/>
      <c r="PQ152" s="23"/>
      <c r="PR152" s="23"/>
      <c r="PS152" s="23"/>
      <c r="PT152" s="23"/>
      <c r="PU152" s="23"/>
      <c r="PV152" s="23"/>
      <c r="PW152" s="23"/>
      <c r="PX152" s="23"/>
      <c r="PY152" s="23"/>
      <c r="PZ152" s="23"/>
      <c r="QA152" s="23"/>
      <c r="QB152" s="23"/>
      <c r="QC152" s="23"/>
      <c r="QD152" s="23"/>
      <c r="QE152" s="23"/>
      <c r="QF152" s="23"/>
      <c r="QG152" s="23"/>
      <c r="QH152" s="23"/>
      <c r="QI152" s="23"/>
      <c r="QJ152" s="23"/>
      <c r="QK152" s="23"/>
      <c r="QL152" s="23"/>
      <c r="QM152" s="23"/>
      <c r="QN152" s="23"/>
      <c r="QO152" s="23"/>
      <c r="QP152" s="23"/>
      <c r="QQ152" s="23"/>
      <c r="QR152" s="23"/>
      <c r="QS152" s="23"/>
      <c r="QT152" s="23"/>
      <c r="QU152" s="23"/>
      <c r="QV152" s="23"/>
      <c r="QW152" s="23"/>
      <c r="QX152" s="23"/>
      <c r="QY152" s="23"/>
      <c r="QZ152" s="23"/>
      <c r="RA152" s="23"/>
      <c r="RB152" s="23"/>
      <c r="RC152" s="23"/>
      <c r="RD152" s="23"/>
      <c r="RE152" s="23"/>
      <c r="RF152" s="23"/>
      <c r="RG152" s="23"/>
      <c r="RH152" s="23"/>
      <c r="RI152" s="23"/>
      <c r="RJ152" s="23"/>
      <c r="RK152" s="23"/>
      <c r="RL152" s="23"/>
      <c r="RM152" s="23"/>
      <c r="RN152" s="23"/>
      <c r="RO152" s="23"/>
      <c r="RP152" s="23"/>
      <c r="RQ152" s="23"/>
      <c r="RR152" s="23"/>
      <c r="RS152" s="23"/>
      <c r="RT152" s="23"/>
      <c r="RU152" s="23"/>
      <c r="RV152" s="23"/>
      <c r="RW152" s="23"/>
      <c r="RX152" s="23"/>
      <c r="RY152" s="23"/>
      <c r="RZ152" s="23"/>
      <c r="SA152" s="23"/>
      <c r="SB152" s="23"/>
      <c r="SC152" s="23"/>
      <c r="SD152" s="23"/>
      <c r="SE152" s="23"/>
      <c r="SF152" s="23"/>
      <c r="SG152" s="23"/>
      <c r="SH152" s="23"/>
      <c r="SI152" s="23"/>
      <c r="SJ152" s="23"/>
      <c r="SK152" s="23"/>
      <c r="SL152" s="23"/>
      <c r="SM152" s="23"/>
      <c r="SN152" s="23"/>
      <c r="SO152" s="23"/>
      <c r="SP152" s="23"/>
      <c r="SQ152" s="23"/>
      <c r="SR152" s="23"/>
      <c r="SS152" s="23"/>
      <c r="ST152" s="23"/>
      <c r="SU152" s="23"/>
      <c r="SV152" s="23"/>
      <c r="SW152" s="23"/>
      <c r="SX152" s="23"/>
      <c r="SY152" s="23"/>
      <c r="SZ152" s="23"/>
      <c r="TA152" s="23"/>
      <c r="TB152" s="23"/>
      <c r="TC152" s="23"/>
      <c r="TD152" s="23"/>
      <c r="TE152" s="23"/>
      <c r="TF152" s="23"/>
      <c r="TG152" s="23"/>
    </row>
    <row r="153" spans="1:527" s="23" customFormat="1" ht="36" customHeight="1" x14ac:dyDescent="0.25">
      <c r="A153" s="60" t="s">
        <v>183</v>
      </c>
      <c r="B153" s="97" t="str">
        <f>'дод 8'!A91</f>
        <v>3031</v>
      </c>
      <c r="C153" s="97" t="str">
        <f>'дод 8'!B91</f>
        <v>1030</v>
      </c>
      <c r="D153" s="61" t="str">
        <f>'дод 8'!C91</f>
        <v>Надання інших пільг окремим категоріям громадян відповідно до законодавства</v>
      </c>
      <c r="E153" s="103">
        <f t="shared" si="60"/>
        <v>604900</v>
      </c>
      <c r="F153" s="103">
        <v>604900</v>
      </c>
      <c r="G153" s="103"/>
      <c r="H153" s="103"/>
      <c r="I153" s="103"/>
      <c r="J153" s="103">
        <f t="shared" ref="J153:J177" si="62">L153+O153</f>
        <v>0</v>
      </c>
      <c r="K153" s="103"/>
      <c r="L153" s="103"/>
      <c r="M153" s="103"/>
      <c r="N153" s="103"/>
      <c r="O153" s="103"/>
      <c r="P153" s="103">
        <f t="shared" si="61"/>
        <v>604900</v>
      </c>
    </row>
    <row r="154" spans="1:527" s="23" customFormat="1" ht="33" customHeight="1" x14ac:dyDescent="0.25">
      <c r="A154" s="60" t="s">
        <v>184</v>
      </c>
      <c r="B154" s="97" t="str">
        <f>'дод 8'!A92</f>
        <v>3032</v>
      </c>
      <c r="C154" s="97" t="str">
        <f>'дод 8'!B92</f>
        <v>1070</v>
      </c>
      <c r="D154" s="61" t="str">
        <f>'дод 8'!C92</f>
        <v>Надання пільг окремим категоріям громадян з оплати послуг зв'язку</v>
      </c>
      <c r="E154" s="103">
        <f t="shared" si="60"/>
        <v>1129230</v>
      </c>
      <c r="F154" s="103">
        <f>1150000-20770</f>
        <v>1129230</v>
      </c>
      <c r="G154" s="103"/>
      <c r="H154" s="103"/>
      <c r="I154" s="103"/>
      <c r="J154" s="103">
        <f t="shared" si="62"/>
        <v>0</v>
      </c>
      <c r="K154" s="103"/>
      <c r="L154" s="103"/>
      <c r="M154" s="103"/>
      <c r="N154" s="103"/>
      <c r="O154" s="103"/>
      <c r="P154" s="103">
        <f t="shared" si="61"/>
        <v>1129230</v>
      </c>
    </row>
    <row r="155" spans="1:527" s="23" customFormat="1" ht="48.75" customHeight="1" x14ac:dyDescent="0.25">
      <c r="A155" s="60" t="s">
        <v>354</v>
      </c>
      <c r="B155" s="97" t="str">
        <f>'дод 8'!A93</f>
        <v>3033</v>
      </c>
      <c r="C155" s="97" t="str">
        <f>'дод 8'!B93</f>
        <v>1070</v>
      </c>
      <c r="D155" s="61" t="str">
        <f>'дод 8'!C93</f>
        <v>Компенсаційні виплати на пільговий проїзд автомобільним транспортом окремим категоріям громадян</v>
      </c>
      <c r="E155" s="103">
        <f t="shared" si="60"/>
        <v>23099861.240000002</v>
      </c>
      <c r="F155" s="103">
        <f>3342111.24+19700200+44220+1920+11410</f>
        <v>23099861.240000002</v>
      </c>
      <c r="G155" s="103"/>
      <c r="H155" s="103"/>
      <c r="I155" s="103"/>
      <c r="J155" s="103">
        <f t="shared" si="62"/>
        <v>0</v>
      </c>
      <c r="K155" s="103"/>
      <c r="L155" s="103"/>
      <c r="M155" s="103"/>
      <c r="N155" s="103"/>
      <c r="O155" s="103"/>
      <c r="P155" s="103">
        <f t="shared" si="61"/>
        <v>23099861.240000002</v>
      </c>
    </row>
    <row r="156" spans="1:527" s="30" customFormat="1" ht="20.25" customHeight="1" x14ac:dyDescent="0.25">
      <c r="A156" s="88"/>
      <c r="B156" s="115"/>
      <c r="C156" s="115"/>
      <c r="D156" s="89" t="s">
        <v>395</v>
      </c>
      <c r="E156" s="105">
        <f t="shared" si="60"/>
        <v>3399661.24</v>
      </c>
      <c r="F156" s="105">
        <f>3342111.24+44220+1920+11410</f>
        <v>3399661.24</v>
      </c>
      <c r="G156" s="105"/>
      <c r="H156" s="105"/>
      <c r="I156" s="105"/>
      <c r="J156" s="105">
        <f t="shared" si="62"/>
        <v>0</v>
      </c>
      <c r="K156" s="105"/>
      <c r="L156" s="105"/>
      <c r="M156" s="105"/>
      <c r="N156" s="105"/>
      <c r="O156" s="105"/>
      <c r="P156" s="105">
        <f t="shared" si="61"/>
        <v>3399661.24</v>
      </c>
    </row>
    <row r="157" spans="1:527" s="23" customFormat="1" ht="35.25" customHeight="1" x14ac:dyDescent="0.25">
      <c r="A157" s="60" t="s">
        <v>326</v>
      </c>
      <c r="B157" s="97" t="str">
        <f>'дод 8'!A95</f>
        <v>3035</v>
      </c>
      <c r="C157" s="97" t="str">
        <f>'дод 8'!B95</f>
        <v>1070</v>
      </c>
      <c r="D157" s="61" t="str">
        <f>'дод 8'!C95</f>
        <v>Компенсаційні виплати за пільговий проїзд окремих категорій громадян на залізничному транспорті</v>
      </c>
      <c r="E157" s="103">
        <f t="shared" si="60"/>
        <v>1500000</v>
      </c>
      <c r="F157" s="103">
        <v>1500000</v>
      </c>
      <c r="G157" s="103"/>
      <c r="H157" s="103"/>
      <c r="I157" s="103"/>
      <c r="J157" s="103">
        <f t="shared" si="62"/>
        <v>0</v>
      </c>
      <c r="K157" s="103"/>
      <c r="L157" s="103"/>
      <c r="M157" s="103"/>
      <c r="N157" s="103"/>
      <c r="O157" s="103"/>
      <c r="P157" s="103">
        <f t="shared" si="61"/>
        <v>1500000</v>
      </c>
    </row>
    <row r="158" spans="1:527" s="23" customFormat="1" ht="36" customHeight="1" x14ac:dyDescent="0.25">
      <c r="A158" s="60" t="s">
        <v>185</v>
      </c>
      <c r="B158" s="97" t="str">
        <f>'дод 8'!A96</f>
        <v>3036</v>
      </c>
      <c r="C158" s="97" t="str">
        <f>'дод 8'!B96</f>
        <v>1070</v>
      </c>
      <c r="D158" s="61" t="str">
        <f>'дод 8'!C96</f>
        <v>Компенсаційні виплати на пільговий проїзд електротранспортом окремим категоріям громадян</v>
      </c>
      <c r="E158" s="103">
        <f t="shared" si="60"/>
        <v>37333000</v>
      </c>
      <c r="F158" s="103">
        <v>37333000</v>
      </c>
      <c r="G158" s="103"/>
      <c r="H158" s="103"/>
      <c r="I158" s="103"/>
      <c r="J158" s="103">
        <f t="shared" si="62"/>
        <v>0</v>
      </c>
      <c r="K158" s="103"/>
      <c r="L158" s="103"/>
      <c r="M158" s="103"/>
      <c r="N158" s="103"/>
      <c r="O158" s="103"/>
      <c r="P158" s="103">
        <f t="shared" si="61"/>
        <v>37333000</v>
      </c>
    </row>
    <row r="159" spans="1:527" s="22" customFormat="1" ht="47.25" x14ac:dyDescent="0.25">
      <c r="A159" s="60" t="s">
        <v>352</v>
      </c>
      <c r="B159" s="97" t="str">
        <f>'дод 8'!A97</f>
        <v>3050</v>
      </c>
      <c r="C159" s="97" t="str">
        <f>'дод 8'!B97</f>
        <v>1070</v>
      </c>
      <c r="D159" s="61" t="str">
        <f>'дод 8'!C97</f>
        <v>Пільгове медичне обслуговування осіб, які постраждали внаслідок Чорнобильської катастрофи, у т.ч. за рахунок:</v>
      </c>
      <c r="E159" s="103">
        <f t="shared" si="60"/>
        <v>667500</v>
      </c>
      <c r="F159" s="103">
        <v>667500</v>
      </c>
      <c r="G159" s="103"/>
      <c r="H159" s="103"/>
      <c r="I159" s="103"/>
      <c r="J159" s="103">
        <f t="shared" si="62"/>
        <v>0</v>
      </c>
      <c r="K159" s="103"/>
      <c r="L159" s="103"/>
      <c r="M159" s="103"/>
      <c r="N159" s="103"/>
      <c r="O159" s="103"/>
      <c r="P159" s="103">
        <f t="shared" si="61"/>
        <v>667500</v>
      </c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  <c r="SQ159" s="23"/>
      <c r="SR159" s="23"/>
      <c r="SS159" s="23"/>
      <c r="ST159" s="23"/>
      <c r="SU159" s="23"/>
      <c r="SV159" s="23"/>
      <c r="SW159" s="23"/>
      <c r="SX159" s="23"/>
      <c r="SY159" s="23"/>
      <c r="SZ159" s="23"/>
      <c r="TA159" s="23"/>
      <c r="TB159" s="23"/>
      <c r="TC159" s="23"/>
      <c r="TD159" s="23"/>
      <c r="TE159" s="23"/>
      <c r="TF159" s="23"/>
      <c r="TG159" s="23"/>
    </row>
    <row r="160" spans="1:527" s="24" customFormat="1" ht="15.75" x14ac:dyDescent="0.25">
      <c r="A160" s="88"/>
      <c r="B160" s="115"/>
      <c r="C160" s="115"/>
      <c r="D160" s="89" t="s">
        <v>395</v>
      </c>
      <c r="E160" s="105">
        <f t="shared" si="60"/>
        <v>667500</v>
      </c>
      <c r="F160" s="105">
        <v>667500</v>
      </c>
      <c r="G160" s="105"/>
      <c r="H160" s="105"/>
      <c r="I160" s="105"/>
      <c r="J160" s="105">
        <f t="shared" si="62"/>
        <v>0</v>
      </c>
      <c r="K160" s="105"/>
      <c r="L160" s="105"/>
      <c r="M160" s="105"/>
      <c r="N160" s="105"/>
      <c r="O160" s="105"/>
      <c r="P160" s="105">
        <f t="shared" si="61"/>
        <v>667500</v>
      </c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  <c r="IX160" s="30"/>
      <c r="IY160" s="30"/>
      <c r="IZ160" s="30"/>
      <c r="JA160" s="30"/>
      <c r="JB160" s="30"/>
      <c r="JC160" s="30"/>
      <c r="JD160" s="30"/>
      <c r="JE160" s="30"/>
      <c r="JF160" s="30"/>
      <c r="JG160" s="30"/>
      <c r="JH160" s="30"/>
      <c r="JI160" s="30"/>
      <c r="JJ160" s="30"/>
      <c r="JK160" s="30"/>
      <c r="JL160" s="30"/>
      <c r="JM160" s="30"/>
      <c r="JN160" s="30"/>
      <c r="JO160" s="30"/>
      <c r="JP160" s="30"/>
      <c r="JQ160" s="30"/>
      <c r="JR160" s="30"/>
      <c r="JS160" s="30"/>
      <c r="JT160" s="30"/>
      <c r="JU160" s="30"/>
      <c r="JV160" s="30"/>
      <c r="JW160" s="30"/>
      <c r="JX160" s="30"/>
      <c r="JY160" s="30"/>
      <c r="JZ160" s="30"/>
      <c r="KA160" s="30"/>
      <c r="KB160" s="30"/>
      <c r="KC160" s="30"/>
      <c r="KD160" s="30"/>
      <c r="KE160" s="30"/>
      <c r="KF160" s="30"/>
      <c r="KG160" s="30"/>
      <c r="KH160" s="30"/>
      <c r="KI160" s="30"/>
      <c r="KJ160" s="30"/>
      <c r="KK160" s="30"/>
      <c r="KL160" s="30"/>
      <c r="KM160" s="30"/>
      <c r="KN160" s="30"/>
      <c r="KO160" s="30"/>
      <c r="KP160" s="30"/>
      <c r="KQ160" s="30"/>
      <c r="KR160" s="30"/>
      <c r="KS160" s="30"/>
      <c r="KT160" s="30"/>
      <c r="KU160" s="30"/>
      <c r="KV160" s="30"/>
      <c r="KW160" s="30"/>
      <c r="KX160" s="30"/>
      <c r="KY160" s="30"/>
      <c r="KZ160" s="30"/>
      <c r="LA160" s="30"/>
      <c r="LB160" s="30"/>
      <c r="LC160" s="30"/>
      <c r="LD160" s="30"/>
      <c r="LE160" s="30"/>
      <c r="LF160" s="30"/>
      <c r="LG160" s="30"/>
      <c r="LH160" s="30"/>
      <c r="LI160" s="30"/>
      <c r="LJ160" s="30"/>
      <c r="LK160" s="30"/>
      <c r="LL160" s="30"/>
      <c r="LM160" s="30"/>
      <c r="LN160" s="30"/>
      <c r="LO160" s="30"/>
      <c r="LP160" s="30"/>
      <c r="LQ160" s="30"/>
      <c r="LR160" s="30"/>
      <c r="LS160" s="30"/>
      <c r="LT160" s="30"/>
      <c r="LU160" s="30"/>
      <c r="LV160" s="30"/>
      <c r="LW160" s="30"/>
      <c r="LX160" s="30"/>
      <c r="LY160" s="30"/>
      <c r="LZ160" s="30"/>
      <c r="MA160" s="30"/>
      <c r="MB160" s="30"/>
      <c r="MC160" s="30"/>
      <c r="MD160" s="30"/>
      <c r="ME160" s="30"/>
      <c r="MF160" s="30"/>
      <c r="MG160" s="30"/>
      <c r="MH160" s="30"/>
      <c r="MI160" s="30"/>
      <c r="MJ160" s="30"/>
      <c r="MK160" s="30"/>
      <c r="ML160" s="30"/>
      <c r="MM160" s="30"/>
      <c r="MN160" s="30"/>
      <c r="MO160" s="30"/>
      <c r="MP160" s="30"/>
      <c r="MQ160" s="30"/>
      <c r="MR160" s="30"/>
      <c r="MS160" s="30"/>
      <c r="MT160" s="30"/>
      <c r="MU160" s="30"/>
      <c r="MV160" s="30"/>
      <c r="MW160" s="30"/>
      <c r="MX160" s="30"/>
      <c r="MY160" s="30"/>
      <c r="MZ160" s="30"/>
      <c r="NA160" s="30"/>
      <c r="NB160" s="30"/>
      <c r="NC160" s="30"/>
      <c r="ND160" s="30"/>
      <c r="NE160" s="30"/>
      <c r="NF160" s="30"/>
      <c r="NG160" s="30"/>
      <c r="NH160" s="30"/>
      <c r="NI160" s="30"/>
      <c r="NJ160" s="30"/>
      <c r="NK160" s="30"/>
      <c r="NL160" s="30"/>
      <c r="NM160" s="30"/>
      <c r="NN160" s="30"/>
      <c r="NO160" s="30"/>
      <c r="NP160" s="30"/>
      <c r="NQ160" s="30"/>
      <c r="NR160" s="30"/>
      <c r="NS160" s="30"/>
      <c r="NT160" s="30"/>
      <c r="NU160" s="30"/>
      <c r="NV160" s="30"/>
      <c r="NW160" s="30"/>
      <c r="NX160" s="30"/>
      <c r="NY160" s="30"/>
      <c r="NZ160" s="30"/>
      <c r="OA160" s="30"/>
      <c r="OB160" s="30"/>
      <c r="OC160" s="30"/>
      <c r="OD160" s="30"/>
      <c r="OE160" s="30"/>
      <c r="OF160" s="30"/>
      <c r="OG160" s="30"/>
      <c r="OH160" s="30"/>
      <c r="OI160" s="30"/>
      <c r="OJ160" s="30"/>
      <c r="OK160" s="30"/>
      <c r="OL160" s="30"/>
      <c r="OM160" s="30"/>
      <c r="ON160" s="30"/>
      <c r="OO160" s="30"/>
      <c r="OP160" s="30"/>
      <c r="OQ160" s="30"/>
      <c r="OR160" s="30"/>
      <c r="OS160" s="30"/>
      <c r="OT160" s="30"/>
      <c r="OU160" s="30"/>
      <c r="OV160" s="30"/>
      <c r="OW160" s="30"/>
      <c r="OX160" s="30"/>
      <c r="OY160" s="30"/>
      <c r="OZ160" s="30"/>
      <c r="PA160" s="30"/>
      <c r="PB160" s="30"/>
      <c r="PC160" s="30"/>
      <c r="PD160" s="30"/>
      <c r="PE160" s="30"/>
      <c r="PF160" s="30"/>
      <c r="PG160" s="30"/>
      <c r="PH160" s="30"/>
      <c r="PI160" s="30"/>
      <c r="PJ160" s="30"/>
      <c r="PK160" s="30"/>
      <c r="PL160" s="30"/>
      <c r="PM160" s="30"/>
      <c r="PN160" s="30"/>
      <c r="PO160" s="30"/>
      <c r="PP160" s="30"/>
      <c r="PQ160" s="30"/>
      <c r="PR160" s="30"/>
      <c r="PS160" s="30"/>
      <c r="PT160" s="30"/>
      <c r="PU160" s="30"/>
      <c r="PV160" s="30"/>
      <c r="PW160" s="30"/>
      <c r="PX160" s="30"/>
      <c r="PY160" s="30"/>
      <c r="PZ160" s="30"/>
      <c r="QA160" s="30"/>
      <c r="QB160" s="30"/>
      <c r="QC160" s="30"/>
      <c r="QD160" s="30"/>
      <c r="QE160" s="30"/>
      <c r="QF160" s="30"/>
      <c r="QG160" s="30"/>
      <c r="QH160" s="30"/>
      <c r="QI160" s="30"/>
      <c r="QJ160" s="30"/>
      <c r="QK160" s="30"/>
      <c r="QL160" s="30"/>
      <c r="QM160" s="30"/>
      <c r="QN160" s="30"/>
      <c r="QO160" s="30"/>
      <c r="QP160" s="30"/>
      <c r="QQ160" s="30"/>
      <c r="QR160" s="30"/>
      <c r="QS160" s="30"/>
      <c r="QT160" s="30"/>
      <c r="QU160" s="30"/>
      <c r="QV160" s="30"/>
      <c r="QW160" s="30"/>
      <c r="QX160" s="30"/>
      <c r="QY160" s="30"/>
      <c r="QZ160" s="30"/>
      <c r="RA160" s="30"/>
      <c r="RB160" s="30"/>
      <c r="RC160" s="30"/>
      <c r="RD160" s="30"/>
      <c r="RE160" s="30"/>
      <c r="RF160" s="30"/>
      <c r="RG160" s="30"/>
      <c r="RH160" s="30"/>
      <c r="RI160" s="30"/>
      <c r="RJ160" s="30"/>
      <c r="RK160" s="30"/>
      <c r="RL160" s="30"/>
      <c r="RM160" s="30"/>
      <c r="RN160" s="30"/>
      <c r="RO160" s="30"/>
      <c r="RP160" s="30"/>
      <c r="RQ160" s="30"/>
      <c r="RR160" s="30"/>
      <c r="RS160" s="30"/>
      <c r="RT160" s="30"/>
      <c r="RU160" s="30"/>
      <c r="RV160" s="30"/>
      <c r="RW160" s="30"/>
      <c r="RX160" s="30"/>
      <c r="RY160" s="30"/>
      <c r="RZ160" s="30"/>
      <c r="SA160" s="30"/>
      <c r="SB160" s="30"/>
      <c r="SC160" s="30"/>
      <c r="SD160" s="30"/>
      <c r="SE160" s="30"/>
      <c r="SF160" s="30"/>
      <c r="SG160" s="30"/>
      <c r="SH160" s="30"/>
      <c r="SI160" s="30"/>
      <c r="SJ160" s="30"/>
      <c r="SK160" s="30"/>
      <c r="SL160" s="30"/>
      <c r="SM160" s="30"/>
      <c r="SN160" s="30"/>
      <c r="SO160" s="30"/>
      <c r="SP160" s="30"/>
      <c r="SQ160" s="30"/>
      <c r="SR160" s="30"/>
      <c r="SS160" s="30"/>
      <c r="ST160" s="30"/>
      <c r="SU160" s="30"/>
      <c r="SV160" s="30"/>
      <c r="SW160" s="30"/>
      <c r="SX160" s="30"/>
      <c r="SY160" s="30"/>
      <c r="SZ160" s="30"/>
      <c r="TA160" s="30"/>
      <c r="TB160" s="30"/>
      <c r="TC160" s="30"/>
      <c r="TD160" s="30"/>
      <c r="TE160" s="30"/>
      <c r="TF160" s="30"/>
      <c r="TG160" s="30"/>
    </row>
    <row r="161" spans="1:527" s="22" customFormat="1" ht="36.75" customHeight="1" x14ac:dyDescent="0.25">
      <c r="A161" s="60" t="s">
        <v>353</v>
      </c>
      <c r="B161" s="97" t="str">
        <f>'дод 8'!A99</f>
        <v>3090</v>
      </c>
      <c r="C161" s="97" t="str">
        <f>'дод 8'!B99</f>
        <v>1030</v>
      </c>
      <c r="D161" s="61" t="str">
        <f>'дод 8'!C99</f>
        <v>Видатки на поховання учасників бойових дій та осіб з інвалідністю внаслідок війни, у т.ч. за рахунок:</v>
      </c>
      <c r="E161" s="103">
        <f t="shared" si="60"/>
        <v>245000</v>
      </c>
      <c r="F161" s="103">
        <v>245000</v>
      </c>
      <c r="G161" s="103"/>
      <c r="H161" s="103"/>
      <c r="I161" s="103"/>
      <c r="J161" s="103">
        <f t="shared" si="62"/>
        <v>0</v>
      </c>
      <c r="K161" s="103"/>
      <c r="L161" s="103"/>
      <c r="M161" s="103"/>
      <c r="N161" s="103"/>
      <c r="O161" s="103"/>
      <c r="P161" s="103">
        <f t="shared" si="61"/>
        <v>245000</v>
      </c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  <c r="SQ161" s="23"/>
      <c r="SR161" s="23"/>
      <c r="SS161" s="23"/>
      <c r="ST161" s="23"/>
      <c r="SU161" s="23"/>
      <c r="SV161" s="23"/>
      <c r="SW161" s="23"/>
      <c r="SX161" s="23"/>
      <c r="SY161" s="23"/>
      <c r="SZ161" s="23"/>
      <c r="TA161" s="23"/>
      <c r="TB161" s="23"/>
      <c r="TC161" s="23"/>
      <c r="TD161" s="23"/>
      <c r="TE161" s="23"/>
      <c r="TF161" s="23"/>
      <c r="TG161" s="23"/>
    </row>
    <row r="162" spans="1:527" s="24" customFormat="1" ht="15.75" x14ac:dyDescent="0.25">
      <c r="A162" s="88"/>
      <c r="B162" s="115"/>
      <c r="C162" s="115"/>
      <c r="D162" s="89" t="s">
        <v>395</v>
      </c>
      <c r="E162" s="105">
        <f t="shared" si="60"/>
        <v>245000</v>
      </c>
      <c r="F162" s="105">
        <v>245000</v>
      </c>
      <c r="G162" s="105"/>
      <c r="H162" s="105"/>
      <c r="I162" s="105"/>
      <c r="J162" s="105">
        <f t="shared" si="62"/>
        <v>0</v>
      </c>
      <c r="K162" s="105"/>
      <c r="L162" s="105"/>
      <c r="M162" s="105"/>
      <c r="N162" s="105"/>
      <c r="O162" s="105"/>
      <c r="P162" s="105">
        <f t="shared" si="61"/>
        <v>245000</v>
      </c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30"/>
      <c r="JA162" s="30"/>
      <c r="JB162" s="30"/>
      <c r="JC162" s="30"/>
      <c r="JD162" s="30"/>
      <c r="JE162" s="30"/>
      <c r="JF162" s="30"/>
      <c r="JG162" s="30"/>
      <c r="JH162" s="30"/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/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  <c r="LU162" s="30"/>
      <c r="LV162" s="30"/>
      <c r="LW162" s="30"/>
      <c r="LX162" s="30"/>
      <c r="LY162" s="30"/>
      <c r="LZ162" s="30"/>
      <c r="MA162" s="30"/>
      <c r="MB162" s="30"/>
      <c r="MC162" s="30"/>
      <c r="MD162" s="30"/>
      <c r="ME162" s="30"/>
      <c r="MF162" s="30"/>
      <c r="MG162" s="30"/>
      <c r="MH162" s="30"/>
      <c r="MI162" s="30"/>
      <c r="MJ162" s="30"/>
      <c r="MK162" s="30"/>
      <c r="ML162" s="30"/>
      <c r="MM162" s="30"/>
      <c r="MN162" s="30"/>
      <c r="MO162" s="30"/>
      <c r="MP162" s="30"/>
      <c r="MQ162" s="30"/>
      <c r="MR162" s="30"/>
      <c r="MS162" s="30"/>
      <c r="MT162" s="30"/>
      <c r="MU162" s="30"/>
      <c r="MV162" s="30"/>
      <c r="MW162" s="30"/>
      <c r="MX162" s="30"/>
      <c r="MY162" s="30"/>
      <c r="MZ162" s="30"/>
      <c r="NA162" s="30"/>
      <c r="NB162" s="30"/>
      <c r="NC162" s="30"/>
      <c r="ND162" s="30"/>
      <c r="NE162" s="30"/>
      <c r="NF162" s="30"/>
      <c r="NG162" s="30"/>
      <c r="NH162" s="30"/>
      <c r="NI162" s="30"/>
      <c r="NJ162" s="30"/>
      <c r="NK162" s="30"/>
      <c r="NL162" s="30"/>
      <c r="NM162" s="30"/>
      <c r="NN162" s="30"/>
      <c r="NO162" s="30"/>
      <c r="NP162" s="30"/>
      <c r="NQ162" s="30"/>
      <c r="NR162" s="30"/>
      <c r="NS162" s="30"/>
      <c r="NT162" s="30"/>
      <c r="NU162" s="30"/>
      <c r="NV162" s="30"/>
      <c r="NW162" s="30"/>
      <c r="NX162" s="30"/>
      <c r="NY162" s="30"/>
      <c r="NZ162" s="30"/>
      <c r="OA162" s="30"/>
      <c r="OB162" s="30"/>
      <c r="OC162" s="30"/>
      <c r="OD162" s="30"/>
      <c r="OE162" s="30"/>
      <c r="OF162" s="30"/>
      <c r="OG162" s="30"/>
      <c r="OH162" s="30"/>
      <c r="OI162" s="30"/>
      <c r="OJ162" s="30"/>
      <c r="OK162" s="30"/>
      <c r="OL162" s="30"/>
      <c r="OM162" s="30"/>
      <c r="ON162" s="30"/>
      <c r="OO162" s="30"/>
      <c r="OP162" s="30"/>
      <c r="OQ162" s="30"/>
      <c r="OR162" s="30"/>
      <c r="OS162" s="30"/>
      <c r="OT162" s="30"/>
      <c r="OU162" s="30"/>
      <c r="OV162" s="30"/>
      <c r="OW162" s="30"/>
      <c r="OX162" s="30"/>
      <c r="OY162" s="30"/>
      <c r="OZ162" s="30"/>
      <c r="PA162" s="30"/>
      <c r="PB162" s="30"/>
      <c r="PC162" s="30"/>
      <c r="PD162" s="30"/>
      <c r="PE162" s="30"/>
      <c r="PF162" s="30"/>
      <c r="PG162" s="30"/>
      <c r="PH162" s="30"/>
      <c r="PI162" s="30"/>
      <c r="PJ162" s="30"/>
      <c r="PK162" s="30"/>
      <c r="PL162" s="30"/>
      <c r="PM162" s="30"/>
      <c r="PN162" s="30"/>
      <c r="PO162" s="30"/>
      <c r="PP162" s="30"/>
      <c r="PQ162" s="30"/>
      <c r="PR162" s="30"/>
      <c r="PS162" s="30"/>
      <c r="PT162" s="30"/>
      <c r="PU162" s="30"/>
      <c r="PV162" s="30"/>
      <c r="PW162" s="30"/>
      <c r="PX162" s="30"/>
      <c r="PY162" s="30"/>
      <c r="PZ162" s="30"/>
      <c r="QA162" s="30"/>
      <c r="QB162" s="30"/>
      <c r="QC162" s="30"/>
      <c r="QD162" s="30"/>
      <c r="QE162" s="30"/>
      <c r="QF162" s="30"/>
      <c r="QG162" s="30"/>
      <c r="QH162" s="30"/>
      <c r="QI162" s="30"/>
      <c r="QJ162" s="30"/>
      <c r="QK162" s="30"/>
      <c r="QL162" s="30"/>
      <c r="QM162" s="30"/>
      <c r="QN162" s="30"/>
      <c r="QO162" s="30"/>
      <c r="QP162" s="30"/>
      <c r="QQ162" s="30"/>
      <c r="QR162" s="30"/>
      <c r="QS162" s="30"/>
      <c r="QT162" s="30"/>
      <c r="QU162" s="30"/>
      <c r="QV162" s="30"/>
      <c r="QW162" s="30"/>
      <c r="QX162" s="30"/>
      <c r="QY162" s="30"/>
      <c r="QZ162" s="30"/>
      <c r="RA162" s="30"/>
      <c r="RB162" s="30"/>
      <c r="RC162" s="30"/>
      <c r="RD162" s="30"/>
      <c r="RE162" s="30"/>
      <c r="RF162" s="30"/>
      <c r="RG162" s="30"/>
      <c r="RH162" s="30"/>
      <c r="RI162" s="30"/>
      <c r="RJ162" s="30"/>
      <c r="RK162" s="30"/>
      <c r="RL162" s="30"/>
      <c r="RM162" s="30"/>
      <c r="RN162" s="30"/>
      <c r="RO162" s="30"/>
      <c r="RP162" s="30"/>
      <c r="RQ162" s="30"/>
      <c r="RR162" s="30"/>
      <c r="RS162" s="30"/>
      <c r="RT162" s="30"/>
      <c r="RU162" s="30"/>
      <c r="RV162" s="30"/>
      <c r="RW162" s="30"/>
      <c r="RX162" s="30"/>
      <c r="RY162" s="30"/>
      <c r="RZ162" s="30"/>
      <c r="SA162" s="30"/>
      <c r="SB162" s="30"/>
      <c r="SC162" s="30"/>
      <c r="SD162" s="30"/>
      <c r="SE162" s="30"/>
      <c r="SF162" s="30"/>
      <c r="SG162" s="30"/>
      <c r="SH162" s="30"/>
      <c r="SI162" s="30"/>
      <c r="SJ162" s="30"/>
      <c r="SK162" s="30"/>
      <c r="SL162" s="30"/>
      <c r="SM162" s="30"/>
      <c r="SN162" s="30"/>
      <c r="SO162" s="30"/>
      <c r="SP162" s="30"/>
      <c r="SQ162" s="30"/>
      <c r="SR162" s="30"/>
      <c r="SS162" s="30"/>
      <c r="ST162" s="30"/>
      <c r="SU162" s="30"/>
      <c r="SV162" s="30"/>
      <c r="SW162" s="30"/>
      <c r="SX162" s="30"/>
      <c r="SY162" s="30"/>
      <c r="SZ162" s="30"/>
      <c r="TA162" s="30"/>
      <c r="TB162" s="30"/>
      <c r="TC162" s="30"/>
      <c r="TD162" s="30"/>
      <c r="TE162" s="30"/>
      <c r="TF162" s="30"/>
      <c r="TG162" s="30"/>
    </row>
    <row r="163" spans="1:527" s="22" customFormat="1" ht="64.5" customHeight="1" x14ac:dyDescent="0.25">
      <c r="A163" s="60" t="s">
        <v>186</v>
      </c>
      <c r="B163" s="97" t="str">
        <f>'дод 8'!A101</f>
        <v>3104</v>
      </c>
      <c r="C163" s="97" t="str">
        <f>'дод 8'!B101</f>
        <v>1020</v>
      </c>
      <c r="D163" s="61" t="str">
        <f>'дод 8'!C101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3" s="103">
        <f t="shared" si="60"/>
        <v>17414450</v>
      </c>
      <c r="F163" s="103">
        <f>17394450+20000+20000-20000</f>
        <v>17414450</v>
      </c>
      <c r="G163" s="103">
        <v>13551350</v>
      </c>
      <c r="H163" s="103">
        <f>208050+26750</f>
        <v>234800</v>
      </c>
      <c r="I163" s="103"/>
      <c r="J163" s="103">
        <f t="shared" si="62"/>
        <v>96200</v>
      </c>
      <c r="K163" s="103"/>
      <c r="L163" s="103">
        <v>96200</v>
      </c>
      <c r="M163" s="103">
        <v>75000</v>
      </c>
      <c r="N163" s="103"/>
      <c r="O163" s="103"/>
      <c r="P163" s="103">
        <f t="shared" si="61"/>
        <v>17510650</v>
      </c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  <c r="TF163" s="23"/>
      <c r="TG163" s="23"/>
    </row>
    <row r="164" spans="1:527" s="22" customFormat="1" ht="81.75" customHeight="1" x14ac:dyDescent="0.25">
      <c r="A164" s="60" t="s">
        <v>187</v>
      </c>
      <c r="B164" s="97" t="str">
        <f>'дод 8'!A107</f>
        <v>3160</v>
      </c>
      <c r="C164" s="97">
        <f>'дод 8'!B107</f>
        <v>1010</v>
      </c>
      <c r="D164" s="61" t="str">
        <f>'дод 8'!C107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4" s="103">
        <f t="shared" si="60"/>
        <v>2500000</v>
      </c>
      <c r="F164" s="103">
        <v>2500000</v>
      </c>
      <c r="G164" s="103"/>
      <c r="H164" s="103"/>
      <c r="I164" s="103"/>
      <c r="J164" s="103">
        <f t="shared" si="62"/>
        <v>0</v>
      </c>
      <c r="K164" s="103"/>
      <c r="L164" s="103"/>
      <c r="M164" s="103"/>
      <c r="N164" s="103"/>
      <c r="O164" s="103"/>
      <c r="P164" s="103">
        <f t="shared" si="61"/>
        <v>2500000</v>
      </c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  <c r="SQ164" s="23"/>
      <c r="SR164" s="23"/>
      <c r="SS164" s="23"/>
      <c r="ST164" s="23"/>
      <c r="SU164" s="23"/>
      <c r="SV164" s="23"/>
      <c r="SW164" s="23"/>
      <c r="SX164" s="23"/>
      <c r="SY164" s="23"/>
      <c r="SZ164" s="23"/>
      <c r="TA164" s="23"/>
      <c r="TB164" s="23"/>
      <c r="TC164" s="23"/>
      <c r="TD164" s="23"/>
      <c r="TE164" s="23"/>
      <c r="TF164" s="23"/>
      <c r="TG164" s="23"/>
    </row>
    <row r="165" spans="1:527" s="22" customFormat="1" ht="63" x14ac:dyDescent="0.25">
      <c r="A165" s="60" t="s">
        <v>355</v>
      </c>
      <c r="B165" s="97" t="str">
        <f>'дод 8'!A108</f>
        <v>3171</v>
      </c>
      <c r="C165" s="97">
        <f>'дод 8'!B108</f>
        <v>1010</v>
      </c>
      <c r="D165" s="61" t="str">
        <f>'дод 8'!C108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65" s="103">
        <f t="shared" si="60"/>
        <v>198209</v>
      </c>
      <c r="F165" s="103">
        <v>198209</v>
      </c>
      <c r="G165" s="103"/>
      <c r="H165" s="103"/>
      <c r="I165" s="103"/>
      <c r="J165" s="103">
        <f t="shared" si="62"/>
        <v>0</v>
      </c>
      <c r="K165" s="103"/>
      <c r="L165" s="103"/>
      <c r="M165" s="103"/>
      <c r="N165" s="103"/>
      <c r="O165" s="103"/>
      <c r="P165" s="103">
        <f t="shared" si="61"/>
        <v>198209</v>
      </c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  <c r="TF165" s="23"/>
      <c r="TG165" s="23"/>
    </row>
    <row r="166" spans="1:527" s="24" customFormat="1" ht="15.75" x14ac:dyDescent="0.25">
      <c r="A166" s="88"/>
      <c r="B166" s="115"/>
      <c r="C166" s="115"/>
      <c r="D166" s="89" t="s">
        <v>395</v>
      </c>
      <c r="E166" s="105">
        <f t="shared" si="60"/>
        <v>198209</v>
      </c>
      <c r="F166" s="105">
        <v>198209</v>
      </c>
      <c r="G166" s="105"/>
      <c r="H166" s="105"/>
      <c r="I166" s="105"/>
      <c r="J166" s="105">
        <f t="shared" si="62"/>
        <v>0</v>
      </c>
      <c r="K166" s="105"/>
      <c r="L166" s="105"/>
      <c r="M166" s="105"/>
      <c r="N166" s="105"/>
      <c r="O166" s="105"/>
      <c r="P166" s="105">
        <f t="shared" si="61"/>
        <v>198209</v>
      </c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  <c r="IV166" s="30"/>
      <c r="IW166" s="30"/>
      <c r="IX166" s="30"/>
      <c r="IY166" s="30"/>
      <c r="IZ166" s="30"/>
      <c r="JA166" s="30"/>
      <c r="JB166" s="30"/>
      <c r="JC166" s="30"/>
      <c r="JD166" s="30"/>
      <c r="JE166" s="30"/>
      <c r="JF166" s="30"/>
      <c r="JG166" s="30"/>
      <c r="JH166" s="30"/>
      <c r="JI166" s="30"/>
      <c r="JJ166" s="30"/>
      <c r="JK166" s="30"/>
      <c r="JL166" s="30"/>
      <c r="JM166" s="30"/>
      <c r="JN166" s="30"/>
      <c r="JO166" s="30"/>
      <c r="JP166" s="30"/>
      <c r="JQ166" s="30"/>
      <c r="JR166" s="30"/>
      <c r="JS166" s="30"/>
      <c r="JT166" s="30"/>
      <c r="JU166" s="30"/>
      <c r="JV166" s="30"/>
      <c r="JW166" s="30"/>
      <c r="JX166" s="30"/>
      <c r="JY166" s="30"/>
      <c r="JZ166" s="30"/>
      <c r="KA166" s="30"/>
      <c r="KB166" s="30"/>
      <c r="KC166" s="30"/>
      <c r="KD166" s="30"/>
      <c r="KE166" s="30"/>
      <c r="KF166" s="30"/>
      <c r="KG166" s="30"/>
      <c r="KH166" s="30"/>
      <c r="KI166" s="30"/>
      <c r="KJ166" s="30"/>
      <c r="KK166" s="30"/>
      <c r="KL166" s="30"/>
      <c r="KM166" s="30"/>
      <c r="KN166" s="30"/>
      <c r="KO166" s="30"/>
      <c r="KP166" s="30"/>
      <c r="KQ166" s="30"/>
      <c r="KR166" s="30"/>
      <c r="KS166" s="30"/>
      <c r="KT166" s="30"/>
      <c r="KU166" s="30"/>
      <c r="KV166" s="30"/>
      <c r="KW166" s="30"/>
      <c r="KX166" s="30"/>
      <c r="KY166" s="30"/>
      <c r="KZ166" s="30"/>
      <c r="LA166" s="30"/>
      <c r="LB166" s="30"/>
      <c r="LC166" s="30"/>
      <c r="LD166" s="30"/>
      <c r="LE166" s="30"/>
      <c r="LF166" s="30"/>
      <c r="LG166" s="30"/>
      <c r="LH166" s="30"/>
      <c r="LI166" s="30"/>
      <c r="LJ166" s="30"/>
      <c r="LK166" s="30"/>
      <c r="LL166" s="30"/>
      <c r="LM166" s="30"/>
      <c r="LN166" s="30"/>
      <c r="LO166" s="30"/>
      <c r="LP166" s="30"/>
      <c r="LQ166" s="30"/>
      <c r="LR166" s="30"/>
      <c r="LS166" s="30"/>
      <c r="LT166" s="30"/>
      <c r="LU166" s="30"/>
      <c r="LV166" s="30"/>
      <c r="LW166" s="30"/>
      <c r="LX166" s="30"/>
      <c r="LY166" s="30"/>
      <c r="LZ166" s="30"/>
      <c r="MA166" s="30"/>
      <c r="MB166" s="30"/>
      <c r="MC166" s="30"/>
      <c r="MD166" s="30"/>
      <c r="ME166" s="30"/>
      <c r="MF166" s="30"/>
      <c r="MG166" s="30"/>
      <c r="MH166" s="30"/>
      <c r="MI166" s="30"/>
      <c r="MJ166" s="30"/>
      <c r="MK166" s="30"/>
      <c r="ML166" s="30"/>
      <c r="MM166" s="30"/>
      <c r="MN166" s="30"/>
      <c r="MO166" s="30"/>
      <c r="MP166" s="30"/>
      <c r="MQ166" s="30"/>
      <c r="MR166" s="30"/>
      <c r="MS166" s="30"/>
      <c r="MT166" s="30"/>
      <c r="MU166" s="30"/>
      <c r="MV166" s="30"/>
      <c r="MW166" s="30"/>
      <c r="MX166" s="30"/>
      <c r="MY166" s="30"/>
      <c r="MZ166" s="30"/>
      <c r="NA166" s="30"/>
      <c r="NB166" s="30"/>
      <c r="NC166" s="30"/>
      <c r="ND166" s="30"/>
      <c r="NE166" s="30"/>
      <c r="NF166" s="30"/>
      <c r="NG166" s="30"/>
      <c r="NH166" s="30"/>
      <c r="NI166" s="30"/>
      <c r="NJ166" s="30"/>
      <c r="NK166" s="30"/>
      <c r="NL166" s="30"/>
      <c r="NM166" s="30"/>
      <c r="NN166" s="30"/>
      <c r="NO166" s="30"/>
      <c r="NP166" s="30"/>
      <c r="NQ166" s="30"/>
      <c r="NR166" s="30"/>
      <c r="NS166" s="30"/>
      <c r="NT166" s="30"/>
      <c r="NU166" s="30"/>
      <c r="NV166" s="30"/>
      <c r="NW166" s="30"/>
      <c r="NX166" s="30"/>
      <c r="NY166" s="30"/>
      <c r="NZ166" s="30"/>
      <c r="OA166" s="30"/>
      <c r="OB166" s="30"/>
      <c r="OC166" s="30"/>
      <c r="OD166" s="30"/>
      <c r="OE166" s="30"/>
      <c r="OF166" s="30"/>
      <c r="OG166" s="30"/>
      <c r="OH166" s="30"/>
      <c r="OI166" s="30"/>
      <c r="OJ166" s="30"/>
      <c r="OK166" s="30"/>
      <c r="OL166" s="30"/>
      <c r="OM166" s="30"/>
      <c r="ON166" s="30"/>
      <c r="OO166" s="30"/>
      <c r="OP166" s="30"/>
      <c r="OQ166" s="30"/>
      <c r="OR166" s="30"/>
      <c r="OS166" s="30"/>
      <c r="OT166" s="30"/>
      <c r="OU166" s="30"/>
      <c r="OV166" s="30"/>
      <c r="OW166" s="30"/>
      <c r="OX166" s="30"/>
      <c r="OY166" s="30"/>
      <c r="OZ166" s="30"/>
      <c r="PA166" s="30"/>
      <c r="PB166" s="30"/>
      <c r="PC166" s="30"/>
      <c r="PD166" s="30"/>
      <c r="PE166" s="30"/>
      <c r="PF166" s="30"/>
      <c r="PG166" s="30"/>
      <c r="PH166" s="30"/>
      <c r="PI166" s="30"/>
      <c r="PJ166" s="30"/>
      <c r="PK166" s="30"/>
      <c r="PL166" s="30"/>
      <c r="PM166" s="30"/>
      <c r="PN166" s="30"/>
      <c r="PO166" s="30"/>
      <c r="PP166" s="30"/>
      <c r="PQ166" s="30"/>
      <c r="PR166" s="30"/>
      <c r="PS166" s="30"/>
      <c r="PT166" s="30"/>
      <c r="PU166" s="30"/>
      <c r="PV166" s="30"/>
      <c r="PW166" s="30"/>
      <c r="PX166" s="30"/>
      <c r="PY166" s="30"/>
      <c r="PZ166" s="30"/>
      <c r="QA166" s="30"/>
      <c r="QB166" s="30"/>
      <c r="QC166" s="30"/>
      <c r="QD166" s="30"/>
      <c r="QE166" s="30"/>
      <c r="QF166" s="30"/>
      <c r="QG166" s="30"/>
      <c r="QH166" s="30"/>
      <c r="QI166" s="30"/>
      <c r="QJ166" s="30"/>
      <c r="QK166" s="30"/>
      <c r="QL166" s="30"/>
      <c r="QM166" s="30"/>
      <c r="QN166" s="30"/>
      <c r="QO166" s="30"/>
      <c r="QP166" s="30"/>
      <c r="QQ166" s="30"/>
      <c r="QR166" s="30"/>
      <c r="QS166" s="30"/>
      <c r="QT166" s="30"/>
      <c r="QU166" s="30"/>
      <c r="QV166" s="30"/>
      <c r="QW166" s="30"/>
      <c r="QX166" s="30"/>
      <c r="QY166" s="30"/>
      <c r="QZ166" s="30"/>
      <c r="RA166" s="30"/>
      <c r="RB166" s="30"/>
      <c r="RC166" s="30"/>
      <c r="RD166" s="30"/>
      <c r="RE166" s="30"/>
      <c r="RF166" s="30"/>
      <c r="RG166" s="30"/>
      <c r="RH166" s="30"/>
      <c r="RI166" s="30"/>
      <c r="RJ166" s="30"/>
      <c r="RK166" s="30"/>
      <c r="RL166" s="30"/>
      <c r="RM166" s="30"/>
      <c r="RN166" s="30"/>
      <c r="RO166" s="30"/>
      <c r="RP166" s="30"/>
      <c r="RQ166" s="30"/>
      <c r="RR166" s="30"/>
      <c r="RS166" s="30"/>
      <c r="RT166" s="30"/>
      <c r="RU166" s="30"/>
      <c r="RV166" s="30"/>
      <c r="RW166" s="30"/>
      <c r="RX166" s="30"/>
      <c r="RY166" s="30"/>
      <c r="RZ166" s="30"/>
      <c r="SA166" s="30"/>
      <c r="SB166" s="30"/>
      <c r="SC166" s="30"/>
      <c r="SD166" s="30"/>
      <c r="SE166" s="30"/>
      <c r="SF166" s="30"/>
      <c r="SG166" s="30"/>
      <c r="SH166" s="30"/>
      <c r="SI166" s="30"/>
      <c r="SJ166" s="30"/>
      <c r="SK166" s="30"/>
      <c r="SL166" s="30"/>
      <c r="SM166" s="30"/>
      <c r="SN166" s="30"/>
      <c r="SO166" s="30"/>
      <c r="SP166" s="30"/>
      <c r="SQ166" s="30"/>
      <c r="SR166" s="30"/>
      <c r="SS166" s="30"/>
      <c r="ST166" s="30"/>
      <c r="SU166" s="30"/>
      <c r="SV166" s="30"/>
      <c r="SW166" s="30"/>
      <c r="SX166" s="30"/>
      <c r="SY166" s="30"/>
      <c r="SZ166" s="30"/>
      <c r="TA166" s="30"/>
      <c r="TB166" s="30"/>
      <c r="TC166" s="30"/>
      <c r="TD166" s="30"/>
      <c r="TE166" s="30"/>
      <c r="TF166" s="30"/>
      <c r="TG166" s="30"/>
    </row>
    <row r="167" spans="1:527" s="22" customFormat="1" ht="31.5" x14ac:dyDescent="0.25">
      <c r="A167" s="60" t="s">
        <v>356</v>
      </c>
      <c r="B167" s="97" t="str">
        <f>'дод 8'!A110</f>
        <v>3172</v>
      </c>
      <c r="C167" s="97">
        <f>'дод 8'!B110</f>
        <v>1010</v>
      </c>
      <c r="D167" s="61" t="s">
        <v>408</v>
      </c>
      <c r="E167" s="103">
        <f t="shared" si="60"/>
        <v>90</v>
      </c>
      <c r="F167" s="103">
        <v>90</v>
      </c>
      <c r="G167" s="103"/>
      <c r="H167" s="103"/>
      <c r="I167" s="103"/>
      <c r="J167" s="103">
        <f t="shared" si="62"/>
        <v>0</v>
      </c>
      <c r="K167" s="103"/>
      <c r="L167" s="103"/>
      <c r="M167" s="103"/>
      <c r="N167" s="103"/>
      <c r="O167" s="103"/>
      <c r="P167" s="103">
        <f t="shared" si="61"/>
        <v>90</v>
      </c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  <c r="OX167" s="23"/>
      <c r="OY167" s="23"/>
      <c r="OZ167" s="23"/>
      <c r="PA167" s="23"/>
      <c r="PB167" s="23"/>
      <c r="PC167" s="23"/>
      <c r="PD167" s="23"/>
      <c r="PE167" s="23"/>
      <c r="PF167" s="23"/>
      <c r="PG167" s="23"/>
      <c r="PH167" s="23"/>
      <c r="PI167" s="23"/>
      <c r="PJ167" s="23"/>
      <c r="PK167" s="23"/>
      <c r="PL167" s="23"/>
      <c r="PM167" s="23"/>
      <c r="PN167" s="23"/>
      <c r="PO167" s="23"/>
      <c r="PP167" s="23"/>
      <c r="PQ167" s="23"/>
      <c r="PR167" s="23"/>
      <c r="PS167" s="23"/>
      <c r="PT167" s="23"/>
      <c r="PU167" s="23"/>
      <c r="PV167" s="23"/>
      <c r="PW167" s="23"/>
      <c r="PX167" s="23"/>
      <c r="PY167" s="23"/>
      <c r="PZ167" s="23"/>
      <c r="QA167" s="23"/>
      <c r="QB167" s="23"/>
      <c r="QC167" s="23"/>
      <c r="QD167" s="23"/>
      <c r="QE167" s="23"/>
      <c r="QF167" s="23"/>
      <c r="QG167" s="23"/>
      <c r="QH167" s="23"/>
      <c r="QI167" s="23"/>
      <c r="QJ167" s="23"/>
      <c r="QK167" s="23"/>
      <c r="QL167" s="23"/>
      <c r="QM167" s="23"/>
      <c r="QN167" s="23"/>
      <c r="QO167" s="23"/>
      <c r="QP167" s="23"/>
      <c r="QQ167" s="23"/>
      <c r="QR167" s="23"/>
      <c r="QS167" s="23"/>
      <c r="QT167" s="23"/>
      <c r="QU167" s="23"/>
      <c r="QV167" s="23"/>
      <c r="QW167" s="23"/>
      <c r="QX167" s="23"/>
      <c r="QY167" s="23"/>
      <c r="QZ167" s="23"/>
      <c r="RA167" s="23"/>
      <c r="RB167" s="23"/>
      <c r="RC167" s="23"/>
      <c r="RD167" s="23"/>
      <c r="RE167" s="23"/>
      <c r="RF167" s="23"/>
      <c r="RG167" s="23"/>
      <c r="RH167" s="23"/>
      <c r="RI167" s="23"/>
      <c r="RJ167" s="23"/>
      <c r="RK167" s="23"/>
      <c r="RL167" s="23"/>
      <c r="RM167" s="23"/>
      <c r="RN167" s="23"/>
      <c r="RO167" s="23"/>
      <c r="RP167" s="23"/>
      <c r="RQ167" s="23"/>
      <c r="RR167" s="23"/>
      <c r="RS167" s="23"/>
      <c r="RT167" s="23"/>
      <c r="RU167" s="23"/>
      <c r="RV167" s="23"/>
      <c r="RW167" s="23"/>
      <c r="RX167" s="23"/>
      <c r="RY167" s="23"/>
      <c r="RZ167" s="23"/>
      <c r="SA167" s="23"/>
      <c r="SB167" s="23"/>
      <c r="SC167" s="23"/>
      <c r="SD167" s="23"/>
      <c r="SE167" s="23"/>
      <c r="SF167" s="23"/>
      <c r="SG167" s="23"/>
      <c r="SH167" s="23"/>
      <c r="SI167" s="23"/>
      <c r="SJ167" s="23"/>
      <c r="SK167" s="23"/>
      <c r="SL167" s="23"/>
      <c r="SM167" s="23"/>
      <c r="SN167" s="23"/>
      <c r="SO167" s="23"/>
      <c r="SP167" s="23"/>
      <c r="SQ167" s="23"/>
      <c r="SR167" s="23"/>
      <c r="SS167" s="23"/>
      <c r="ST167" s="23"/>
      <c r="SU167" s="23"/>
      <c r="SV167" s="23"/>
      <c r="SW167" s="23"/>
      <c r="SX167" s="23"/>
      <c r="SY167" s="23"/>
      <c r="SZ167" s="23"/>
      <c r="TA167" s="23"/>
      <c r="TB167" s="23"/>
      <c r="TC167" s="23"/>
      <c r="TD167" s="23"/>
      <c r="TE167" s="23"/>
      <c r="TF167" s="23"/>
      <c r="TG167" s="23"/>
    </row>
    <row r="168" spans="1:527" s="24" customFormat="1" ht="15.75" x14ac:dyDescent="0.25">
      <c r="A168" s="88"/>
      <c r="B168" s="115"/>
      <c r="C168" s="115"/>
      <c r="D168" s="89" t="s">
        <v>395</v>
      </c>
      <c r="E168" s="105">
        <f t="shared" si="60"/>
        <v>90</v>
      </c>
      <c r="F168" s="105">
        <v>90</v>
      </c>
      <c r="G168" s="105"/>
      <c r="H168" s="105"/>
      <c r="I168" s="105"/>
      <c r="J168" s="105">
        <f t="shared" si="62"/>
        <v>0</v>
      </c>
      <c r="K168" s="105"/>
      <c r="L168" s="105"/>
      <c r="M168" s="105"/>
      <c r="N168" s="105"/>
      <c r="O168" s="105"/>
      <c r="P168" s="105">
        <f t="shared" si="61"/>
        <v>90</v>
      </c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  <c r="IV168" s="30"/>
      <c r="IW168" s="30"/>
      <c r="IX168" s="30"/>
      <c r="IY168" s="30"/>
      <c r="IZ168" s="30"/>
      <c r="JA168" s="30"/>
      <c r="JB168" s="30"/>
      <c r="JC168" s="30"/>
      <c r="JD168" s="30"/>
      <c r="JE168" s="30"/>
      <c r="JF168" s="30"/>
      <c r="JG168" s="30"/>
      <c r="JH168" s="30"/>
      <c r="JI168" s="30"/>
      <c r="JJ168" s="30"/>
      <c r="JK168" s="30"/>
      <c r="JL168" s="30"/>
      <c r="JM168" s="30"/>
      <c r="JN168" s="30"/>
      <c r="JO168" s="30"/>
      <c r="JP168" s="30"/>
      <c r="JQ168" s="30"/>
      <c r="JR168" s="30"/>
      <c r="JS168" s="30"/>
      <c r="JT168" s="30"/>
      <c r="JU168" s="30"/>
      <c r="JV168" s="30"/>
      <c r="JW168" s="30"/>
      <c r="JX168" s="30"/>
      <c r="JY168" s="30"/>
      <c r="JZ168" s="30"/>
      <c r="KA168" s="30"/>
      <c r="KB168" s="30"/>
      <c r="KC168" s="30"/>
      <c r="KD168" s="30"/>
      <c r="KE168" s="30"/>
      <c r="KF168" s="30"/>
      <c r="KG168" s="30"/>
      <c r="KH168" s="30"/>
      <c r="KI168" s="30"/>
      <c r="KJ168" s="30"/>
      <c r="KK168" s="30"/>
      <c r="KL168" s="30"/>
      <c r="KM168" s="30"/>
      <c r="KN168" s="30"/>
      <c r="KO168" s="30"/>
      <c r="KP168" s="30"/>
      <c r="KQ168" s="30"/>
      <c r="KR168" s="30"/>
      <c r="KS168" s="30"/>
      <c r="KT168" s="30"/>
      <c r="KU168" s="30"/>
      <c r="KV168" s="30"/>
      <c r="KW168" s="30"/>
      <c r="KX168" s="30"/>
      <c r="KY168" s="30"/>
      <c r="KZ168" s="30"/>
      <c r="LA168" s="30"/>
      <c r="LB168" s="30"/>
      <c r="LC168" s="30"/>
      <c r="LD168" s="30"/>
      <c r="LE168" s="30"/>
      <c r="LF168" s="30"/>
      <c r="LG168" s="30"/>
      <c r="LH168" s="30"/>
      <c r="LI168" s="30"/>
      <c r="LJ168" s="30"/>
      <c r="LK168" s="30"/>
      <c r="LL168" s="30"/>
      <c r="LM168" s="30"/>
      <c r="LN168" s="30"/>
      <c r="LO168" s="30"/>
      <c r="LP168" s="30"/>
      <c r="LQ168" s="30"/>
      <c r="LR168" s="30"/>
      <c r="LS168" s="30"/>
      <c r="LT168" s="30"/>
      <c r="LU168" s="30"/>
      <c r="LV168" s="30"/>
      <c r="LW168" s="30"/>
      <c r="LX168" s="30"/>
      <c r="LY168" s="30"/>
      <c r="LZ168" s="30"/>
      <c r="MA168" s="30"/>
      <c r="MB168" s="30"/>
      <c r="MC168" s="30"/>
      <c r="MD168" s="30"/>
      <c r="ME168" s="30"/>
      <c r="MF168" s="30"/>
      <c r="MG168" s="30"/>
      <c r="MH168" s="30"/>
      <c r="MI168" s="30"/>
      <c r="MJ168" s="30"/>
      <c r="MK168" s="30"/>
      <c r="ML168" s="30"/>
      <c r="MM168" s="30"/>
      <c r="MN168" s="30"/>
      <c r="MO168" s="30"/>
      <c r="MP168" s="30"/>
      <c r="MQ168" s="30"/>
      <c r="MR168" s="30"/>
      <c r="MS168" s="30"/>
      <c r="MT168" s="30"/>
      <c r="MU168" s="30"/>
      <c r="MV168" s="30"/>
      <c r="MW168" s="30"/>
      <c r="MX168" s="30"/>
      <c r="MY168" s="30"/>
      <c r="MZ168" s="30"/>
      <c r="NA168" s="30"/>
      <c r="NB168" s="30"/>
      <c r="NC168" s="30"/>
      <c r="ND168" s="30"/>
      <c r="NE168" s="30"/>
      <c r="NF168" s="30"/>
      <c r="NG168" s="30"/>
      <c r="NH168" s="30"/>
      <c r="NI168" s="30"/>
      <c r="NJ168" s="30"/>
      <c r="NK168" s="30"/>
      <c r="NL168" s="30"/>
      <c r="NM168" s="30"/>
      <c r="NN168" s="30"/>
      <c r="NO168" s="30"/>
      <c r="NP168" s="30"/>
      <c r="NQ168" s="30"/>
      <c r="NR168" s="30"/>
      <c r="NS168" s="30"/>
      <c r="NT168" s="30"/>
      <c r="NU168" s="30"/>
      <c r="NV168" s="30"/>
      <c r="NW168" s="30"/>
      <c r="NX168" s="30"/>
      <c r="NY168" s="30"/>
      <c r="NZ168" s="30"/>
      <c r="OA168" s="30"/>
      <c r="OB168" s="30"/>
      <c r="OC168" s="30"/>
      <c r="OD168" s="30"/>
      <c r="OE168" s="30"/>
      <c r="OF168" s="30"/>
      <c r="OG168" s="30"/>
      <c r="OH168" s="30"/>
      <c r="OI168" s="30"/>
      <c r="OJ168" s="30"/>
      <c r="OK168" s="30"/>
      <c r="OL168" s="30"/>
      <c r="OM168" s="30"/>
      <c r="ON168" s="30"/>
      <c r="OO168" s="30"/>
      <c r="OP168" s="30"/>
      <c r="OQ168" s="30"/>
      <c r="OR168" s="30"/>
      <c r="OS168" s="30"/>
      <c r="OT168" s="30"/>
      <c r="OU168" s="30"/>
      <c r="OV168" s="30"/>
      <c r="OW168" s="30"/>
      <c r="OX168" s="30"/>
      <c r="OY168" s="30"/>
      <c r="OZ168" s="30"/>
      <c r="PA168" s="30"/>
      <c r="PB168" s="30"/>
      <c r="PC168" s="30"/>
      <c r="PD168" s="30"/>
      <c r="PE168" s="30"/>
      <c r="PF168" s="30"/>
      <c r="PG168" s="30"/>
      <c r="PH168" s="30"/>
      <c r="PI168" s="30"/>
      <c r="PJ168" s="30"/>
      <c r="PK168" s="30"/>
      <c r="PL168" s="30"/>
      <c r="PM168" s="30"/>
      <c r="PN168" s="30"/>
      <c r="PO168" s="30"/>
      <c r="PP168" s="30"/>
      <c r="PQ168" s="30"/>
      <c r="PR168" s="30"/>
      <c r="PS168" s="30"/>
      <c r="PT168" s="30"/>
      <c r="PU168" s="30"/>
      <c r="PV168" s="30"/>
      <c r="PW168" s="30"/>
      <c r="PX168" s="30"/>
      <c r="PY168" s="30"/>
      <c r="PZ168" s="30"/>
      <c r="QA168" s="30"/>
      <c r="QB168" s="30"/>
      <c r="QC168" s="30"/>
      <c r="QD168" s="30"/>
      <c r="QE168" s="30"/>
      <c r="QF168" s="30"/>
      <c r="QG168" s="30"/>
      <c r="QH168" s="30"/>
      <c r="QI168" s="30"/>
      <c r="QJ168" s="30"/>
      <c r="QK168" s="30"/>
      <c r="QL168" s="30"/>
      <c r="QM168" s="30"/>
      <c r="QN168" s="30"/>
      <c r="QO168" s="30"/>
      <c r="QP168" s="30"/>
      <c r="QQ168" s="30"/>
      <c r="QR168" s="30"/>
      <c r="QS168" s="30"/>
      <c r="QT168" s="30"/>
      <c r="QU168" s="30"/>
      <c r="QV168" s="30"/>
      <c r="QW168" s="30"/>
      <c r="QX168" s="30"/>
      <c r="QY168" s="30"/>
      <c r="QZ168" s="30"/>
      <c r="RA168" s="30"/>
      <c r="RB168" s="30"/>
      <c r="RC168" s="30"/>
      <c r="RD168" s="30"/>
      <c r="RE168" s="30"/>
      <c r="RF168" s="30"/>
      <c r="RG168" s="30"/>
      <c r="RH168" s="30"/>
      <c r="RI168" s="30"/>
      <c r="RJ168" s="30"/>
      <c r="RK168" s="30"/>
      <c r="RL168" s="30"/>
      <c r="RM168" s="30"/>
      <c r="RN168" s="30"/>
      <c r="RO168" s="30"/>
      <c r="RP168" s="30"/>
      <c r="RQ168" s="30"/>
      <c r="RR168" s="30"/>
      <c r="RS168" s="30"/>
      <c r="RT168" s="30"/>
      <c r="RU168" s="30"/>
      <c r="RV168" s="30"/>
      <c r="RW168" s="30"/>
      <c r="RX168" s="30"/>
      <c r="RY168" s="30"/>
      <c r="RZ168" s="30"/>
      <c r="SA168" s="30"/>
      <c r="SB168" s="30"/>
      <c r="SC168" s="30"/>
      <c r="SD168" s="30"/>
      <c r="SE168" s="30"/>
      <c r="SF168" s="30"/>
      <c r="SG168" s="30"/>
      <c r="SH168" s="30"/>
      <c r="SI168" s="30"/>
      <c r="SJ168" s="30"/>
      <c r="SK168" s="30"/>
      <c r="SL168" s="30"/>
      <c r="SM168" s="30"/>
      <c r="SN168" s="30"/>
      <c r="SO168" s="30"/>
      <c r="SP168" s="30"/>
      <c r="SQ168" s="30"/>
      <c r="SR168" s="30"/>
      <c r="SS168" s="30"/>
      <c r="ST168" s="30"/>
      <c r="SU168" s="30"/>
      <c r="SV168" s="30"/>
      <c r="SW168" s="30"/>
      <c r="SX168" s="30"/>
      <c r="SY168" s="30"/>
      <c r="SZ168" s="30"/>
      <c r="TA168" s="30"/>
      <c r="TB168" s="30"/>
      <c r="TC168" s="30"/>
      <c r="TD168" s="30"/>
      <c r="TE168" s="30"/>
      <c r="TF168" s="30"/>
      <c r="TG168" s="30"/>
    </row>
    <row r="169" spans="1:527" s="22" customFormat="1" ht="78.75" x14ac:dyDescent="0.25">
      <c r="A169" s="60" t="s">
        <v>188</v>
      </c>
      <c r="B169" s="97" t="str">
        <f>'дод 8'!A112</f>
        <v>3180</v>
      </c>
      <c r="C169" s="97" t="str">
        <f>'дод 8'!B112</f>
        <v>1060</v>
      </c>
      <c r="D169" s="61" t="str">
        <f>'дод 8'!C112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69" s="103">
        <f t="shared" si="60"/>
        <v>2213520</v>
      </c>
      <c r="F169" s="103">
        <v>2213520</v>
      </c>
      <c r="G169" s="103"/>
      <c r="H169" s="103"/>
      <c r="I169" s="103"/>
      <c r="J169" s="103">
        <f t="shared" si="62"/>
        <v>0</v>
      </c>
      <c r="K169" s="103"/>
      <c r="L169" s="103"/>
      <c r="M169" s="103"/>
      <c r="N169" s="103"/>
      <c r="O169" s="103"/>
      <c r="P169" s="103">
        <f t="shared" si="61"/>
        <v>2213520</v>
      </c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  <c r="TF169" s="23"/>
      <c r="TG169" s="23"/>
    </row>
    <row r="170" spans="1:527" s="22" customFormat="1" ht="31.5" customHeight="1" x14ac:dyDescent="0.25">
      <c r="A170" s="60" t="s">
        <v>310</v>
      </c>
      <c r="B170" s="97" t="str">
        <f>'дод 8'!A113</f>
        <v>3191</v>
      </c>
      <c r="C170" s="97" t="str">
        <f>'дод 8'!B113</f>
        <v>1030</v>
      </c>
      <c r="D170" s="61" t="str">
        <f>'дод 8'!C113</f>
        <v>Інші видатки на соціальний захист ветеранів війни та праці</v>
      </c>
      <c r="E170" s="103">
        <f t="shared" si="60"/>
        <v>2042960</v>
      </c>
      <c r="F170" s="103">
        <f>2089960-47000</f>
        <v>2042960</v>
      </c>
      <c r="G170" s="103"/>
      <c r="H170" s="103"/>
      <c r="I170" s="103"/>
      <c r="J170" s="103">
        <f t="shared" si="62"/>
        <v>0</v>
      </c>
      <c r="K170" s="103"/>
      <c r="L170" s="103"/>
      <c r="M170" s="103"/>
      <c r="N170" s="103"/>
      <c r="O170" s="103"/>
      <c r="P170" s="103">
        <f t="shared" si="61"/>
        <v>2042960</v>
      </c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</row>
    <row r="171" spans="1:527" s="22" customFormat="1" ht="47.25" x14ac:dyDescent="0.25">
      <c r="A171" s="60" t="s">
        <v>311</v>
      </c>
      <c r="B171" s="97" t="str">
        <f>'дод 8'!A114</f>
        <v>3192</v>
      </c>
      <c r="C171" s="97" t="str">
        <f>'дод 8'!B114</f>
        <v>1030</v>
      </c>
      <c r="D171" s="61" t="s">
        <v>512</v>
      </c>
      <c r="E171" s="103">
        <f t="shared" si="60"/>
        <v>2250688</v>
      </c>
      <c r="F171" s="103">
        <v>2250688</v>
      </c>
      <c r="G171" s="103"/>
      <c r="H171" s="103"/>
      <c r="I171" s="103"/>
      <c r="J171" s="103">
        <f t="shared" si="62"/>
        <v>0</v>
      </c>
      <c r="K171" s="103"/>
      <c r="L171" s="103"/>
      <c r="M171" s="103"/>
      <c r="N171" s="103"/>
      <c r="O171" s="103"/>
      <c r="P171" s="103">
        <f t="shared" si="61"/>
        <v>2250688</v>
      </c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  <c r="TF171" s="23"/>
      <c r="TG171" s="23"/>
    </row>
    <row r="172" spans="1:527" s="22" customFormat="1" ht="34.5" customHeight="1" x14ac:dyDescent="0.25">
      <c r="A172" s="60" t="s">
        <v>189</v>
      </c>
      <c r="B172" s="97" t="str">
        <f>'дод 8'!A115</f>
        <v>3200</v>
      </c>
      <c r="C172" s="97" t="str">
        <f>'дод 8'!B115</f>
        <v>1090</v>
      </c>
      <c r="D172" s="61" t="str">
        <f>'дод 8'!C115</f>
        <v>Забезпечення обробки інформації з нарахування та виплати допомог і компенсацій</v>
      </c>
      <c r="E172" s="103">
        <f t="shared" si="60"/>
        <v>92000</v>
      </c>
      <c r="F172" s="103">
        <v>92000</v>
      </c>
      <c r="G172" s="103"/>
      <c r="H172" s="103"/>
      <c r="I172" s="103"/>
      <c r="J172" s="103">
        <f t="shared" si="62"/>
        <v>0</v>
      </c>
      <c r="K172" s="103"/>
      <c r="L172" s="103"/>
      <c r="M172" s="103"/>
      <c r="N172" s="103"/>
      <c r="O172" s="103"/>
      <c r="P172" s="103">
        <f t="shared" si="61"/>
        <v>92000</v>
      </c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  <c r="TF172" s="23"/>
      <c r="TG172" s="23"/>
    </row>
    <row r="173" spans="1:527" s="22" customFormat="1" ht="19.5" customHeight="1" x14ac:dyDescent="0.25">
      <c r="A173" s="107" t="s">
        <v>312</v>
      </c>
      <c r="B173" s="42" t="str">
        <f>'дод 8'!A116</f>
        <v>3210</v>
      </c>
      <c r="C173" s="42" t="str">
        <f>'дод 8'!B116</f>
        <v>1050</v>
      </c>
      <c r="D173" s="36" t="str">
        <f>'дод 8'!C116</f>
        <v>Організація та проведення громадських робіт</v>
      </c>
      <c r="E173" s="103">
        <f t="shared" si="60"/>
        <v>50000</v>
      </c>
      <c r="F173" s="103">
        <v>50000</v>
      </c>
      <c r="G173" s="103">
        <v>40900</v>
      </c>
      <c r="H173" s="103"/>
      <c r="I173" s="103"/>
      <c r="J173" s="103">
        <f t="shared" si="62"/>
        <v>0</v>
      </c>
      <c r="K173" s="103"/>
      <c r="L173" s="103"/>
      <c r="M173" s="103"/>
      <c r="N173" s="103"/>
      <c r="O173" s="103"/>
      <c r="P173" s="103">
        <f t="shared" si="61"/>
        <v>50000</v>
      </c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  <c r="SQ173" s="23"/>
      <c r="SR173" s="23"/>
      <c r="SS173" s="23"/>
      <c r="ST173" s="23"/>
      <c r="SU173" s="23"/>
      <c r="SV173" s="23"/>
      <c r="SW173" s="23"/>
      <c r="SX173" s="23"/>
      <c r="SY173" s="23"/>
      <c r="SZ173" s="23"/>
      <c r="TA173" s="23"/>
      <c r="TB173" s="23"/>
      <c r="TC173" s="23"/>
      <c r="TD173" s="23"/>
      <c r="TE173" s="23"/>
      <c r="TF173" s="23"/>
      <c r="TG173" s="23"/>
    </row>
    <row r="174" spans="1:527" s="22" customFormat="1" ht="225" hidden="1" customHeight="1" x14ac:dyDescent="0.25">
      <c r="A174" s="107" t="s">
        <v>444</v>
      </c>
      <c r="B174" s="42">
        <v>3221</v>
      </c>
      <c r="C174" s="107" t="s">
        <v>54</v>
      </c>
      <c r="D174" s="36" t="str">
        <f>'дод 8'!C117</f>
        <v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74" s="103">
        <f t="shared" si="60"/>
        <v>0</v>
      </c>
      <c r="F174" s="120"/>
      <c r="G174" s="103"/>
      <c r="H174" s="103"/>
      <c r="I174" s="103"/>
      <c r="J174" s="103">
        <f t="shared" si="62"/>
        <v>0</v>
      </c>
      <c r="K174" s="103"/>
      <c r="L174" s="103"/>
      <c r="M174" s="103"/>
      <c r="N174" s="103"/>
      <c r="O174" s="103"/>
      <c r="P174" s="103">
        <f t="shared" si="61"/>
        <v>0</v>
      </c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  <c r="TF174" s="23"/>
      <c r="TG174" s="23"/>
    </row>
    <row r="175" spans="1:527" s="24" customFormat="1" ht="255.75" hidden="1" customHeight="1" x14ac:dyDescent="0.25">
      <c r="A175" s="109"/>
      <c r="B175" s="92"/>
      <c r="C175" s="109"/>
      <c r="D175" s="91" t="str">
        <f>'дод 8'!C88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5" s="103">
        <f t="shared" si="60"/>
        <v>0</v>
      </c>
      <c r="F175" s="121"/>
      <c r="G175" s="105"/>
      <c r="H175" s="105"/>
      <c r="I175" s="105"/>
      <c r="J175" s="103">
        <f t="shared" si="62"/>
        <v>0</v>
      </c>
      <c r="K175" s="105"/>
      <c r="L175" s="105"/>
      <c r="M175" s="105"/>
      <c r="N175" s="105"/>
      <c r="O175" s="105"/>
      <c r="P175" s="105">
        <f t="shared" si="61"/>
        <v>0</v>
      </c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  <c r="IV175" s="30"/>
      <c r="IW175" s="30"/>
      <c r="IX175" s="30"/>
      <c r="IY175" s="30"/>
      <c r="IZ175" s="30"/>
      <c r="JA175" s="30"/>
      <c r="JB175" s="30"/>
      <c r="JC175" s="30"/>
      <c r="JD175" s="30"/>
      <c r="JE175" s="30"/>
      <c r="JF175" s="30"/>
      <c r="JG175" s="30"/>
      <c r="JH175" s="30"/>
      <c r="JI175" s="30"/>
      <c r="JJ175" s="30"/>
      <c r="JK175" s="30"/>
      <c r="JL175" s="30"/>
      <c r="JM175" s="30"/>
      <c r="JN175" s="30"/>
      <c r="JO175" s="30"/>
      <c r="JP175" s="30"/>
      <c r="JQ175" s="30"/>
      <c r="JR175" s="30"/>
      <c r="JS175" s="30"/>
      <c r="JT175" s="30"/>
      <c r="JU175" s="30"/>
      <c r="JV175" s="30"/>
      <c r="JW175" s="30"/>
      <c r="JX175" s="30"/>
      <c r="JY175" s="30"/>
      <c r="JZ175" s="30"/>
      <c r="KA175" s="30"/>
      <c r="KB175" s="30"/>
      <c r="KC175" s="30"/>
      <c r="KD175" s="30"/>
      <c r="KE175" s="30"/>
      <c r="KF175" s="30"/>
      <c r="KG175" s="30"/>
      <c r="KH175" s="30"/>
      <c r="KI175" s="30"/>
      <c r="KJ175" s="30"/>
      <c r="KK175" s="30"/>
      <c r="KL175" s="30"/>
      <c r="KM175" s="30"/>
      <c r="KN175" s="30"/>
      <c r="KO175" s="30"/>
      <c r="KP175" s="30"/>
      <c r="KQ175" s="30"/>
      <c r="KR175" s="30"/>
      <c r="KS175" s="30"/>
      <c r="KT175" s="30"/>
      <c r="KU175" s="30"/>
      <c r="KV175" s="30"/>
      <c r="KW175" s="30"/>
      <c r="KX175" s="30"/>
      <c r="KY175" s="30"/>
      <c r="KZ175" s="30"/>
      <c r="LA175" s="30"/>
      <c r="LB175" s="30"/>
      <c r="LC175" s="30"/>
      <c r="LD175" s="30"/>
      <c r="LE175" s="30"/>
      <c r="LF175" s="30"/>
      <c r="LG175" s="30"/>
      <c r="LH175" s="30"/>
      <c r="LI175" s="30"/>
      <c r="LJ175" s="30"/>
      <c r="LK175" s="30"/>
      <c r="LL175" s="30"/>
      <c r="LM175" s="30"/>
      <c r="LN175" s="30"/>
      <c r="LO175" s="30"/>
      <c r="LP175" s="30"/>
      <c r="LQ175" s="30"/>
      <c r="LR175" s="30"/>
      <c r="LS175" s="30"/>
      <c r="LT175" s="30"/>
      <c r="LU175" s="30"/>
      <c r="LV175" s="30"/>
      <c r="LW175" s="30"/>
      <c r="LX175" s="30"/>
      <c r="LY175" s="30"/>
      <c r="LZ175" s="30"/>
      <c r="MA175" s="30"/>
      <c r="MB175" s="30"/>
      <c r="MC175" s="30"/>
      <c r="MD175" s="30"/>
      <c r="ME175" s="30"/>
      <c r="MF175" s="30"/>
      <c r="MG175" s="30"/>
      <c r="MH175" s="30"/>
      <c r="MI175" s="30"/>
      <c r="MJ175" s="30"/>
      <c r="MK175" s="30"/>
      <c r="ML175" s="30"/>
      <c r="MM175" s="30"/>
      <c r="MN175" s="30"/>
      <c r="MO175" s="30"/>
      <c r="MP175" s="30"/>
      <c r="MQ175" s="30"/>
      <c r="MR175" s="30"/>
      <c r="MS175" s="30"/>
      <c r="MT175" s="30"/>
      <c r="MU175" s="30"/>
      <c r="MV175" s="30"/>
      <c r="MW175" s="30"/>
      <c r="MX175" s="30"/>
      <c r="MY175" s="30"/>
      <c r="MZ175" s="30"/>
      <c r="NA175" s="30"/>
      <c r="NB175" s="30"/>
      <c r="NC175" s="30"/>
      <c r="ND175" s="30"/>
      <c r="NE175" s="30"/>
      <c r="NF175" s="30"/>
      <c r="NG175" s="30"/>
      <c r="NH175" s="30"/>
      <c r="NI175" s="30"/>
      <c r="NJ175" s="30"/>
      <c r="NK175" s="30"/>
      <c r="NL175" s="30"/>
      <c r="NM175" s="30"/>
      <c r="NN175" s="30"/>
      <c r="NO175" s="30"/>
      <c r="NP175" s="30"/>
      <c r="NQ175" s="30"/>
      <c r="NR175" s="30"/>
      <c r="NS175" s="30"/>
      <c r="NT175" s="30"/>
      <c r="NU175" s="30"/>
      <c r="NV175" s="30"/>
      <c r="NW175" s="30"/>
      <c r="NX175" s="30"/>
      <c r="NY175" s="30"/>
      <c r="NZ175" s="30"/>
      <c r="OA175" s="30"/>
      <c r="OB175" s="30"/>
      <c r="OC175" s="30"/>
      <c r="OD175" s="30"/>
      <c r="OE175" s="30"/>
      <c r="OF175" s="30"/>
      <c r="OG175" s="30"/>
      <c r="OH175" s="30"/>
      <c r="OI175" s="30"/>
      <c r="OJ175" s="30"/>
      <c r="OK175" s="30"/>
      <c r="OL175" s="30"/>
      <c r="OM175" s="30"/>
      <c r="ON175" s="30"/>
      <c r="OO175" s="30"/>
      <c r="OP175" s="30"/>
      <c r="OQ175" s="30"/>
      <c r="OR175" s="30"/>
      <c r="OS175" s="30"/>
      <c r="OT175" s="30"/>
      <c r="OU175" s="30"/>
      <c r="OV175" s="30"/>
      <c r="OW175" s="30"/>
      <c r="OX175" s="30"/>
      <c r="OY175" s="30"/>
      <c r="OZ175" s="30"/>
      <c r="PA175" s="30"/>
      <c r="PB175" s="30"/>
      <c r="PC175" s="30"/>
      <c r="PD175" s="30"/>
      <c r="PE175" s="30"/>
      <c r="PF175" s="30"/>
      <c r="PG175" s="30"/>
      <c r="PH175" s="30"/>
      <c r="PI175" s="30"/>
      <c r="PJ175" s="30"/>
      <c r="PK175" s="30"/>
      <c r="PL175" s="30"/>
      <c r="PM175" s="30"/>
      <c r="PN175" s="30"/>
      <c r="PO175" s="30"/>
      <c r="PP175" s="30"/>
      <c r="PQ175" s="30"/>
      <c r="PR175" s="30"/>
      <c r="PS175" s="30"/>
      <c r="PT175" s="30"/>
      <c r="PU175" s="30"/>
      <c r="PV175" s="30"/>
      <c r="PW175" s="30"/>
      <c r="PX175" s="30"/>
      <c r="PY175" s="30"/>
      <c r="PZ175" s="30"/>
      <c r="QA175" s="30"/>
      <c r="QB175" s="30"/>
      <c r="QC175" s="30"/>
      <c r="QD175" s="30"/>
      <c r="QE175" s="30"/>
      <c r="QF175" s="30"/>
      <c r="QG175" s="30"/>
      <c r="QH175" s="30"/>
      <c r="QI175" s="30"/>
      <c r="QJ175" s="30"/>
      <c r="QK175" s="30"/>
      <c r="QL175" s="30"/>
      <c r="QM175" s="30"/>
      <c r="QN175" s="30"/>
      <c r="QO175" s="30"/>
      <c r="QP175" s="30"/>
      <c r="QQ175" s="30"/>
      <c r="QR175" s="30"/>
      <c r="QS175" s="30"/>
      <c r="QT175" s="30"/>
      <c r="QU175" s="30"/>
      <c r="QV175" s="30"/>
      <c r="QW175" s="30"/>
      <c r="QX175" s="30"/>
      <c r="QY175" s="30"/>
      <c r="QZ175" s="30"/>
      <c r="RA175" s="30"/>
      <c r="RB175" s="30"/>
      <c r="RC175" s="30"/>
      <c r="RD175" s="30"/>
      <c r="RE175" s="30"/>
      <c r="RF175" s="30"/>
      <c r="RG175" s="30"/>
      <c r="RH175" s="30"/>
      <c r="RI175" s="30"/>
      <c r="RJ175" s="30"/>
      <c r="RK175" s="30"/>
      <c r="RL175" s="30"/>
      <c r="RM175" s="30"/>
      <c r="RN175" s="30"/>
      <c r="RO175" s="30"/>
      <c r="RP175" s="30"/>
      <c r="RQ175" s="30"/>
      <c r="RR175" s="30"/>
      <c r="RS175" s="30"/>
      <c r="RT175" s="30"/>
      <c r="RU175" s="30"/>
      <c r="RV175" s="30"/>
      <c r="RW175" s="30"/>
      <c r="RX175" s="30"/>
      <c r="RY175" s="30"/>
      <c r="RZ175" s="30"/>
      <c r="SA175" s="30"/>
      <c r="SB175" s="30"/>
      <c r="SC175" s="30"/>
      <c r="SD175" s="30"/>
      <c r="SE175" s="30"/>
      <c r="SF175" s="30"/>
      <c r="SG175" s="30"/>
      <c r="SH175" s="30"/>
      <c r="SI175" s="30"/>
      <c r="SJ175" s="30"/>
      <c r="SK175" s="30"/>
      <c r="SL175" s="30"/>
      <c r="SM175" s="30"/>
      <c r="SN175" s="30"/>
      <c r="SO175" s="30"/>
      <c r="SP175" s="30"/>
      <c r="SQ175" s="30"/>
      <c r="SR175" s="30"/>
      <c r="SS175" s="30"/>
      <c r="ST175" s="30"/>
      <c r="SU175" s="30"/>
      <c r="SV175" s="30"/>
      <c r="SW175" s="30"/>
      <c r="SX175" s="30"/>
      <c r="SY175" s="30"/>
      <c r="SZ175" s="30"/>
      <c r="TA175" s="30"/>
      <c r="TB175" s="30"/>
      <c r="TC175" s="30"/>
      <c r="TD175" s="30"/>
      <c r="TE175" s="30"/>
      <c r="TF175" s="30"/>
      <c r="TG175" s="30"/>
    </row>
    <row r="176" spans="1:527" s="22" customFormat="1" ht="174.75" hidden="1" customHeight="1" x14ac:dyDescent="0.25">
      <c r="A176" s="107" t="s">
        <v>443</v>
      </c>
      <c r="B176" s="42">
        <v>3223</v>
      </c>
      <c r="C176" s="107" t="s">
        <v>54</v>
      </c>
      <c r="D176" s="36" t="str">
        <f>'дод 8'!C119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76" s="103">
        <f t="shared" si="60"/>
        <v>0</v>
      </c>
      <c r="F176" s="103"/>
      <c r="G176" s="103"/>
      <c r="H176" s="103"/>
      <c r="I176" s="103"/>
      <c r="J176" s="103">
        <f t="shared" si="62"/>
        <v>0</v>
      </c>
      <c r="K176" s="103"/>
      <c r="L176" s="103"/>
      <c r="M176" s="103"/>
      <c r="N176" s="103"/>
      <c r="O176" s="103"/>
      <c r="P176" s="103">
        <f t="shared" si="61"/>
        <v>0</v>
      </c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  <c r="IW176" s="23"/>
      <c r="IX176" s="23"/>
      <c r="IY176" s="23"/>
      <c r="IZ176" s="23"/>
      <c r="JA176" s="23"/>
      <c r="JB176" s="23"/>
      <c r="JC176" s="23"/>
      <c r="JD176" s="23"/>
      <c r="JE176" s="23"/>
      <c r="JF176" s="23"/>
      <c r="JG176" s="23"/>
      <c r="JH176" s="23"/>
      <c r="JI176" s="23"/>
      <c r="JJ176" s="23"/>
      <c r="JK176" s="23"/>
      <c r="JL176" s="23"/>
      <c r="JM176" s="23"/>
      <c r="JN176" s="23"/>
      <c r="JO176" s="23"/>
      <c r="JP176" s="23"/>
      <c r="JQ176" s="23"/>
      <c r="JR176" s="23"/>
      <c r="JS176" s="23"/>
      <c r="JT176" s="23"/>
      <c r="JU176" s="23"/>
      <c r="JV176" s="23"/>
      <c r="JW176" s="23"/>
      <c r="JX176" s="23"/>
      <c r="JY176" s="23"/>
      <c r="JZ176" s="23"/>
      <c r="KA176" s="23"/>
      <c r="KB176" s="23"/>
      <c r="KC176" s="23"/>
      <c r="KD176" s="23"/>
      <c r="KE176" s="23"/>
      <c r="KF176" s="23"/>
      <c r="KG176" s="23"/>
      <c r="KH176" s="23"/>
      <c r="KI176" s="23"/>
      <c r="KJ176" s="23"/>
      <c r="KK176" s="23"/>
      <c r="KL176" s="23"/>
      <c r="KM176" s="23"/>
      <c r="KN176" s="23"/>
      <c r="KO176" s="23"/>
      <c r="KP176" s="23"/>
      <c r="KQ176" s="23"/>
      <c r="KR176" s="23"/>
      <c r="KS176" s="23"/>
      <c r="KT176" s="23"/>
      <c r="KU176" s="23"/>
      <c r="KV176" s="23"/>
      <c r="KW176" s="23"/>
      <c r="KX176" s="23"/>
      <c r="KY176" s="23"/>
      <c r="KZ176" s="23"/>
      <c r="LA176" s="23"/>
      <c r="LB176" s="23"/>
      <c r="LC176" s="23"/>
      <c r="LD176" s="23"/>
      <c r="LE176" s="23"/>
      <c r="LF176" s="23"/>
      <c r="LG176" s="23"/>
      <c r="LH176" s="23"/>
      <c r="LI176" s="23"/>
      <c r="LJ176" s="23"/>
      <c r="LK176" s="23"/>
      <c r="LL176" s="23"/>
      <c r="LM176" s="23"/>
      <c r="LN176" s="23"/>
      <c r="LO176" s="23"/>
      <c r="LP176" s="23"/>
      <c r="LQ176" s="23"/>
      <c r="LR176" s="23"/>
      <c r="LS176" s="23"/>
      <c r="LT176" s="23"/>
      <c r="LU176" s="23"/>
      <c r="LV176" s="23"/>
      <c r="LW176" s="23"/>
      <c r="LX176" s="23"/>
      <c r="LY176" s="23"/>
      <c r="LZ176" s="23"/>
      <c r="MA176" s="23"/>
      <c r="MB176" s="23"/>
      <c r="MC176" s="23"/>
      <c r="MD176" s="23"/>
      <c r="ME176" s="23"/>
      <c r="MF176" s="23"/>
      <c r="MG176" s="23"/>
      <c r="MH176" s="23"/>
      <c r="MI176" s="23"/>
      <c r="MJ176" s="23"/>
      <c r="MK176" s="23"/>
      <c r="ML176" s="23"/>
      <c r="MM176" s="23"/>
      <c r="MN176" s="23"/>
      <c r="MO176" s="23"/>
      <c r="MP176" s="23"/>
      <c r="MQ176" s="23"/>
      <c r="MR176" s="23"/>
      <c r="MS176" s="23"/>
      <c r="MT176" s="23"/>
      <c r="MU176" s="23"/>
      <c r="MV176" s="23"/>
      <c r="MW176" s="23"/>
      <c r="MX176" s="23"/>
      <c r="MY176" s="23"/>
      <c r="MZ176" s="23"/>
      <c r="NA176" s="23"/>
      <c r="NB176" s="23"/>
      <c r="NC176" s="23"/>
      <c r="ND176" s="23"/>
      <c r="NE176" s="23"/>
      <c r="NF176" s="23"/>
      <c r="NG176" s="23"/>
      <c r="NH176" s="23"/>
      <c r="NI176" s="23"/>
      <c r="NJ176" s="23"/>
      <c r="NK176" s="23"/>
      <c r="NL176" s="23"/>
      <c r="NM176" s="23"/>
      <c r="NN176" s="23"/>
      <c r="NO176" s="23"/>
      <c r="NP176" s="23"/>
      <c r="NQ176" s="23"/>
      <c r="NR176" s="23"/>
      <c r="NS176" s="23"/>
      <c r="NT176" s="23"/>
      <c r="NU176" s="23"/>
      <c r="NV176" s="23"/>
      <c r="NW176" s="23"/>
      <c r="NX176" s="23"/>
      <c r="NY176" s="23"/>
      <c r="NZ176" s="23"/>
      <c r="OA176" s="23"/>
      <c r="OB176" s="23"/>
      <c r="OC176" s="23"/>
      <c r="OD176" s="23"/>
      <c r="OE176" s="23"/>
      <c r="OF176" s="23"/>
      <c r="OG176" s="23"/>
      <c r="OH176" s="23"/>
      <c r="OI176" s="23"/>
      <c r="OJ176" s="23"/>
      <c r="OK176" s="23"/>
      <c r="OL176" s="23"/>
      <c r="OM176" s="23"/>
      <c r="ON176" s="23"/>
      <c r="OO176" s="23"/>
      <c r="OP176" s="23"/>
      <c r="OQ176" s="23"/>
      <c r="OR176" s="23"/>
      <c r="OS176" s="23"/>
      <c r="OT176" s="23"/>
      <c r="OU176" s="23"/>
      <c r="OV176" s="23"/>
      <c r="OW176" s="23"/>
      <c r="OX176" s="23"/>
      <c r="OY176" s="23"/>
      <c r="OZ176" s="23"/>
      <c r="PA176" s="23"/>
      <c r="PB176" s="23"/>
      <c r="PC176" s="23"/>
      <c r="PD176" s="23"/>
      <c r="PE176" s="23"/>
      <c r="PF176" s="23"/>
      <c r="PG176" s="23"/>
      <c r="PH176" s="23"/>
      <c r="PI176" s="23"/>
      <c r="PJ176" s="23"/>
      <c r="PK176" s="23"/>
      <c r="PL176" s="23"/>
      <c r="PM176" s="23"/>
      <c r="PN176" s="23"/>
      <c r="PO176" s="23"/>
      <c r="PP176" s="23"/>
      <c r="PQ176" s="23"/>
      <c r="PR176" s="23"/>
      <c r="PS176" s="23"/>
      <c r="PT176" s="23"/>
      <c r="PU176" s="23"/>
      <c r="PV176" s="23"/>
      <c r="PW176" s="23"/>
      <c r="PX176" s="23"/>
      <c r="PY176" s="23"/>
      <c r="PZ176" s="23"/>
      <c r="QA176" s="23"/>
      <c r="QB176" s="23"/>
      <c r="QC176" s="23"/>
      <c r="QD176" s="23"/>
      <c r="QE176" s="23"/>
      <c r="QF176" s="23"/>
      <c r="QG176" s="23"/>
      <c r="QH176" s="23"/>
      <c r="QI176" s="23"/>
      <c r="QJ176" s="23"/>
      <c r="QK176" s="23"/>
      <c r="QL176" s="23"/>
      <c r="QM176" s="23"/>
      <c r="QN176" s="23"/>
      <c r="QO176" s="23"/>
      <c r="QP176" s="23"/>
      <c r="QQ176" s="23"/>
      <c r="QR176" s="23"/>
      <c r="QS176" s="23"/>
      <c r="QT176" s="23"/>
      <c r="QU176" s="23"/>
      <c r="QV176" s="23"/>
      <c r="QW176" s="23"/>
      <c r="QX176" s="23"/>
      <c r="QY176" s="23"/>
      <c r="QZ176" s="23"/>
      <c r="RA176" s="23"/>
      <c r="RB176" s="23"/>
      <c r="RC176" s="23"/>
      <c r="RD176" s="23"/>
      <c r="RE176" s="23"/>
      <c r="RF176" s="23"/>
      <c r="RG176" s="23"/>
      <c r="RH176" s="23"/>
      <c r="RI176" s="23"/>
      <c r="RJ176" s="23"/>
      <c r="RK176" s="23"/>
      <c r="RL176" s="23"/>
      <c r="RM176" s="23"/>
      <c r="RN176" s="23"/>
      <c r="RO176" s="23"/>
      <c r="RP176" s="23"/>
      <c r="RQ176" s="23"/>
      <c r="RR176" s="23"/>
      <c r="RS176" s="23"/>
      <c r="RT176" s="23"/>
      <c r="RU176" s="23"/>
      <c r="RV176" s="23"/>
      <c r="RW176" s="23"/>
      <c r="RX176" s="23"/>
      <c r="RY176" s="23"/>
      <c r="RZ176" s="23"/>
      <c r="SA176" s="23"/>
      <c r="SB176" s="23"/>
      <c r="SC176" s="23"/>
      <c r="SD176" s="23"/>
      <c r="SE176" s="23"/>
      <c r="SF176" s="23"/>
      <c r="SG176" s="23"/>
      <c r="SH176" s="23"/>
      <c r="SI176" s="23"/>
      <c r="SJ176" s="23"/>
      <c r="SK176" s="23"/>
      <c r="SL176" s="23"/>
      <c r="SM176" s="23"/>
      <c r="SN176" s="23"/>
      <c r="SO176" s="23"/>
      <c r="SP176" s="23"/>
      <c r="SQ176" s="23"/>
      <c r="SR176" s="23"/>
      <c r="SS176" s="23"/>
      <c r="ST176" s="23"/>
      <c r="SU176" s="23"/>
      <c r="SV176" s="23"/>
      <c r="SW176" s="23"/>
      <c r="SX176" s="23"/>
      <c r="SY176" s="23"/>
      <c r="SZ176" s="23"/>
      <c r="TA176" s="23"/>
      <c r="TB176" s="23"/>
      <c r="TC176" s="23"/>
      <c r="TD176" s="23"/>
      <c r="TE176" s="23"/>
      <c r="TF176" s="23"/>
      <c r="TG176" s="23"/>
    </row>
    <row r="177" spans="1:527" s="24" customFormat="1" ht="216" hidden="1" customHeight="1" x14ac:dyDescent="0.25">
      <c r="A177" s="109"/>
      <c r="B177" s="92"/>
      <c r="C177" s="109"/>
      <c r="D177" s="91" t="str">
        <f>'дод 8'!C120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7" s="105">
        <f t="shared" si="60"/>
        <v>0</v>
      </c>
      <c r="F177" s="105"/>
      <c r="G177" s="105"/>
      <c r="H177" s="105"/>
      <c r="I177" s="105"/>
      <c r="J177" s="105">
        <f t="shared" si="62"/>
        <v>0</v>
      </c>
      <c r="K177" s="105"/>
      <c r="L177" s="105"/>
      <c r="M177" s="105"/>
      <c r="N177" s="105"/>
      <c r="O177" s="105"/>
      <c r="P177" s="105">
        <f t="shared" si="61"/>
        <v>0</v>
      </c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  <c r="IV177" s="30"/>
      <c r="IW177" s="30"/>
      <c r="IX177" s="30"/>
      <c r="IY177" s="30"/>
      <c r="IZ177" s="30"/>
      <c r="JA177" s="30"/>
      <c r="JB177" s="30"/>
      <c r="JC177" s="30"/>
      <c r="JD177" s="30"/>
      <c r="JE177" s="30"/>
      <c r="JF177" s="30"/>
      <c r="JG177" s="30"/>
      <c r="JH177" s="30"/>
      <c r="JI177" s="30"/>
      <c r="JJ177" s="30"/>
      <c r="JK177" s="30"/>
      <c r="JL177" s="30"/>
      <c r="JM177" s="30"/>
      <c r="JN177" s="30"/>
      <c r="JO177" s="30"/>
      <c r="JP177" s="30"/>
      <c r="JQ177" s="30"/>
      <c r="JR177" s="30"/>
      <c r="JS177" s="30"/>
      <c r="JT177" s="30"/>
      <c r="JU177" s="30"/>
      <c r="JV177" s="30"/>
      <c r="JW177" s="30"/>
      <c r="JX177" s="30"/>
      <c r="JY177" s="30"/>
      <c r="JZ177" s="30"/>
      <c r="KA177" s="30"/>
      <c r="KB177" s="30"/>
      <c r="KC177" s="30"/>
      <c r="KD177" s="30"/>
      <c r="KE177" s="30"/>
      <c r="KF177" s="30"/>
      <c r="KG177" s="30"/>
      <c r="KH177" s="30"/>
      <c r="KI177" s="30"/>
      <c r="KJ177" s="30"/>
      <c r="KK177" s="30"/>
      <c r="KL177" s="30"/>
      <c r="KM177" s="30"/>
      <c r="KN177" s="30"/>
      <c r="KO177" s="30"/>
      <c r="KP177" s="30"/>
      <c r="KQ177" s="30"/>
      <c r="KR177" s="30"/>
      <c r="KS177" s="30"/>
      <c r="KT177" s="30"/>
      <c r="KU177" s="30"/>
      <c r="KV177" s="30"/>
      <c r="KW177" s="30"/>
      <c r="KX177" s="30"/>
      <c r="KY177" s="30"/>
      <c r="KZ177" s="30"/>
      <c r="LA177" s="30"/>
      <c r="LB177" s="30"/>
      <c r="LC177" s="30"/>
      <c r="LD177" s="30"/>
      <c r="LE177" s="30"/>
      <c r="LF177" s="30"/>
      <c r="LG177" s="30"/>
      <c r="LH177" s="30"/>
      <c r="LI177" s="30"/>
      <c r="LJ177" s="30"/>
      <c r="LK177" s="30"/>
      <c r="LL177" s="30"/>
      <c r="LM177" s="30"/>
      <c r="LN177" s="30"/>
      <c r="LO177" s="30"/>
      <c r="LP177" s="30"/>
      <c r="LQ177" s="30"/>
      <c r="LR177" s="30"/>
      <c r="LS177" s="30"/>
      <c r="LT177" s="30"/>
      <c r="LU177" s="30"/>
      <c r="LV177" s="30"/>
      <c r="LW177" s="30"/>
      <c r="LX177" s="30"/>
      <c r="LY177" s="30"/>
      <c r="LZ177" s="30"/>
      <c r="MA177" s="30"/>
      <c r="MB177" s="30"/>
      <c r="MC177" s="30"/>
      <c r="MD177" s="30"/>
      <c r="ME177" s="30"/>
      <c r="MF177" s="30"/>
      <c r="MG177" s="30"/>
      <c r="MH177" s="30"/>
      <c r="MI177" s="30"/>
      <c r="MJ177" s="30"/>
      <c r="MK177" s="30"/>
      <c r="ML177" s="30"/>
      <c r="MM177" s="30"/>
      <c r="MN177" s="30"/>
      <c r="MO177" s="30"/>
      <c r="MP177" s="30"/>
      <c r="MQ177" s="30"/>
      <c r="MR177" s="30"/>
      <c r="MS177" s="30"/>
      <c r="MT177" s="30"/>
      <c r="MU177" s="30"/>
      <c r="MV177" s="30"/>
      <c r="MW177" s="30"/>
      <c r="MX177" s="30"/>
      <c r="MY177" s="30"/>
      <c r="MZ177" s="30"/>
      <c r="NA177" s="30"/>
      <c r="NB177" s="30"/>
      <c r="NC177" s="30"/>
      <c r="ND177" s="30"/>
      <c r="NE177" s="30"/>
      <c r="NF177" s="30"/>
      <c r="NG177" s="30"/>
      <c r="NH177" s="30"/>
      <c r="NI177" s="30"/>
      <c r="NJ177" s="30"/>
      <c r="NK177" s="30"/>
      <c r="NL177" s="30"/>
      <c r="NM177" s="30"/>
      <c r="NN177" s="30"/>
      <c r="NO177" s="30"/>
      <c r="NP177" s="30"/>
      <c r="NQ177" s="30"/>
      <c r="NR177" s="30"/>
      <c r="NS177" s="30"/>
      <c r="NT177" s="30"/>
      <c r="NU177" s="30"/>
      <c r="NV177" s="30"/>
      <c r="NW177" s="30"/>
      <c r="NX177" s="30"/>
      <c r="NY177" s="30"/>
      <c r="NZ177" s="30"/>
      <c r="OA177" s="30"/>
      <c r="OB177" s="30"/>
      <c r="OC177" s="30"/>
      <c r="OD177" s="30"/>
      <c r="OE177" s="30"/>
      <c r="OF177" s="30"/>
      <c r="OG177" s="30"/>
      <c r="OH177" s="30"/>
      <c r="OI177" s="30"/>
      <c r="OJ177" s="30"/>
      <c r="OK177" s="30"/>
      <c r="OL177" s="30"/>
      <c r="OM177" s="30"/>
      <c r="ON177" s="30"/>
      <c r="OO177" s="30"/>
      <c r="OP177" s="30"/>
      <c r="OQ177" s="30"/>
      <c r="OR177" s="30"/>
      <c r="OS177" s="30"/>
      <c r="OT177" s="30"/>
      <c r="OU177" s="30"/>
      <c r="OV177" s="30"/>
      <c r="OW177" s="30"/>
      <c r="OX177" s="30"/>
      <c r="OY177" s="30"/>
      <c r="OZ177" s="30"/>
      <c r="PA177" s="30"/>
      <c r="PB177" s="30"/>
      <c r="PC177" s="30"/>
      <c r="PD177" s="30"/>
      <c r="PE177" s="30"/>
      <c r="PF177" s="30"/>
      <c r="PG177" s="30"/>
      <c r="PH177" s="30"/>
      <c r="PI177" s="30"/>
      <c r="PJ177" s="30"/>
      <c r="PK177" s="30"/>
      <c r="PL177" s="30"/>
      <c r="PM177" s="30"/>
      <c r="PN177" s="30"/>
      <c r="PO177" s="30"/>
      <c r="PP177" s="30"/>
      <c r="PQ177" s="30"/>
      <c r="PR177" s="30"/>
      <c r="PS177" s="30"/>
      <c r="PT177" s="30"/>
      <c r="PU177" s="30"/>
      <c r="PV177" s="30"/>
      <c r="PW177" s="30"/>
      <c r="PX177" s="30"/>
      <c r="PY177" s="30"/>
      <c r="PZ177" s="30"/>
      <c r="QA177" s="30"/>
      <c r="QB177" s="30"/>
      <c r="QC177" s="30"/>
      <c r="QD177" s="30"/>
      <c r="QE177" s="30"/>
      <c r="QF177" s="30"/>
      <c r="QG177" s="30"/>
      <c r="QH177" s="30"/>
      <c r="QI177" s="30"/>
      <c r="QJ177" s="30"/>
      <c r="QK177" s="30"/>
      <c r="QL177" s="30"/>
      <c r="QM177" s="30"/>
      <c r="QN177" s="30"/>
      <c r="QO177" s="30"/>
      <c r="QP177" s="30"/>
      <c r="QQ177" s="30"/>
      <c r="QR177" s="30"/>
      <c r="QS177" s="30"/>
      <c r="QT177" s="30"/>
      <c r="QU177" s="30"/>
      <c r="QV177" s="30"/>
      <c r="QW177" s="30"/>
      <c r="QX177" s="30"/>
      <c r="QY177" s="30"/>
      <c r="QZ177" s="30"/>
      <c r="RA177" s="30"/>
      <c r="RB177" s="30"/>
      <c r="RC177" s="30"/>
      <c r="RD177" s="30"/>
      <c r="RE177" s="30"/>
      <c r="RF177" s="30"/>
      <c r="RG177" s="30"/>
      <c r="RH177" s="30"/>
      <c r="RI177" s="30"/>
      <c r="RJ177" s="30"/>
      <c r="RK177" s="30"/>
      <c r="RL177" s="30"/>
      <c r="RM177" s="30"/>
      <c r="RN177" s="30"/>
      <c r="RO177" s="30"/>
      <c r="RP177" s="30"/>
      <c r="RQ177" s="30"/>
      <c r="RR177" s="30"/>
      <c r="RS177" s="30"/>
      <c r="RT177" s="30"/>
      <c r="RU177" s="30"/>
      <c r="RV177" s="30"/>
      <c r="RW177" s="30"/>
      <c r="RX177" s="30"/>
      <c r="RY177" s="30"/>
      <c r="RZ177" s="30"/>
      <c r="SA177" s="30"/>
      <c r="SB177" s="30"/>
      <c r="SC177" s="30"/>
      <c r="SD177" s="30"/>
      <c r="SE177" s="30"/>
      <c r="SF177" s="30"/>
      <c r="SG177" s="30"/>
      <c r="SH177" s="30"/>
      <c r="SI177" s="30"/>
      <c r="SJ177" s="30"/>
      <c r="SK177" s="30"/>
      <c r="SL177" s="30"/>
      <c r="SM177" s="30"/>
      <c r="SN177" s="30"/>
      <c r="SO177" s="30"/>
      <c r="SP177" s="30"/>
      <c r="SQ177" s="30"/>
      <c r="SR177" s="30"/>
      <c r="SS177" s="30"/>
      <c r="ST177" s="30"/>
      <c r="SU177" s="30"/>
      <c r="SV177" s="30"/>
      <c r="SW177" s="30"/>
      <c r="SX177" s="30"/>
      <c r="SY177" s="30"/>
      <c r="SZ177" s="30"/>
      <c r="TA177" s="30"/>
      <c r="TB177" s="30"/>
      <c r="TC177" s="30"/>
      <c r="TD177" s="30"/>
      <c r="TE177" s="30"/>
      <c r="TF177" s="30"/>
      <c r="TG177" s="30"/>
    </row>
    <row r="178" spans="1:527" s="22" customFormat="1" ht="31.5" customHeight="1" x14ac:dyDescent="0.25">
      <c r="A178" s="60" t="s">
        <v>309</v>
      </c>
      <c r="B178" s="97" t="str">
        <f>'дод 8'!A121</f>
        <v>3241</v>
      </c>
      <c r="C178" s="97" t="str">
        <f>'дод 8'!B121</f>
        <v>1090</v>
      </c>
      <c r="D178" s="61" t="str">
        <f>'дод 8'!C121</f>
        <v>Забезпечення діяльності інших закладів у сфері соціального захисту і соціального забезпечення</v>
      </c>
      <c r="E178" s="103">
        <f t="shared" si="60"/>
        <v>6852708.5599999996</v>
      </c>
      <c r="F178" s="103">
        <f>6615708.56+38000+199000</f>
        <v>6852708.5599999996</v>
      </c>
      <c r="G178" s="103">
        <v>4074650</v>
      </c>
      <c r="H178" s="103">
        <v>333300</v>
      </c>
      <c r="I178" s="103"/>
      <c r="J178" s="103">
        <f t="shared" ref="J178:J182" si="63">L178+O178</f>
        <v>161000</v>
      </c>
      <c r="K178" s="103">
        <f>360000-199000</f>
        <v>161000</v>
      </c>
      <c r="L178" s="103"/>
      <c r="M178" s="103"/>
      <c r="N178" s="103"/>
      <c r="O178" s="103">
        <f>360000-199000</f>
        <v>161000</v>
      </c>
      <c r="P178" s="103">
        <f t="shared" si="61"/>
        <v>7013708.5599999996</v>
      </c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  <c r="IW178" s="23"/>
      <c r="IX178" s="23"/>
      <c r="IY178" s="23"/>
      <c r="IZ178" s="23"/>
      <c r="JA178" s="23"/>
      <c r="JB178" s="23"/>
      <c r="JC178" s="23"/>
      <c r="JD178" s="23"/>
      <c r="JE178" s="23"/>
      <c r="JF178" s="23"/>
      <c r="JG178" s="23"/>
      <c r="JH178" s="23"/>
      <c r="JI178" s="23"/>
      <c r="JJ178" s="23"/>
      <c r="JK178" s="23"/>
      <c r="JL178" s="23"/>
      <c r="JM178" s="23"/>
      <c r="JN178" s="23"/>
      <c r="JO178" s="23"/>
      <c r="JP178" s="23"/>
      <c r="JQ178" s="23"/>
      <c r="JR178" s="23"/>
      <c r="JS178" s="23"/>
      <c r="JT178" s="23"/>
      <c r="JU178" s="23"/>
      <c r="JV178" s="23"/>
      <c r="JW178" s="23"/>
      <c r="JX178" s="23"/>
      <c r="JY178" s="23"/>
      <c r="JZ178" s="23"/>
      <c r="KA178" s="23"/>
      <c r="KB178" s="23"/>
      <c r="KC178" s="23"/>
      <c r="KD178" s="23"/>
      <c r="KE178" s="23"/>
      <c r="KF178" s="23"/>
      <c r="KG178" s="23"/>
      <c r="KH178" s="23"/>
      <c r="KI178" s="23"/>
      <c r="KJ178" s="23"/>
      <c r="KK178" s="23"/>
      <c r="KL178" s="23"/>
      <c r="KM178" s="23"/>
      <c r="KN178" s="23"/>
      <c r="KO178" s="23"/>
      <c r="KP178" s="23"/>
      <c r="KQ178" s="23"/>
      <c r="KR178" s="23"/>
      <c r="KS178" s="23"/>
      <c r="KT178" s="23"/>
      <c r="KU178" s="23"/>
      <c r="KV178" s="23"/>
      <c r="KW178" s="23"/>
      <c r="KX178" s="23"/>
      <c r="KY178" s="23"/>
      <c r="KZ178" s="23"/>
      <c r="LA178" s="23"/>
      <c r="LB178" s="23"/>
      <c r="LC178" s="23"/>
      <c r="LD178" s="23"/>
      <c r="LE178" s="23"/>
      <c r="LF178" s="23"/>
      <c r="LG178" s="23"/>
      <c r="LH178" s="23"/>
      <c r="LI178" s="23"/>
      <c r="LJ178" s="23"/>
      <c r="LK178" s="23"/>
      <c r="LL178" s="23"/>
      <c r="LM178" s="23"/>
      <c r="LN178" s="23"/>
      <c r="LO178" s="23"/>
      <c r="LP178" s="23"/>
      <c r="LQ178" s="23"/>
      <c r="LR178" s="23"/>
      <c r="LS178" s="23"/>
      <c r="LT178" s="23"/>
      <c r="LU178" s="23"/>
      <c r="LV178" s="23"/>
      <c r="LW178" s="23"/>
      <c r="LX178" s="23"/>
      <c r="LY178" s="23"/>
      <c r="LZ178" s="23"/>
      <c r="MA178" s="23"/>
      <c r="MB178" s="23"/>
      <c r="MC178" s="23"/>
      <c r="MD178" s="23"/>
      <c r="ME178" s="23"/>
      <c r="MF178" s="23"/>
      <c r="MG178" s="23"/>
      <c r="MH178" s="23"/>
      <c r="MI178" s="23"/>
      <c r="MJ178" s="23"/>
      <c r="MK178" s="23"/>
      <c r="ML178" s="23"/>
      <c r="MM178" s="23"/>
      <c r="MN178" s="23"/>
      <c r="MO178" s="23"/>
      <c r="MP178" s="23"/>
      <c r="MQ178" s="23"/>
      <c r="MR178" s="23"/>
      <c r="MS178" s="23"/>
      <c r="MT178" s="23"/>
      <c r="MU178" s="23"/>
      <c r="MV178" s="23"/>
      <c r="MW178" s="23"/>
      <c r="MX178" s="23"/>
      <c r="MY178" s="23"/>
      <c r="MZ178" s="23"/>
      <c r="NA178" s="23"/>
      <c r="NB178" s="23"/>
      <c r="NC178" s="23"/>
      <c r="ND178" s="23"/>
      <c r="NE178" s="23"/>
      <c r="NF178" s="23"/>
      <c r="NG178" s="23"/>
      <c r="NH178" s="23"/>
      <c r="NI178" s="23"/>
      <c r="NJ178" s="23"/>
      <c r="NK178" s="23"/>
      <c r="NL178" s="23"/>
      <c r="NM178" s="23"/>
      <c r="NN178" s="23"/>
      <c r="NO178" s="23"/>
      <c r="NP178" s="23"/>
      <c r="NQ178" s="23"/>
      <c r="NR178" s="23"/>
      <c r="NS178" s="23"/>
      <c r="NT178" s="23"/>
      <c r="NU178" s="23"/>
      <c r="NV178" s="23"/>
      <c r="NW178" s="23"/>
      <c r="NX178" s="23"/>
      <c r="NY178" s="23"/>
      <c r="NZ178" s="23"/>
      <c r="OA178" s="23"/>
      <c r="OB178" s="23"/>
      <c r="OC178" s="23"/>
      <c r="OD178" s="23"/>
      <c r="OE178" s="23"/>
      <c r="OF178" s="23"/>
      <c r="OG178" s="23"/>
      <c r="OH178" s="23"/>
      <c r="OI178" s="23"/>
      <c r="OJ178" s="23"/>
      <c r="OK178" s="23"/>
      <c r="OL178" s="23"/>
      <c r="OM178" s="23"/>
      <c r="ON178" s="23"/>
      <c r="OO178" s="23"/>
      <c r="OP178" s="23"/>
      <c r="OQ178" s="23"/>
      <c r="OR178" s="23"/>
      <c r="OS178" s="23"/>
      <c r="OT178" s="23"/>
      <c r="OU178" s="23"/>
      <c r="OV178" s="23"/>
      <c r="OW178" s="23"/>
      <c r="OX178" s="23"/>
      <c r="OY178" s="23"/>
      <c r="OZ178" s="23"/>
      <c r="PA178" s="23"/>
      <c r="PB178" s="23"/>
      <c r="PC178" s="23"/>
      <c r="PD178" s="23"/>
      <c r="PE178" s="23"/>
      <c r="PF178" s="23"/>
      <c r="PG178" s="23"/>
      <c r="PH178" s="23"/>
      <c r="PI178" s="23"/>
      <c r="PJ178" s="23"/>
      <c r="PK178" s="23"/>
      <c r="PL178" s="23"/>
      <c r="PM178" s="23"/>
      <c r="PN178" s="23"/>
      <c r="PO178" s="23"/>
      <c r="PP178" s="23"/>
      <c r="PQ178" s="23"/>
      <c r="PR178" s="23"/>
      <c r="PS178" s="23"/>
      <c r="PT178" s="23"/>
      <c r="PU178" s="23"/>
      <c r="PV178" s="23"/>
      <c r="PW178" s="23"/>
      <c r="PX178" s="23"/>
      <c r="PY178" s="23"/>
      <c r="PZ178" s="23"/>
      <c r="QA178" s="23"/>
      <c r="QB178" s="23"/>
      <c r="QC178" s="23"/>
      <c r="QD178" s="23"/>
      <c r="QE178" s="23"/>
      <c r="QF178" s="23"/>
      <c r="QG178" s="23"/>
      <c r="QH178" s="23"/>
      <c r="QI178" s="23"/>
      <c r="QJ178" s="23"/>
      <c r="QK178" s="23"/>
      <c r="QL178" s="23"/>
      <c r="QM178" s="23"/>
      <c r="QN178" s="23"/>
      <c r="QO178" s="23"/>
      <c r="QP178" s="23"/>
      <c r="QQ178" s="23"/>
      <c r="QR178" s="23"/>
      <c r="QS178" s="23"/>
      <c r="QT178" s="23"/>
      <c r="QU178" s="23"/>
      <c r="QV178" s="23"/>
      <c r="QW178" s="23"/>
      <c r="QX178" s="23"/>
      <c r="QY178" s="23"/>
      <c r="QZ178" s="23"/>
      <c r="RA178" s="23"/>
      <c r="RB178" s="23"/>
      <c r="RC178" s="23"/>
      <c r="RD178" s="23"/>
      <c r="RE178" s="23"/>
      <c r="RF178" s="23"/>
      <c r="RG178" s="23"/>
      <c r="RH178" s="23"/>
      <c r="RI178" s="23"/>
      <c r="RJ178" s="23"/>
      <c r="RK178" s="23"/>
      <c r="RL178" s="23"/>
      <c r="RM178" s="23"/>
      <c r="RN178" s="23"/>
      <c r="RO178" s="23"/>
      <c r="RP178" s="23"/>
      <c r="RQ178" s="23"/>
      <c r="RR178" s="23"/>
      <c r="RS178" s="23"/>
      <c r="RT178" s="23"/>
      <c r="RU178" s="23"/>
      <c r="RV178" s="23"/>
      <c r="RW178" s="23"/>
      <c r="RX178" s="23"/>
      <c r="RY178" s="23"/>
      <c r="RZ178" s="23"/>
      <c r="SA178" s="23"/>
      <c r="SB178" s="23"/>
      <c r="SC178" s="23"/>
      <c r="SD178" s="23"/>
      <c r="SE178" s="23"/>
      <c r="SF178" s="23"/>
      <c r="SG178" s="23"/>
      <c r="SH178" s="23"/>
      <c r="SI178" s="23"/>
      <c r="SJ178" s="23"/>
      <c r="SK178" s="23"/>
      <c r="SL178" s="23"/>
      <c r="SM178" s="23"/>
      <c r="SN178" s="23"/>
      <c r="SO178" s="23"/>
      <c r="SP178" s="23"/>
      <c r="SQ178" s="23"/>
      <c r="SR178" s="23"/>
      <c r="SS178" s="23"/>
      <c r="ST178" s="23"/>
      <c r="SU178" s="23"/>
      <c r="SV178" s="23"/>
      <c r="SW178" s="23"/>
      <c r="SX178" s="23"/>
      <c r="SY178" s="23"/>
      <c r="SZ178" s="23"/>
      <c r="TA178" s="23"/>
      <c r="TB178" s="23"/>
      <c r="TC178" s="23"/>
      <c r="TD178" s="23"/>
      <c r="TE178" s="23"/>
      <c r="TF178" s="23"/>
      <c r="TG178" s="23"/>
    </row>
    <row r="179" spans="1:527" s="22" customFormat="1" ht="33" customHeight="1" x14ac:dyDescent="0.25">
      <c r="A179" s="60" t="s">
        <v>357</v>
      </c>
      <c r="B179" s="97" t="str">
        <f>'дод 8'!A122</f>
        <v>3242</v>
      </c>
      <c r="C179" s="97" t="str">
        <f>'дод 8'!B122</f>
        <v>1090</v>
      </c>
      <c r="D179" s="61" t="s">
        <v>526</v>
      </c>
      <c r="E179" s="103">
        <f t="shared" si="60"/>
        <v>38568892.549999997</v>
      </c>
      <c r="F179" s="103">
        <f>34325670+76000+12000+250000+1652252.55+881000+791200+57000+20770+189500+106000+5000+5000+10000+25000+47000+1000+45000+69500</f>
        <v>38568892.549999997</v>
      </c>
      <c r="G179" s="103"/>
      <c r="H179" s="103"/>
      <c r="I179" s="103"/>
      <c r="J179" s="103">
        <f t="shared" si="63"/>
        <v>45000</v>
      </c>
      <c r="K179" s="103">
        <v>45000</v>
      </c>
      <c r="L179" s="103"/>
      <c r="M179" s="103"/>
      <c r="N179" s="103"/>
      <c r="O179" s="103">
        <v>45000</v>
      </c>
      <c r="P179" s="103">
        <f t="shared" si="61"/>
        <v>38613892.549999997</v>
      </c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  <c r="IW179" s="23"/>
      <c r="IX179" s="23"/>
      <c r="IY179" s="23"/>
      <c r="IZ179" s="23"/>
      <c r="JA179" s="23"/>
      <c r="JB179" s="23"/>
      <c r="JC179" s="23"/>
      <c r="JD179" s="23"/>
      <c r="JE179" s="23"/>
      <c r="JF179" s="23"/>
      <c r="JG179" s="23"/>
      <c r="JH179" s="23"/>
      <c r="JI179" s="23"/>
      <c r="JJ179" s="23"/>
      <c r="JK179" s="23"/>
      <c r="JL179" s="23"/>
      <c r="JM179" s="23"/>
      <c r="JN179" s="23"/>
      <c r="JO179" s="23"/>
      <c r="JP179" s="23"/>
      <c r="JQ179" s="23"/>
      <c r="JR179" s="23"/>
      <c r="JS179" s="23"/>
      <c r="JT179" s="23"/>
      <c r="JU179" s="23"/>
      <c r="JV179" s="23"/>
      <c r="JW179" s="23"/>
      <c r="JX179" s="23"/>
      <c r="JY179" s="23"/>
      <c r="JZ179" s="23"/>
      <c r="KA179" s="23"/>
      <c r="KB179" s="23"/>
      <c r="KC179" s="23"/>
      <c r="KD179" s="23"/>
      <c r="KE179" s="23"/>
      <c r="KF179" s="23"/>
      <c r="KG179" s="23"/>
      <c r="KH179" s="23"/>
      <c r="KI179" s="23"/>
      <c r="KJ179" s="23"/>
      <c r="KK179" s="23"/>
      <c r="KL179" s="23"/>
      <c r="KM179" s="23"/>
      <c r="KN179" s="23"/>
      <c r="KO179" s="23"/>
      <c r="KP179" s="23"/>
      <c r="KQ179" s="23"/>
      <c r="KR179" s="23"/>
      <c r="KS179" s="23"/>
      <c r="KT179" s="23"/>
      <c r="KU179" s="23"/>
      <c r="KV179" s="23"/>
      <c r="KW179" s="23"/>
      <c r="KX179" s="23"/>
      <c r="KY179" s="23"/>
      <c r="KZ179" s="23"/>
      <c r="LA179" s="23"/>
      <c r="LB179" s="23"/>
      <c r="LC179" s="23"/>
      <c r="LD179" s="23"/>
      <c r="LE179" s="23"/>
      <c r="LF179" s="23"/>
      <c r="LG179" s="23"/>
      <c r="LH179" s="23"/>
      <c r="LI179" s="23"/>
      <c r="LJ179" s="23"/>
      <c r="LK179" s="23"/>
      <c r="LL179" s="23"/>
      <c r="LM179" s="23"/>
      <c r="LN179" s="23"/>
      <c r="LO179" s="23"/>
      <c r="LP179" s="23"/>
      <c r="LQ179" s="23"/>
      <c r="LR179" s="23"/>
      <c r="LS179" s="23"/>
      <c r="LT179" s="23"/>
      <c r="LU179" s="23"/>
      <c r="LV179" s="23"/>
      <c r="LW179" s="23"/>
      <c r="LX179" s="23"/>
      <c r="LY179" s="23"/>
      <c r="LZ179" s="23"/>
      <c r="MA179" s="23"/>
      <c r="MB179" s="23"/>
      <c r="MC179" s="23"/>
      <c r="MD179" s="23"/>
      <c r="ME179" s="23"/>
      <c r="MF179" s="23"/>
      <c r="MG179" s="23"/>
      <c r="MH179" s="23"/>
      <c r="MI179" s="23"/>
      <c r="MJ179" s="23"/>
      <c r="MK179" s="23"/>
      <c r="ML179" s="23"/>
      <c r="MM179" s="23"/>
      <c r="MN179" s="23"/>
      <c r="MO179" s="23"/>
      <c r="MP179" s="23"/>
      <c r="MQ179" s="23"/>
      <c r="MR179" s="23"/>
      <c r="MS179" s="23"/>
      <c r="MT179" s="23"/>
      <c r="MU179" s="23"/>
      <c r="MV179" s="23"/>
      <c r="MW179" s="23"/>
      <c r="MX179" s="23"/>
      <c r="MY179" s="23"/>
      <c r="MZ179" s="23"/>
      <c r="NA179" s="23"/>
      <c r="NB179" s="23"/>
      <c r="NC179" s="23"/>
      <c r="ND179" s="23"/>
      <c r="NE179" s="23"/>
      <c r="NF179" s="23"/>
      <c r="NG179" s="23"/>
      <c r="NH179" s="23"/>
      <c r="NI179" s="23"/>
      <c r="NJ179" s="23"/>
      <c r="NK179" s="23"/>
      <c r="NL179" s="23"/>
      <c r="NM179" s="23"/>
      <c r="NN179" s="23"/>
      <c r="NO179" s="23"/>
      <c r="NP179" s="23"/>
      <c r="NQ179" s="23"/>
      <c r="NR179" s="23"/>
      <c r="NS179" s="23"/>
      <c r="NT179" s="23"/>
      <c r="NU179" s="23"/>
      <c r="NV179" s="23"/>
      <c r="NW179" s="23"/>
      <c r="NX179" s="23"/>
      <c r="NY179" s="23"/>
      <c r="NZ179" s="23"/>
      <c r="OA179" s="23"/>
      <c r="OB179" s="23"/>
      <c r="OC179" s="23"/>
      <c r="OD179" s="23"/>
      <c r="OE179" s="23"/>
      <c r="OF179" s="23"/>
      <c r="OG179" s="23"/>
      <c r="OH179" s="23"/>
      <c r="OI179" s="23"/>
      <c r="OJ179" s="23"/>
      <c r="OK179" s="23"/>
      <c r="OL179" s="23"/>
      <c r="OM179" s="23"/>
      <c r="ON179" s="23"/>
      <c r="OO179" s="23"/>
      <c r="OP179" s="23"/>
      <c r="OQ179" s="23"/>
      <c r="OR179" s="23"/>
      <c r="OS179" s="23"/>
      <c r="OT179" s="23"/>
      <c r="OU179" s="23"/>
      <c r="OV179" s="23"/>
      <c r="OW179" s="23"/>
      <c r="OX179" s="23"/>
      <c r="OY179" s="23"/>
      <c r="OZ179" s="23"/>
      <c r="PA179" s="23"/>
      <c r="PB179" s="23"/>
      <c r="PC179" s="23"/>
      <c r="PD179" s="23"/>
      <c r="PE179" s="23"/>
      <c r="PF179" s="23"/>
      <c r="PG179" s="23"/>
      <c r="PH179" s="23"/>
      <c r="PI179" s="23"/>
      <c r="PJ179" s="23"/>
      <c r="PK179" s="23"/>
      <c r="PL179" s="23"/>
      <c r="PM179" s="23"/>
      <c r="PN179" s="23"/>
      <c r="PO179" s="23"/>
      <c r="PP179" s="23"/>
      <c r="PQ179" s="23"/>
      <c r="PR179" s="23"/>
      <c r="PS179" s="23"/>
      <c r="PT179" s="23"/>
      <c r="PU179" s="23"/>
      <c r="PV179" s="23"/>
      <c r="PW179" s="23"/>
      <c r="PX179" s="23"/>
      <c r="PY179" s="23"/>
      <c r="PZ179" s="23"/>
      <c r="QA179" s="23"/>
      <c r="QB179" s="23"/>
      <c r="QC179" s="23"/>
      <c r="QD179" s="23"/>
      <c r="QE179" s="23"/>
      <c r="QF179" s="23"/>
      <c r="QG179" s="23"/>
      <c r="QH179" s="23"/>
      <c r="QI179" s="23"/>
      <c r="QJ179" s="23"/>
      <c r="QK179" s="23"/>
      <c r="QL179" s="23"/>
      <c r="QM179" s="23"/>
      <c r="QN179" s="23"/>
      <c r="QO179" s="23"/>
      <c r="QP179" s="23"/>
      <c r="QQ179" s="23"/>
      <c r="QR179" s="23"/>
      <c r="QS179" s="23"/>
      <c r="QT179" s="23"/>
      <c r="QU179" s="23"/>
      <c r="QV179" s="23"/>
      <c r="QW179" s="23"/>
      <c r="QX179" s="23"/>
      <c r="QY179" s="23"/>
      <c r="QZ179" s="23"/>
      <c r="RA179" s="23"/>
      <c r="RB179" s="23"/>
      <c r="RC179" s="23"/>
      <c r="RD179" s="23"/>
      <c r="RE179" s="23"/>
      <c r="RF179" s="23"/>
      <c r="RG179" s="23"/>
      <c r="RH179" s="23"/>
      <c r="RI179" s="23"/>
      <c r="RJ179" s="23"/>
      <c r="RK179" s="23"/>
      <c r="RL179" s="23"/>
      <c r="RM179" s="23"/>
      <c r="RN179" s="23"/>
      <c r="RO179" s="23"/>
      <c r="RP179" s="23"/>
      <c r="RQ179" s="23"/>
      <c r="RR179" s="23"/>
      <c r="RS179" s="23"/>
      <c r="RT179" s="23"/>
      <c r="RU179" s="23"/>
      <c r="RV179" s="23"/>
      <c r="RW179" s="23"/>
      <c r="RX179" s="23"/>
      <c r="RY179" s="23"/>
      <c r="RZ179" s="23"/>
      <c r="SA179" s="23"/>
      <c r="SB179" s="23"/>
      <c r="SC179" s="23"/>
      <c r="SD179" s="23"/>
      <c r="SE179" s="23"/>
      <c r="SF179" s="23"/>
      <c r="SG179" s="23"/>
      <c r="SH179" s="23"/>
      <c r="SI179" s="23"/>
      <c r="SJ179" s="23"/>
      <c r="SK179" s="23"/>
      <c r="SL179" s="23"/>
      <c r="SM179" s="23"/>
      <c r="SN179" s="23"/>
      <c r="SO179" s="23"/>
      <c r="SP179" s="23"/>
      <c r="SQ179" s="23"/>
      <c r="SR179" s="23"/>
      <c r="SS179" s="23"/>
      <c r="ST179" s="23"/>
      <c r="SU179" s="23"/>
      <c r="SV179" s="23"/>
      <c r="SW179" s="23"/>
      <c r="SX179" s="23"/>
      <c r="SY179" s="23"/>
      <c r="SZ179" s="23"/>
      <c r="TA179" s="23"/>
      <c r="TB179" s="23"/>
      <c r="TC179" s="23"/>
      <c r="TD179" s="23"/>
      <c r="TE179" s="23"/>
      <c r="TF179" s="23"/>
      <c r="TG179" s="23"/>
    </row>
    <row r="180" spans="1:527" s="24" customFormat="1" ht="15" customHeight="1" x14ac:dyDescent="0.25">
      <c r="A180" s="88"/>
      <c r="B180" s="115"/>
      <c r="C180" s="115"/>
      <c r="D180" s="89" t="s">
        <v>395</v>
      </c>
      <c r="E180" s="105">
        <f t="shared" si="60"/>
        <v>348000</v>
      </c>
      <c r="F180" s="105">
        <f>336000+12000</f>
        <v>348000</v>
      </c>
      <c r="G180" s="105"/>
      <c r="H180" s="105"/>
      <c r="I180" s="105"/>
      <c r="J180" s="105">
        <f t="shared" si="63"/>
        <v>0</v>
      </c>
      <c r="K180" s="105"/>
      <c r="L180" s="105"/>
      <c r="M180" s="105"/>
      <c r="N180" s="105"/>
      <c r="O180" s="105"/>
      <c r="P180" s="105">
        <f t="shared" si="61"/>
        <v>348000</v>
      </c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  <c r="IW180" s="30"/>
      <c r="IX180" s="30"/>
      <c r="IY180" s="30"/>
      <c r="IZ180" s="30"/>
      <c r="JA180" s="30"/>
      <c r="JB180" s="30"/>
      <c r="JC180" s="30"/>
      <c r="JD180" s="30"/>
      <c r="JE180" s="30"/>
      <c r="JF180" s="30"/>
      <c r="JG180" s="30"/>
      <c r="JH180" s="30"/>
      <c r="JI180" s="30"/>
      <c r="JJ180" s="30"/>
      <c r="JK180" s="30"/>
      <c r="JL180" s="30"/>
      <c r="JM180" s="30"/>
      <c r="JN180" s="30"/>
      <c r="JO180" s="30"/>
      <c r="JP180" s="30"/>
      <c r="JQ180" s="30"/>
      <c r="JR180" s="30"/>
      <c r="JS180" s="30"/>
      <c r="JT180" s="30"/>
      <c r="JU180" s="30"/>
      <c r="JV180" s="30"/>
      <c r="JW180" s="30"/>
      <c r="JX180" s="30"/>
      <c r="JY180" s="30"/>
      <c r="JZ180" s="30"/>
      <c r="KA180" s="30"/>
      <c r="KB180" s="30"/>
      <c r="KC180" s="30"/>
      <c r="KD180" s="30"/>
      <c r="KE180" s="30"/>
      <c r="KF180" s="30"/>
      <c r="KG180" s="30"/>
      <c r="KH180" s="30"/>
      <c r="KI180" s="30"/>
      <c r="KJ180" s="30"/>
      <c r="KK180" s="30"/>
      <c r="KL180" s="30"/>
      <c r="KM180" s="30"/>
      <c r="KN180" s="30"/>
      <c r="KO180" s="30"/>
      <c r="KP180" s="30"/>
      <c r="KQ180" s="30"/>
      <c r="KR180" s="30"/>
      <c r="KS180" s="30"/>
      <c r="KT180" s="30"/>
      <c r="KU180" s="30"/>
      <c r="KV180" s="30"/>
      <c r="KW180" s="30"/>
      <c r="KX180" s="30"/>
      <c r="KY180" s="30"/>
      <c r="KZ180" s="30"/>
      <c r="LA180" s="30"/>
      <c r="LB180" s="30"/>
      <c r="LC180" s="30"/>
      <c r="LD180" s="30"/>
      <c r="LE180" s="30"/>
      <c r="LF180" s="30"/>
      <c r="LG180" s="30"/>
      <c r="LH180" s="30"/>
      <c r="LI180" s="30"/>
      <c r="LJ180" s="30"/>
      <c r="LK180" s="30"/>
      <c r="LL180" s="30"/>
      <c r="LM180" s="30"/>
      <c r="LN180" s="30"/>
      <c r="LO180" s="30"/>
      <c r="LP180" s="30"/>
      <c r="LQ180" s="30"/>
      <c r="LR180" s="30"/>
      <c r="LS180" s="30"/>
      <c r="LT180" s="30"/>
      <c r="LU180" s="30"/>
      <c r="LV180" s="30"/>
      <c r="LW180" s="30"/>
      <c r="LX180" s="30"/>
      <c r="LY180" s="30"/>
      <c r="LZ180" s="30"/>
      <c r="MA180" s="30"/>
      <c r="MB180" s="30"/>
      <c r="MC180" s="30"/>
      <c r="MD180" s="30"/>
      <c r="ME180" s="30"/>
      <c r="MF180" s="30"/>
      <c r="MG180" s="30"/>
      <c r="MH180" s="30"/>
      <c r="MI180" s="30"/>
      <c r="MJ180" s="30"/>
      <c r="MK180" s="30"/>
      <c r="ML180" s="30"/>
      <c r="MM180" s="30"/>
      <c r="MN180" s="30"/>
      <c r="MO180" s="30"/>
      <c r="MP180" s="30"/>
      <c r="MQ180" s="30"/>
      <c r="MR180" s="30"/>
      <c r="MS180" s="30"/>
      <c r="MT180" s="30"/>
      <c r="MU180" s="30"/>
      <c r="MV180" s="30"/>
      <c r="MW180" s="30"/>
      <c r="MX180" s="30"/>
      <c r="MY180" s="30"/>
      <c r="MZ180" s="30"/>
      <c r="NA180" s="30"/>
      <c r="NB180" s="30"/>
      <c r="NC180" s="30"/>
      <c r="ND180" s="30"/>
      <c r="NE180" s="30"/>
      <c r="NF180" s="30"/>
      <c r="NG180" s="30"/>
      <c r="NH180" s="30"/>
      <c r="NI180" s="30"/>
      <c r="NJ180" s="30"/>
      <c r="NK180" s="30"/>
      <c r="NL180" s="30"/>
      <c r="NM180" s="30"/>
      <c r="NN180" s="30"/>
      <c r="NO180" s="30"/>
      <c r="NP180" s="30"/>
      <c r="NQ180" s="30"/>
      <c r="NR180" s="30"/>
      <c r="NS180" s="30"/>
      <c r="NT180" s="30"/>
      <c r="NU180" s="30"/>
      <c r="NV180" s="30"/>
      <c r="NW180" s="30"/>
      <c r="NX180" s="30"/>
      <c r="NY180" s="30"/>
      <c r="NZ180" s="30"/>
      <c r="OA180" s="30"/>
      <c r="OB180" s="30"/>
      <c r="OC180" s="30"/>
      <c r="OD180" s="30"/>
      <c r="OE180" s="30"/>
      <c r="OF180" s="30"/>
      <c r="OG180" s="30"/>
      <c r="OH180" s="30"/>
      <c r="OI180" s="30"/>
      <c r="OJ180" s="30"/>
      <c r="OK180" s="30"/>
      <c r="OL180" s="30"/>
      <c r="OM180" s="30"/>
      <c r="ON180" s="30"/>
      <c r="OO180" s="30"/>
      <c r="OP180" s="30"/>
      <c r="OQ180" s="30"/>
      <c r="OR180" s="30"/>
      <c r="OS180" s="30"/>
      <c r="OT180" s="30"/>
      <c r="OU180" s="30"/>
      <c r="OV180" s="30"/>
      <c r="OW180" s="30"/>
      <c r="OX180" s="30"/>
      <c r="OY180" s="30"/>
      <c r="OZ180" s="30"/>
      <c r="PA180" s="30"/>
      <c r="PB180" s="30"/>
      <c r="PC180" s="30"/>
      <c r="PD180" s="30"/>
      <c r="PE180" s="30"/>
      <c r="PF180" s="30"/>
      <c r="PG180" s="30"/>
      <c r="PH180" s="30"/>
      <c r="PI180" s="30"/>
      <c r="PJ180" s="30"/>
      <c r="PK180" s="30"/>
      <c r="PL180" s="30"/>
      <c r="PM180" s="30"/>
      <c r="PN180" s="30"/>
      <c r="PO180" s="30"/>
      <c r="PP180" s="30"/>
      <c r="PQ180" s="30"/>
      <c r="PR180" s="30"/>
      <c r="PS180" s="30"/>
      <c r="PT180" s="30"/>
      <c r="PU180" s="30"/>
      <c r="PV180" s="30"/>
      <c r="PW180" s="30"/>
      <c r="PX180" s="30"/>
      <c r="PY180" s="30"/>
      <c r="PZ180" s="30"/>
      <c r="QA180" s="30"/>
      <c r="QB180" s="30"/>
      <c r="QC180" s="30"/>
      <c r="QD180" s="30"/>
      <c r="QE180" s="30"/>
      <c r="QF180" s="30"/>
      <c r="QG180" s="30"/>
      <c r="QH180" s="30"/>
      <c r="QI180" s="30"/>
      <c r="QJ180" s="30"/>
      <c r="QK180" s="30"/>
      <c r="QL180" s="30"/>
      <c r="QM180" s="30"/>
      <c r="QN180" s="30"/>
      <c r="QO180" s="30"/>
      <c r="QP180" s="30"/>
      <c r="QQ180" s="30"/>
      <c r="QR180" s="30"/>
      <c r="QS180" s="30"/>
      <c r="QT180" s="30"/>
      <c r="QU180" s="30"/>
      <c r="QV180" s="30"/>
      <c r="QW180" s="30"/>
      <c r="QX180" s="30"/>
      <c r="QY180" s="30"/>
      <c r="QZ180" s="30"/>
      <c r="RA180" s="30"/>
      <c r="RB180" s="30"/>
      <c r="RC180" s="30"/>
      <c r="RD180" s="30"/>
      <c r="RE180" s="30"/>
      <c r="RF180" s="30"/>
      <c r="RG180" s="30"/>
      <c r="RH180" s="30"/>
      <c r="RI180" s="30"/>
      <c r="RJ180" s="30"/>
      <c r="RK180" s="30"/>
      <c r="RL180" s="30"/>
      <c r="RM180" s="30"/>
      <c r="RN180" s="30"/>
      <c r="RO180" s="30"/>
      <c r="RP180" s="30"/>
      <c r="RQ180" s="30"/>
      <c r="RR180" s="30"/>
      <c r="RS180" s="30"/>
      <c r="RT180" s="30"/>
      <c r="RU180" s="30"/>
      <c r="RV180" s="30"/>
      <c r="RW180" s="30"/>
      <c r="RX180" s="30"/>
      <c r="RY180" s="30"/>
      <c r="RZ180" s="30"/>
      <c r="SA180" s="30"/>
      <c r="SB180" s="30"/>
      <c r="SC180" s="30"/>
      <c r="SD180" s="30"/>
      <c r="SE180" s="30"/>
      <c r="SF180" s="30"/>
      <c r="SG180" s="30"/>
      <c r="SH180" s="30"/>
      <c r="SI180" s="30"/>
      <c r="SJ180" s="30"/>
      <c r="SK180" s="30"/>
      <c r="SL180" s="30"/>
      <c r="SM180" s="30"/>
      <c r="SN180" s="30"/>
      <c r="SO180" s="30"/>
      <c r="SP180" s="30"/>
      <c r="SQ180" s="30"/>
      <c r="SR180" s="30"/>
      <c r="SS180" s="30"/>
      <c r="ST180" s="30"/>
      <c r="SU180" s="30"/>
      <c r="SV180" s="30"/>
      <c r="SW180" s="30"/>
      <c r="SX180" s="30"/>
      <c r="SY180" s="30"/>
      <c r="SZ180" s="30"/>
      <c r="TA180" s="30"/>
      <c r="TB180" s="30"/>
      <c r="TC180" s="30"/>
      <c r="TD180" s="30"/>
      <c r="TE180" s="30"/>
      <c r="TF180" s="30"/>
      <c r="TG180" s="30"/>
    </row>
    <row r="181" spans="1:527" s="22" customFormat="1" ht="18.75" x14ac:dyDescent="0.25">
      <c r="A181" s="60" t="s">
        <v>419</v>
      </c>
      <c r="B181" s="97">
        <v>7323</v>
      </c>
      <c r="C181" s="60" t="s">
        <v>113</v>
      </c>
      <c r="D181" s="149" t="s">
        <v>571</v>
      </c>
      <c r="E181" s="103">
        <f t="shared" si="60"/>
        <v>0</v>
      </c>
      <c r="F181" s="103"/>
      <c r="G181" s="103"/>
      <c r="H181" s="103"/>
      <c r="I181" s="103"/>
      <c r="J181" s="103">
        <f t="shared" si="63"/>
        <v>400000</v>
      </c>
      <c r="K181" s="103">
        <v>400000</v>
      </c>
      <c r="L181" s="103"/>
      <c r="M181" s="103"/>
      <c r="N181" s="103"/>
      <c r="O181" s="103">
        <v>400000</v>
      </c>
      <c r="P181" s="103">
        <f t="shared" si="61"/>
        <v>400000</v>
      </c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  <c r="IW181" s="23"/>
      <c r="IX181" s="23"/>
      <c r="IY181" s="23"/>
      <c r="IZ181" s="23"/>
      <c r="JA181" s="23"/>
      <c r="JB181" s="23"/>
      <c r="JC181" s="23"/>
      <c r="JD181" s="23"/>
      <c r="JE181" s="23"/>
      <c r="JF181" s="23"/>
      <c r="JG181" s="23"/>
      <c r="JH181" s="23"/>
      <c r="JI181" s="23"/>
      <c r="JJ181" s="23"/>
      <c r="JK181" s="23"/>
      <c r="JL181" s="23"/>
      <c r="JM181" s="23"/>
      <c r="JN181" s="23"/>
      <c r="JO181" s="23"/>
      <c r="JP181" s="23"/>
      <c r="JQ181" s="23"/>
      <c r="JR181" s="23"/>
      <c r="JS181" s="23"/>
      <c r="JT181" s="23"/>
      <c r="JU181" s="23"/>
      <c r="JV181" s="23"/>
      <c r="JW181" s="23"/>
      <c r="JX181" s="23"/>
      <c r="JY181" s="23"/>
      <c r="JZ181" s="23"/>
      <c r="KA181" s="23"/>
      <c r="KB181" s="23"/>
      <c r="KC181" s="23"/>
      <c r="KD181" s="23"/>
      <c r="KE181" s="23"/>
      <c r="KF181" s="23"/>
      <c r="KG181" s="23"/>
      <c r="KH181" s="23"/>
      <c r="KI181" s="23"/>
      <c r="KJ181" s="23"/>
      <c r="KK181" s="23"/>
      <c r="KL181" s="23"/>
      <c r="KM181" s="23"/>
      <c r="KN181" s="23"/>
      <c r="KO181" s="23"/>
      <c r="KP181" s="23"/>
      <c r="KQ181" s="23"/>
      <c r="KR181" s="23"/>
      <c r="KS181" s="23"/>
      <c r="KT181" s="23"/>
      <c r="KU181" s="23"/>
      <c r="KV181" s="23"/>
      <c r="KW181" s="23"/>
      <c r="KX181" s="23"/>
      <c r="KY181" s="23"/>
      <c r="KZ181" s="23"/>
      <c r="LA181" s="23"/>
      <c r="LB181" s="23"/>
      <c r="LC181" s="23"/>
      <c r="LD181" s="23"/>
      <c r="LE181" s="23"/>
      <c r="LF181" s="23"/>
      <c r="LG181" s="23"/>
      <c r="LH181" s="23"/>
      <c r="LI181" s="23"/>
      <c r="LJ181" s="23"/>
      <c r="LK181" s="23"/>
      <c r="LL181" s="23"/>
      <c r="LM181" s="23"/>
      <c r="LN181" s="23"/>
      <c r="LO181" s="23"/>
      <c r="LP181" s="23"/>
      <c r="LQ181" s="23"/>
      <c r="LR181" s="23"/>
      <c r="LS181" s="23"/>
      <c r="LT181" s="23"/>
      <c r="LU181" s="23"/>
      <c r="LV181" s="23"/>
      <c r="LW181" s="23"/>
      <c r="LX181" s="23"/>
      <c r="LY181" s="23"/>
      <c r="LZ181" s="23"/>
      <c r="MA181" s="23"/>
      <c r="MB181" s="23"/>
      <c r="MC181" s="23"/>
      <c r="MD181" s="23"/>
      <c r="ME181" s="23"/>
      <c r="MF181" s="23"/>
      <c r="MG181" s="23"/>
      <c r="MH181" s="23"/>
      <c r="MI181" s="23"/>
      <c r="MJ181" s="23"/>
      <c r="MK181" s="23"/>
      <c r="ML181" s="23"/>
      <c r="MM181" s="23"/>
      <c r="MN181" s="23"/>
      <c r="MO181" s="23"/>
      <c r="MP181" s="23"/>
      <c r="MQ181" s="23"/>
      <c r="MR181" s="23"/>
      <c r="MS181" s="23"/>
      <c r="MT181" s="23"/>
      <c r="MU181" s="23"/>
      <c r="MV181" s="23"/>
      <c r="MW181" s="23"/>
      <c r="MX181" s="23"/>
      <c r="MY181" s="23"/>
      <c r="MZ181" s="23"/>
      <c r="NA181" s="23"/>
      <c r="NB181" s="23"/>
      <c r="NC181" s="23"/>
      <c r="ND181" s="23"/>
      <c r="NE181" s="23"/>
      <c r="NF181" s="23"/>
      <c r="NG181" s="23"/>
      <c r="NH181" s="23"/>
      <c r="NI181" s="23"/>
      <c r="NJ181" s="23"/>
      <c r="NK181" s="23"/>
      <c r="NL181" s="23"/>
      <c r="NM181" s="23"/>
      <c r="NN181" s="23"/>
      <c r="NO181" s="23"/>
      <c r="NP181" s="23"/>
      <c r="NQ181" s="23"/>
      <c r="NR181" s="23"/>
      <c r="NS181" s="23"/>
      <c r="NT181" s="23"/>
      <c r="NU181" s="23"/>
      <c r="NV181" s="23"/>
      <c r="NW181" s="23"/>
      <c r="NX181" s="23"/>
      <c r="NY181" s="23"/>
      <c r="NZ181" s="23"/>
      <c r="OA181" s="23"/>
      <c r="OB181" s="23"/>
      <c r="OC181" s="23"/>
      <c r="OD181" s="23"/>
      <c r="OE181" s="23"/>
      <c r="OF181" s="23"/>
      <c r="OG181" s="23"/>
      <c r="OH181" s="23"/>
      <c r="OI181" s="23"/>
      <c r="OJ181" s="23"/>
      <c r="OK181" s="23"/>
      <c r="OL181" s="23"/>
      <c r="OM181" s="23"/>
      <c r="ON181" s="23"/>
      <c r="OO181" s="23"/>
      <c r="OP181" s="23"/>
      <c r="OQ181" s="23"/>
      <c r="OR181" s="23"/>
      <c r="OS181" s="23"/>
      <c r="OT181" s="23"/>
      <c r="OU181" s="23"/>
      <c r="OV181" s="23"/>
      <c r="OW181" s="23"/>
      <c r="OX181" s="23"/>
      <c r="OY181" s="23"/>
      <c r="OZ181" s="23"/>
      <c r="PA181" s="23"/>
      <c r="PB181" s="23"/>
      <c r="PC181" s="23"/>
      <c r="PD181" s="23"/>
      <c r="PE181" s="23"/>
      <c r="PF181" s="23"/>
      <c r="PG181" s="23"/>
      <c r="PH181" s="23"/>
      <c r="PI181" s="23"/>
      <c r="PJ181" s="23"/>
      <c r="PK181" s="23"/>
      <c r="PL181" s="23"/>
      <c r="PM181" s="23"/>
      <c r="PN181" s="23"/>
      <c r="PO181" s="23"/>
      <c r="PP181" s="23"/>
      <c r="PQ181" s="23"/>
      <c r="PR181" s="23"/>
      <c r="PS181" s="23"/>
      <c r="PT181" s="23"/>
      <c r="PU181" s="23"/>
      <c r="PV181" s="23"/>
      <c r="PW181" s="23"/>
      <c r="PX181" s="23"/>
      <c r="PY181" s="23"/>
      <c r="PZ181" s="23"/>
      <c r="QA181" s="23"/>
      <c r="QB181" s="23"/>
      <c r="QC181" s="23"/>
      <c r="QD181" s="23"/>
      <c r="QE181" s="23"/>
      <c r="QF181" s="23"/>
      <c r="QG181" s="23"/>
      <c r="QH181" s="23"/>
      <c r="QI181" s="23"/>
      <c r="QJ181" s="23"/>
      <c r="QK181" s="23"/>
      <c r="QL181" s="23"/>
      <c r="QM181" s="23"/>
      <c r="QN181" s="23"/>
      <c r="QO181" s="23"/>
      <c r="QP181" s="23"/>
      <c r="QQ181" s="23"/>
      <c r="QR181" s="23"/>
      <c r="QS181" s="23"/>
      <c r="QT181" s="23"/>
      <c r="QU181" s="23"/>
      <c r="QV181" s="23"/>
      <c r="QW181" s="23"/>
      <c r="QX181" s="23"/>
      <c r="QY181" s="23"/>
      <c r="QZ181" s="23"/>
      <c r="RA181" s="23"/>
      <c r="RB181" s="23"/>
      <c r="RC181" s="23"/>
      <c r="RD181" s="23"/>
      <c r="RE181" s="23"/>
      <c r="RF181" s="23"/>
      <c r="RG181" s="23"/>
      <c r="RH181" s="23"/>
      <c r="RI181" s="23"/>
      <c r="RJ181" s="23"/>
      <c r="RK181" s="23"/>
      <c r="RL181" s="23"/>
      <c r="RM181" s="23"/>
      <c r="RN181" s="23"/>
      <c r="RO181" s="23"/>
      <c r="RP181" s="23"/>
      <c r="RQ181" s="23"/>
      <c r="RR181" s="23"/>
      <c r="RS181" s="23"/>
      <c r="RT181" s="23"/>
      <c r="RU181" s="23"/>
      <c r="RV181" s="23"/>
      <c r="RW181" s="23"/>
      <c r="RX181" s="23"/>
      <c r="RY181" s="23"/>
      <c r="RZ181" s="23"/>
      <c r="SA181" s="23"/>
      <c r="SB181" s="23"/>
      <c r="SC181" s="23"/>
      <c r="SD181" s="23"/>
      <c r="SE181" s="23"/>
      <c r="SF181" s="23"/>
      <c r="SG181" s="23"/>
      <c r="SH181" s="23"/>
      <c r="SI181" s="23"/>
      <c r="SJ181" s="23"/>
      <c r="SK181" s="23"/>
      <c r="SL181" s="23"/>
      <c r="SM181" s="23"/>
      <c r="SN181" s="23"/>
      <c r="SO181" s="23"/>
      <c r="SP181" s="23"/>
      <c r="SQ181" s="23"/>
      <c r="SR181" s="23"/>
      <c r="SS181" s="23"/>
      <c r="ST181" s="23"/>
      <c r="SU181" s="23"/>
      <c r="SV181" s="23"/>
      <c r="SW181" s="23"/>
      <c r="SX181" s="23"/>
      <c r="SY181" s="23"/>
      <c r="SZ181" s="23"/>
      <c r="TA181" s="23"/>
      <c r="TB181" s="23"/>
      <c r="TC181" s="23"/>
      <c r="TD181" s="23"/>
      <c r="TE181" s="23"/>
      <c r="TF181" s="23"/>
      <c r="TG181" s="23"/>
    </row>
    <row r="182" spans="1:527" s="22" customFormat="1" ht="22.5" customHeight="1" x14ac:dyDescent="0.25">
      <c r="A182" s="60" t="s">
        <v>267</v>
      </c>
      <c r="B182" s="97" t="str">
        <f>'дод 8'!A224</f>
        <v>9770</v>
      </c>
      <c r="C182" s="97" t="str">
        <f>'дод 8'!B224</f>
        <v>0180</v>
      </c>
      <c r="D182" s="61" t="str">
        <f>'дод 8'!C224</f>
        <v>Інші субвенції з місцевого бюджету</v>
      </c>
      <c r="E182" s="103">
        <f t="shared" si="60"/>
        <v>2500000</v>
      </c>
      <c r="F182" s="103">
        <v>2500000</v>
      </c>
      <c r="G182" s="103"/>
      <c r="H182" s="103"/>
      <c r="I182" s="103"/>
      <c r="J182" s="103">
        <f t="shared" si="63"/>
        <v>0</v>
      </c>
      <c r="K182" s="103"/>
      <c r="L182" s="103"/>
      <c r="M182" s="103"/>
      <c r="N182" s="103"/>
      <c r="O182" s="103"/>
      <c r="P182" s="103">
        <f t="shared" si="61"/>
        <v>2500000</v>
      </c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  <c r="TF182" s="23"/>
      <c r="TG182" s="23"/>
    </row>
    <row r="183" spans="1:527" s="27" customFormat="1" ht="31.5" x14ac:dyDescent="0.25">
      <c r="A183" s="110" t="s">
        <v>190</v>
      </c>
      <c r="B183" s="39"/>
      <c r="C183" s="39"/>
      <c r="D183" s="111" t="s">
        <v>365</v>
      </c>
      <c r="E183" s="99">
        <f>E184</f>
        <v>5889080</v>
      </c>
      <c r="F183" s="99">
        <f t="shared" ref="F183:J183" si="64">F184</f>
        <v>5889080</v>
      </c>
      <c r="G183" s="99">
        <f t="shared" si="64"/>
        <v>4491300</v>
      </c>
      <c r="H183" s="99">
        <f t="shared" si="64"/>
        <v>51600</v>
      </c>
      <c r="I183" s="99">
        <f t="shared" si="64"/>
        <v>0</v>
      </c>
      <c r="J183" s="99">
        <f t="shared" si="64"/>
        <v>30000</v>
      </c>
      <c r="K183" s="99">
        <f t="shared" ref="K183" si="65">K184</f>
        <v>30000</v>
      </c>
      <c r="L183" s="99">
        <f t="shared" ref="L183" si="66">L184</f>
        <v>0</v>
      </c>
      <c r="M183" s="99">
        <f t="shared" ref="M183" si="67">M184</f>
        <v>0</v>
      </c>
      <c r="N183" s="99">
        <f t="shared" ref="N183" si="68">N184</f>
        <v>0</v>
      </c>
      <c r="O183" s="99">
        <f t="shared" ref="O183:P183" si="69">O184</f>
        <v>30000</v>
      </c>
      <c r="P183" s="99">
        <f t="shared" si="69"/>
        <v>5919080</v>
      </c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32"/>
      <c r="HO183" s="32"/>
      <c r="HP183" s="32"/>
      <c r="HQ183" s="32"/>
      <c r="HR183" s="32"/>
      <c r="HS183" s="32"/>
      <c r="HT183" s="32"/>
      <c r="HU183" s="32"/>
      <c r="HV183" s="32"/>
      <c r="HW183" s="32"/>
      <c r="HX183" s="32"/>
      <c r="HY183" s="32"/>
      <c r="HZ183" s="32"/>
      <c r="IA183" s="32"/>
      <c r="IB183" s="32"/>
      <c r="IC183" s="32"/>
      <c r="ID183" s="32"/>
      <c r="IE183" s="32"/>
      <c r="IF183" s="32"/>
      <c r="IG183" s="32"/>
      <c r="IH183" s="32"/>
      <c r="II183" s="32"/>
      <c r="IJ183" s="32"/>
      <c r="IK183" s="32"/>
      <c r="IL183" s="32"/>
      <c r="IM183" s="32"/>
      <c r="IN183" s="32"/>
      <c r="IO183" s="32"/>
      <c r="IP183" s="32"/>
      <c r="IQ183" s="32"/>
      <c r="IR183" s="32"/>
      <c r="IS183" s="32"/>
      <c r="IT183" s="32"/>
      <c r="IU183" s="32"/>
      <c r="IV183" s="32"/>
      <c r="IW183" s="32"/>
      <c r="IX183" s="32"/>
      <c r="IY183" s="32"/>
      <c r="IZ183" s="32"/>
      <c r="JA183" s="32"/>
      <c r="JB183" s="32"/>
      <c r="JC183" s="32"/>
      <c r="JD183" s="32"/>
      <c r="JE183" s="32"/>
      <c r="JF183" s="32"/>
      <c r="JG183" s="32"/>
      <c r="JH183" s="32"/>
      <c r="JI183" s="32"/>
      <c r="JJ183" s="32"/>
      <c r="JK183" s="32"/>
      <c r="JL183" s="32"/>
      <c r="JM183" s="32"/>
      <c r="JN183" s="32"/>
      <c r="JO183" s="32"/>
      <c r="JP183" s="32"/>
      <c r="JQ183" s="32"/>
      <c r="JR183" s="32"/>
      <c r="JS183" s="32"/>
      <c r="JT183" s="32"/>
      <c r="JU183" s="32"/>
      <c r="JV183" s="32"/>
      <c r="JW183" s="32"/>
      <c r="JX183" s="32"/>
      <c r="JY183" s="32"/>
      <c r="JZ183" s="32"/>
      <c r="KA183" s="32"/>
      <c r="KB183" s="32"/>
      <c r="KC183" s="32"/>
      <c r="KD183" s="32"/>
      <c r="KE183" s="32"/>
      <c r="KF183" s="32"/>
      <c r="KG183" s="32"/>
      <c r="KH183" s="32"/>
      <c r="KI183" s="32"/>
      <c r="KJ183" s="32"/>
      <c r="KK183" s="32"/>
      <c r="KL183" s="32"/>
      <c r="KM183" s="32"/>
      <c r="KN183" s="32"/>
      <c r="KO183" s="32"/>
      <c r="KP183" s="32"/>
      <c r="KQ183" s="32"/>
      <c r="KR183" s="32"/>
      <c r="KS183" s="32"/>
      <c r="KT183" s="32"/>
      <c r="KU183" s="32"/>
      <c r="KV183" s="32"/>
      <c r="KW183" s="32"/>
      <c r="KX183" s="32"/>
      <c r="KY183" s="32"/>
      <c r="KZ183" s="32"/>
      <c r="LA183" s="32"/>
      <c r="LB183" s="32"/>
      <c r="LC183" s="32"/>
      <c r="LD183" s="32"/>
      <c r="LE183" s="32"/>
      <c r="LF183" s="32"/>
      <c r="LG183" s="32"/>
      <c r="LH183" s="32"/>
      <c r="LI183" s="32"/>
      <c r="LJ183" s="32"/>
      <c r="LK183" s="32"/>
      <c r="LL183" s="32"/>
      <c r="LM183" s="32"/>
      <c r="LN183" s="32"/>
      <c r="LO183" s="32"/>
      <c r="LP183" s="32"/>
      <c r="LQ183" s="32"/>
      <c r="LR183" s="32"/>
      <c r="LS183" s="32"/>
      <c r="LT183" s="32"/>
      <c r="LU183" s="32"/>
      <c r="LV183" s="32"/>
      <c r="LW183" s="32"/>
      <c r="LX183" s="32"/>
      <c r="LY183" s="32"/>
      <c r="LZ183" s="32"/>
      <c r="MA183" s="32"/>
      <c r="MB183" s="32"/>
      <c r="MC183" s="32"/>
      <c r="MD183" s="32"/>
      <c r="ME183" s="32"/>
      <c r="MF183" s="32"/>
      <c r="MG183" s="32"/>
      <c r="MH183" s="32"/>
      <c r="MI183" s="32"/>
      <c r="MJ183" s="32"/>
      <c r="MK183" s="32"/>
      <c r="ML183" s="32"/>
      <c r="MM183" s="32"/>
      <c r="MN183" s="32"/>
      <c r="MO183" s="32"/>
      <c r="MP183" s="32"/>
      <c r="MQ183" s="32"/>
      <c r="MR183" s="32"/>
      <c r="MS183" s="32"/>
      <c r="MT183" s="32"/>
      <c r="MU183" s="32"/>
      <c r="MV183" s="32"/>
      <c r="MW183" s="32"/>
      <c r="MX183" s="32"/>
      <c r="MY183" s="32"/>
      <c r="MZ183" s="32"/>
      <c r="NA183" s="32"/>
      <c r="NB183" s="32"/>
      <c r="NC183" s="32"/>
      <c r="ND183" s="32"/>
      <c r="NE183" s="32"/>
      <c r="NF183" s="32"/>
      <c r="NG183" s="32"/>
      <c r="NH183" s="32"/>
      <c r="NI183" s="32"/>
      <c r="NJ183" s="32"/>
      <c r="NK183" s="32"/>
      <c r="NL183" s="32"/>
      <c r="NM183" s="32"/>
      <c r="NN183" s="32"/>
      <c r="NO183" s="32"/>
      <c r="NP183" s="32"/>
      <c r="NQ183" s="32"/>
      <c r="NR183" s="32"/>
      <c r="NS183" s="32"/>
      <c r="NT183" s="32"/>
      <c r="NU183" s="32"/>
      <c r="NV183" s="32"/>
      <c r="NW183" s="32"/>
      <c r="NX183" s="32"/>
      <c r="NY183" s="32"/>
      <c r="NZ183" s="32"/>
      <c r="OA183" s="32"/>
      <c r="OB183" s="32"/>
      <c r="OC183" s="32"/>
      <c r="OD183" s="32"/>
      <c r="OE183" s="32"/>
      <c r="OF183" s="32"/>
      <c r="OG183" s="32"/>
      <c r="OH183" s="32"/>
      <c r="OI183" s="32"/>
      <c r="OJ183" s="32"/>
      <c r="OK183" s="32"/>
      <c r="OL183" s="32"/>
      <c r="OM183" s="32"/>
      <c r="ON183" s="32"/>
      <c r="OO183" s="32"/>
      <c r="OP183" s="32"/>
      <c r="OQ183" s="32"/>
      <c r="OR183" s="32"/>
      <c r="OS183" s="32"/>
      <c r="OT183" s="32"/>
      <c r="OU183" s="32"/>
      <c r="OV183" s="32"/>
      <c r="OW183" s="32"/>
      <c r="OX183" s="32"/>
      <c r="OY183" s="32"/>
      <c r="OZ183" s="32"/>
      <c r="PA183" s="32"/>
      <c r="PB183" s="32"/>
      <c r="PC183" s="32"/>
      <c r="PD183" s="32"/>
      <c r="PE183" s="32"/>
      <c r="PF183" s="32"/>
      <c r="PG183" s="32"/>
      <c r="PH183" s="32"/>
      <c r="PI183" s="32"/>
      <c r="PJ183" s="32"/>
      <c r="PK183" s="32"/>
      <c r="PL183" s="32"/>
      <c r="PM183" s="32"/>
      <c r="PN183" s="32"/>
      <c r="PO183" s="32"/>
      <c r="PP183" s="32"/>
      <c r="PQ183" s="32"/>
      <c r="PR183" s="32"/>
      <c r="PS183" s="32"/>
      <c r="PT183" s="32"/>
      <c r="PU183" s="32"/>
      <c r="PV183" s="32"/>
      <c r="PW183" s="32"/>
      <c r="PX183" s="32"/>
      <c r="PY183" s="32"/>
      <c r="PZ183" s="32"/>
      <c r="QA183" s="32"/>
      <c r="QB183" s="32"/>
      <c r="QC183" s="32"/>
      <c r="QD183" s="32"/>
      <c r="QE183" s="32"/>
      <c r="QF183" s="32"/>
      <c r="QG183" s="32"/>
      <c r="QH183" s="32"/>
      <c r="QI183" s="32"/>
      <c r="QJ183" s="32"/>
      <c r="QK183" s="32"/>
      <c r="QL183" s="32"/>
      <c r="QM183" s="32"/>
      <c r="QN183" s="32"/>
      <c r="QO183" s="32"/>
      <c r="QP183" s="32"/>
      <c r="QQ183" s="32"/>
      <c r="QR183" s="32"/>
      <c r="QS183" s="32"/>
      <c r="QT183" s="32"/>
      <c r="QU183" s="32"/>
      <c r="QV183" s="32"/>
      <c r="QW183" s="32"/>
      <c r="QX183" s="32"/>
      <c r="QY183" s="32"/>
      <c r="QZ183" s="32"/>
      <c r="RA183" s="32"/>
      <c r="RB183" s="32"/>
      <c r="RC183" s="32"/>
      <c r="RD183" s="32"/>
      <c r="RE183" s="32"/>
      <c r="RF183" s="32"/>
      <c r="RG183" s="32"/>
      <c r="RH183" s="32"/>
      <c r="RI183" s="32"/>
      <c r="RJ183" s="32"/>
      <c r="RK183" s="32"/>
      <c r="RL183" s="32"/>
      <c r="RM183" s="32"/>
      <c r="RN183" s="32"/>
      <c r="RO183" s="32"/>
      <c r="RP183" s="32"/>
      <c r="RQ183" s="32"/>
      <c r="RR183" s="32"/>
      <c r="RS183" s="32"/>
      <c r="RT183" s="32"/>
      <c r="RU183" s="32"/>
      <c r="RV183" s="32"/>
      <c r="RW183" s="32"/>
      <c r="RX183" s="32"/>
      <c r="RY183" s="32"/>
      <c r="RZ183" s="32"/>
      <c r="SA183" s="32"/>
      <c r="SB183" s="32"/>
      <c r="SC183" s="32"/>
      <c r="SD183" s="32"/>
      <c r="SE183" s="32"/>
      <c r="SF183" s="32"/>
      <c r="SG183" s="32"/>
      <c r="SH183" s="32"/>
      <c r="SI183" s="32"/>
      <c r="SJ183" s="32"/>
      <c r="SK183" s="32"/>
      <c r="SL183" s="32"/>
      <c r="SM183" s="32"/>
      <c r="SN183" s="32"/>
      <c r="SO183" s="32"/>
      <c r="SP183" s="32"/>
      <c r="SQ183" s="32"/>
      <c r="SR183" s="32"/>
      <c r="SS183" s="32"/>
      <c r="ST183" s="32"/>
      <c r="SU183" s="32"/>
      <c r="SV183" s="32"/>
      <c r="SW183" s="32"/>
      <c r="SX183" s="32"/>
      <c r="SY183" s="32"/>
      <c r="SZ183" s="32"/>
      <c r="TA183" s="32"/>
      <c r="TB183" s="32"/>
      <c r="TC183" s="32"/>
      <c r="TD183" s="32"/>
      <c r="TE183" s="32"/>
      <c r="TF183" s="32"/>
      <c r="TG183" s="32"/>
    </row>
    <row r="184" spans="1:527" s="34" customFormat="1" ht="29.25" customHeight="1" x14ac:dyDescent="0.25">
      <c r="A184" s="112" t="s">
        <v>191</v>
      </c>
      <c r="B184" s="78"/>
      <c r="C184" s="78"/>
      <c r="D184" s="81" t="s">
        <v>365</v>
      </c>
      <c r="E184" s="102">
        <f>E186+E187+E188+E189</f>
        <v>5889080</v>
      </c>
      <c r="F184" s="102">
        <f t="shared" ref="F184:P184" si="70">F186+F187+F188+F189</f>
        <v>5889080</v>
      </c>
      <c r="G184" s="102">
        <f t="shared" si="70"/>
        <v>4491300</v>
      </c>
      <c r="H184" s="102">
        <f t="shared" si="70"/>
        <v>51600</v>
      </c>
      <c r="I184" s="102">
        <f t="shared" si="70"/>
        <v>0</v>
      </c>
      <c r="J184" s="102">
        <f t="shared" si="70"/>
        <v>30000</v>
      </c>
      <c r="K184" s="102">
        <f>K186+K187+K188+K189</f>
        <v>30000</v>
      </c>
      <c r="L184" s="102">
        <f t="shared" si="70"/>
        <v>0</v>
      </c>
      <c r="M184" s="102">
        <f t="shared" si="70"/>
        <v>0</v>
      </c>
      <c r="N184" s="102">
        <f t="shared" si="70"/>
        <v>0</v>
      </c>
      <c r="O184" s="102">
        <f t="shared" si="70"/>
        <v>30000</v>
      </c>
      <c r="P184" s="102">
        <f t="shared" si="70"/>
        <v>5919080</v>
      </c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  <c r="HP184" s="33"/>
      <c r="HQ184" s="33"/>
      <c r="HR184" s="33"/>
      <c r="HS184" s="33"/>
      <c r="HT184" s="33"/>
      <c r="HU184" s="33"/>
      <c r="HV184" s="33"/>
      <c r="HW184" s="33"/>
      <c r="HX184" s="33"/>
      <c r="HY184" s="33"/>
      <c r="HZ184" s="33"/>
      <c r="IA184" s="33"/>
      <c r="IB184" s="33"/>
      <c r="IC184" s="33"/>
      <c r="ID184" s="33"/>
      <c r="IE184" s="33"/>
      <c r="IF184" s="33"/>
      <c r="IG184" s="33"/>
      <c r="IH184" s="33"/>
      <c r="II184" s="33"/>
      <c r="IJ184" s="33"/>
      <c r="IK184" s="33"/>
      <c r="IL184" s="33"/>
      <c r="IM184" s="33"/>
      <c r="IN184" s="33"/>
      <c r="IO184" s="33"/>
      <c r="IP184" s="33"/>
      <c r="IQ184" s="33"/>
      <c r="IR184" s="33"/>
      <c r="IS184" s="33"/>
      <c r="IT184" s="33"/>
      <c r="IU184" s="33"/>
      <c r="IV184" s="33"/>
      <c r="IW184" s="33"/>
      <c r="IX184" s="33"/>
      <c r="IY184" s="33"/>
      <c r="IZ184" s="33"/>
      <c r="JA184" s="33"/>
      <c r="JB184" s="33"/>
      <c r="JC184" s="33"/>
      <c r="JD184" s="33"/>
      <c r="JE184" s="33"/>
      <c r="JF184" s="33"/>
      <c r="JG184" s="33"/>
      <c r="JH184" s="33"/>
      <c r="JI184" s="33"/>
      <c r="JJ184" s="33"/>
      <c r="JK184" s="33"/>
      <c r="JL184" s="33"/>
      <c r="JM184" s="33"/>
      <c r="JN184" s="33"/>
      <c r="JO184" s="33"/>
      <c r="JP184" s="33"/>
      <c r="JQ184" s="33"/>
      <c r="JR184" s="33"/>
      <c r="JS184" s="33"/>
      <c r="JT184" s="33"/>
      <c r="JU184" s="33"/>
      <c r="JV184" s="33"/>
      <c r="JW184" s="33"/>
      <c r="JX184" s="33"/>
      <c r="JY184" s="33"/>
      <c r="JZ184" s="33"/>
      <c r="KA184" s="33"/>
      <c r="KB184" s="33"/>
      <c r="KC184" s="33"/>
      <c r="KD184" s="33"/>
      <c r="KE184" s="33"/>
      <c r="KF184" s="33"/>
      <c r="KG184" s="33"/>
      <c r="KH184" s="33"/>
      <c r="KI184" s="33"/>
      <c r="KJ184" s="33"/>
      <c r="KK184" s="33"/>
      <c r="KL184" s="33"/>
      <c r="KM184" s="33"/>
      <c r="KN184" s="33"/>
      <c r="KO184" s="33"/>
      <c r="KP184" s="33"/>
      <c r="KQ184" s="33"/>
      <c r="KR184" s="33"/>
      <c r="KS184" s="33"/>
      <c r="KT184" s="33"/>
      <c r="KU184" s="33"/>
      <c r="KV184" s="33"/>
      <c r="KW184" s="33"/>
      <c r="KX184" s="33"/>
      <c r="KY184" s="33"/>
      <c r="KZ184" s="33"/>
      <c r="LA184" s="33"/>
      <c r="LB184" s="33"/>
      <c r="LC184" s="33"/>
      <c r="LD184" s="33"/>
      <c r="LE184" s="33"/>
      <c r="LF184" s="33"/>
      <c r="LG184" s="33"/>
      <c r="LH184" s="33"/>
      <c r="LI184" s="33"/>
      <c r="LJ184" s="33"/>
      <c r="LK184" s="33"/>
      <c r="LL184" s="33"/>
      <c r="LM184" s="33"/>
      <c r="LN184" s="33"/>
      <c r="LO184" s="33"/>
      <c r="LP184" s="33"/>
      <c r="LQ184" s="33"/>
      <c r="LR184" s="33"/>
      <c r="LS184" s="33"/>
      <c r="LT184" s="33"/>
      <c r="LU184" s="33"/>
      <c r="LV184" s="33"/>
      <c r="LW184" s="33"/>
      <c r="LX184" s="33"/>
      <c r="LY184" s="33"/>
      <c r="LZ184" s="33"/>
      <c r="MA184" s="33"/>
      <c r="MB184" s="33"/>
      <c r="MC184" s="33"/>
      <c r="MD184" s="33"/>
      <c r="ME184" s="33"/>
      <c r="MF184" s="33"/>
      <c r="MG184" s="33"/>
      <c r="MH184" s="33"/>
      <c r="MI184" s="33"/>
      <c r="MJ184" s="33"/>
      <c r="MK184" s="33"/>
      <c r="ML184" s="33"/>
      <c r="MM184" s="33"/>
      <c r="MN184" s="33"/>
      <c r="MO184" s="33"/>
      <c r="MP184" s="33"/>
      <c r="MQ184" s="33"/>
      <c r="MR184" s="33"/>
      <c r="MS184" s="33"/>
      <c r="MT184" s="33"/>
      <c r="MU184" s="33"/>
      <c r="MV184" s="33"/>
      <c r="MW184" s="33"/>
      <c r="MX184" s="33"/>
      <c r="MY184" s="33"/>
      <c r="MZ184" s="33"/>
      <c r="NA184" s="33"/>
      <c r="NB184" s="33"/>
      <c r="NC184" s="33"/>
      <c r="ND184" s="33"/>
      <c r="NE184" s="33"/>
      <c r="NF184" s="33"/>
      <c r="NG184" s="33"/>
      <c r="NH184" s="33"/>
      <c r="NI184" s="33"/>
      <c r="NJ184" s="33"/>
      <c r="NK184" s="33"/>
      <c r="NL184" s="33"/>
      <c r="NM184" s="33"/>
      <c r="NN184" s="33"/>
      <c r="NO184" s="33"/>
      <c r="NP184" s="33"/>
      <c r="NQ184" s="33"/>
      <c r="NR184" s="33"/>
      <c r="NS184" s="33"/>
      <c r="NT184" s="33"/>
      <c r="NU184" s="33"/>
      <c r="NV184" s="33"/>
      <c r="NW184" s="33"/>
      <c r="NX184" s="33"/>
      <c r="NY184" s="33"/>
      <c r="NZ184" s="33"/>
      <c r="OA184" s="33"/>
      <c r="OB184" s="33"/>
      <c r="OC184" s="33"/>
      <c r="OD184" s="33"/>
      <c r="OE184" s="33"/>
      <c r="OF184" s="33"/>
      <c r="OG184" s="33"/>
      <c r="OH184" s="33"/>
      <c r="OI184" s="33"/>
      <c r="OJ184" s="33"/>
      <c r="OK184" s="33"/>
      <c r="OL184" s="33"/>
      <c r="OM184" s="33"/>
      <c r="ON184" s="33"/>
      <c r="OO184" s="33"/>
      <c r="OP184" s="33"/>
      <c r="OQ184" s="33"/>
      <c r="OR184" s="33"/>
      <c r="OS184" s="33"/>
      <c r="OT184" s="33"/>
      <c r="OU184" s="33"/>
      <c r="OV184" s="33"/>
      <c r="OW184" s="33"/>
      <c r="OX184" s="33"/>
      <c r="OY184" s="33"/>
      <c r="OZ184" s="33"/>
      <c r="PA184" s="33"/>
      <c r="PB184" s="33"/>
      <c r="PC184" s="33"/>
      <c r="PD184" s="33"/>
      <c r="PE184" s="33"/>
      <c r="PF184" s="33"/>
      <c r="PG184" s="33"/>
      <c r="PH184" s="33"/>
      <c r="PI184" s="33"/>
      <c r="PJ184" s="33"/>
      <c r="PK184" s="33"/>
      <c r="PL184" s="33"/>
      <c r="PM184" s="33"/>
      <c r="PN184" s="33"/>
      <c r="PO184" s="33"/>
      <c r="PP184" s="33"/>
      <c r="PQ184" s="33"/>
      <c r="PR184" s="33"/>
      <c r="PS184" s="33"/>
      <c r="PT184" s="33"/>
      <c r="PU184" s="33"/>
      <c r="PV184" s="33"/>
      <c r="PW184" s="33"/>
      <c r="PX184" s="33"/>
      <c r="PY184" s="33"/>
      <c r="PZ184" s="33"/>
      <c r="QA184" s="33"/>
      <c r="QB184" s="33"/>
      <c r="QC184" s="33"/>
      <c r="QD184" s="33"/>
      <c r="QE184" s="33"/>
      <c r="QF184" s="33"/>
      <c r="QG184" s="33"/>
      <c r="QH184" s="33"/>
      <c r="QI184" s="33"/>
      <c r="QJ184" s="33"/>
      <c r="QK184" s="33"/>
      <c r="QL184" s="33"/>
      <c r="QM184" s="33"/>
      <c r="QN184" s="33"/>
      <c r="QO184" s="33"/>
      <c r="QP184" s="33"/>
      <c r="QQ184" s="33"/>
      <c r="QR184" s="33"/>
      <c r="QS184" s="33"/>
      <c r="QT184" s="33"/>
      <c r="QU184" s="33"/>
      <c r="QV184" s="33"/>
      <c r="QW184" s="33"/>
      <c r="QX184" s="33"/>
      <c r="QY184" s="33"/>
      <c r="QZ184" s="33"/>
      <c r="RA184" s="33"/>
      <c r="RB184" s="33"/>
      <c r="RC184" s="33"/>
      <c r="RD184" s="33"/>
      <c r="RE184" s="33"/>
      <c r="RF184" s="33"/>
      <c r="RG184" s="33"/>
      <c r="RH184" s="33"/>
      <c r="RI184" s="33"/>
      <c r="RJ184" s="33"/>
      <c r="RK184" s="33"/>
      <c r="RL184" s="33"/>
      <c r="RM184" s="33"/>
      <c r="RN184" s="33"/>
      <c r="RO184" s="33"/>
      <c r="RP184" s="33"/>
      <c r="RQ184" s="33"/>
      <c r="RR184" s="33"/>
      <c r="RS184" s="33"/>
      <c r="RT184" s="33"/>
      <c r="RU184" s="33"/>
      <c r="RV184" s="33"/>
      <c r="RW184" s="33"/>
      <c r="RX184" s="33"/>
      <c r="RY184" s="33"/>
      <c r="RZ184" s="33"/>
      <c r="SA184" s="33"/>
      <c r="SB184" s="33"/>
      <c r="SC184" s="33"/>
      <c r="SD184" s="33"/>
      <c r="SE184" s="33"/>
      <c r="SF184" s="33"/>
      <c r="SG184" s="33"/>
      <c r="SH184" s="33"/>
      <c r="SI184" s="33"/>
      <c r="SJ184" s="33"/>
      <c r="SK184" s="33"/>
      <c r="SL184" s="33"/>
      <c r="SM184" s="33"/>
      <c r="SN184" s="33"/>
      <c r="SO184" s="33"/>
      <c r="SP184" s="33"/>
      <c r="SQ184" s="33"/>
      <c r="SR184" s="33"/>
      <c r="SS184" s="33"/>
      <c r="ST184" s="33"/>
      <c r="SU184" s="33"/>
      <c r="SV184" s="33"/>
      <c r="SW184" s="33"/>
      <c r="SX184" s="33"/>
      <c r="SY184" s="33"/>
      <c r="SZ184" s="33"/>
      <c r="TA184" s="33"/>
      <c r="TB184" s="33"/>
      <c r="TC184" s="33"/>
      <c r="TD184" s="33"/>
      <c r="TE184" s="33"/>
      <c r="TF184" s="33"/>
      <c r="TG184" s="33"/>
    </row>
    <row r="185" spans="1:527" s="34" customFormat="1" ht="120" hidden="1" customHeight="1" x14ac:dyDescent="0.25">
      <c r="A185" s="112"/>
      <c r="B185" s="78"/>
      <c r="C185" s="78"/>
      <c r="D185" s="81" t="s">
        <v>449</v>
      </c>
      <c r="E185" s="102">
        <f>E190</f>
        <v>0</v>
      </c>
      <c r="F185" s="102">
        <f t="shared" ref="F185:P185" si="71">F190</f>
        <v>0</v>
      </c>
      <c r="G185" s="102">
        <f t="shared" si="71"/>
        <v>0</v>
      </c>
      <c r="H185" s="102">
        <f t="shared" si="71"/>
        <v>0</v>
      </c>
      <c r="I185" s="102">
        <f t="shared" si="71"/>
        <v>0</v>
      </c>
      <c r="J185" s="102">
        <f t="shared" si="71"/>
        <v>0</v>
      </c>
      <c r="K185" s="102">
        <f t="shared" si="71"/>
        <v>0</v>
      </c>
      <c r="L185" s="102">
        <f t="shared" si="71"/>
        <v>0</v>
      </c>
      <c r="M185" s="102">
        <f t="shared" si="71"/>
        <v>0</v>
      </c>
      <c r="N185" s="102">
        <f t="shared" si="71"/>
        <v>0</v>
      </c>
      <c r="O185" s="102">
        <f t="shared" si="71"/>
        <v>0</v>
      </c>
      <c r="P185" s="102">
        <f t="shared" si="71"/>
        <v>0</v>
      </c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  <c r="IT185" s="33"/>
      <c r="IU185" s="33"/>
      <c r="IV185" s="33"/>
      <c r="IW185" s="33"/>
      <c r="IX185" s="33"/>
      <c r="IY185" s="33"/>
      <c r="IZ185" s="33"/>
      <c r="JA185" s="33"/>
      <c r="JB185" s="33"/>
      <c r="JC185" s="33"/>
      <c r="JD185" s="33"/>
      <c r="JE185" s="33"/>
      <c r="JF185" s="33"/>
      <c r="JG185" s="33"/>
      <c r="JH185" s="33"/>
      <c r="JI185" s="33"/>
      <c r="JJ185" s="33"/>
      <c r="JK185" s="33"/>
      <c r="JL185" s="33"/>
      <c r="JM185" s="33"/>
      <c r="JN185" s="33"/>
      <c r="JO185" s="33"/>
      <c r="JP185" s="33"/>
      <c r="JQ185" s="33"/>
      <c r="JR185" s="33"/>
      <c r="JS185" s="33"/>
      <c r="JT185" s="33"/>
      <c r="JU185" s="33"/>
      <c r="JV185" s="33"/>
      <c r="JW185" s="33"/>
      <c r="JX185" s="33"/>
      <c r="JY185" s="33"/>
      <c r="JZ185" s="33"/>
      <c r="KA185" s="33"/>
      <c r="KB185" s="33"/>
      <c r="KC185" s="33"/>
      <c r="KD185" s="33"/>
      <c r="KE185" s="33"/>
      <c r="KF185" s="33"/>
      <c r="KG185" s="33"/>
      <c r="KH185" s="33"/>
      <c r="KI185" s="33"/>
      <c r="KJ185" s="33"/>
      <c r="KK185" s="33"/>
      <c r="KL185" s="33"/>
      <c r="KM185" s="33"/>
      <c r="KN185" s="33"/>
      <c r="KO185" s="33"/>
      <c r="KP185" s="33"/>
      <c r="KQ185" s="33"/>
      <c r="KR185" s="33"/>
      <c r="KS185" s="33"/>
      <c r="KT185" s="33"/>
      <c r="KU185" s="33"/>
      <c r="KV185" s="33"/>
      <c r="KW185" s="33"/>
      <c r="KX185" s="33"/>
      <c r="KY185" s="33"/>
      <c r="KZ185" s="33"/>
      <c r="LA185" s="33"/>
      <c r="LB185" s="33"/>
      <c r="LC185" s="33"/>
      <c r="LD185" s="33"/>
      <c r="LE185" s="33"/>
      <c r="LF185" s="33"/>
      <c r="LG185" s="33"/>
      <c r="LH185" s="33"/>
      <c r="LI185" s="33"/>
      <c r="LJ185" s="33"/>
      <c r="LK185" s="33"/>
      <c r="LL185" s="33"/>
      <c r="LM185" s="33"/>
      <c r="LN185" s="33"/>
      <c r="LO185" s="33"/>
      <c r="LP185" s="33"/>
      <c r="LQ185" s="33"/>
      <c r="LR185" s="33"/>
      <c r="LS185" s="33"/>
      <c r="LT185" s="33"/>
      <c r="LU185" s="33"/>
      <c r="LV185" s="33"/>
      <c r="LW185" s="33"/>
      <c r="LX185" s="33"/>
      <c r="LY185" s="33"/>
      <c r="LZ185" s="33"/>
      <c r="MA185" s="33"/>
      <c r="MB185" s="33"/>
      <c r="MC185" s="33"/>
      <c r="MD185" s="33"/>
      <c r="ME185" s="33"/>
      <c r="MF185" s="33"/>
      <c r="MG185" s="33"/>
      <c r="MH185" s="33"/>
      <c r="MI185" s="33"/>
      <c r="MJ185" s="33"/>
      <c r="MK185" s="33"/>
      <c r="ML185" s="33"/>
      <c r="MM185" s="33"/>
      <c r="MN185" s="33"/>
      <c r="MO185" s="33"/>
      <c r="MP185" s="33"/>
      <c r="MQ185" s="33"/>
      <c r="MR185" s="33"/>
      <c r="MS185" s="33"/>
      <c r="MT185" s="33"/>
      <c r="MU185" s="33"/>
      <c r="MV185" s="33"/>
      <c r="MW185" s="33"/>
      <c r="MX185" s="33"/>
      <c r="MY185" s="33"/>
      <c r="MZ185" s="33"/>
      <c r="NA185" s="33"/>
      <c r="NB185" s="33"/>
      <c r="NC185" s="33"/>
      <c r="ND185" s="33"/>
      <c r="NE185" s="33"/>
      <c r="NF185" s="33"/>
      <c r="NG185" s="33"/>
      <c r="NH185" s="33"/>
      <c r="NI185" s="33"/>
      <c r="NJ185" s="33"/>
      <c r="NK185" s="33"/>
      <c r="NL185" s="33"/>
      <c r="NM185" s="33"/>
      <c r="NN185" s="33"/>
      <c r="NO185" s="33"/>
      <c r="NP185" s="33"/>
      <c r="NQ185" s="33"/>
      <c r="NR185" s="33"/>
      <c r="NS185" s="33"/>
      <c r="NT185" s="33"/>
      <c r="NU185" s="33"/>
      <c r="NV185" s="33"/>
      <c r="NW185" s="33"/>
      <c r="NX185" s="33"/>
      <c r="NY185" s="33"/>
      <c r="NZ185" s="33"/>
      <c r="OA185" s="33"/>
      <c r="OB185" s="33"/>
      <c r="OC185" s="33"/>
      <c r="OD185" s="33"/>
      <c r="OE185" s="33"/>
      <c r="OF185" s="33"/>
      <c r="OG185" s="33"/>
      <c r="OH185" s="33"/>
      <c r="OI185" s="33"/>
      <c r="OJ185" s="33"/>
      <c r="OK185" s="33"/>
      <c r="OL185" s="33"/>
      <c r="OM185" s="33"/>
      <c r="ON185" s="33"/>
      <c r="OO185" s="33"/>
      <c r="OP185" s="33"/>
      <c r="OQ185" s="33"/>
      <c r="OR185" s="33"/>
      <c r="OS185" s="33"/>
      <c r="OT185" s="33"/>
      <c r="OU185" s="33"/>
      <c r="OV185" s="33"/>
      <c r="OW185" s="33"/>
      <c r="OX185" s="33"/>
      <c r="OY185" s="33"/>
      <c r="OZ185" s="33"/>
      <c r="PA185" s="33"/>
      <c r="PB185" s="33"/>
      <c r="PC185" s="33"/>
      <c r="PD185" s="33"/>
      <c r="PE185" s="33"/>
      <c r="PF185" s="33"/>
      <c r="PG185" s="33"/>
      <c r="PH185" s="33"/>
      <c r="PI185" s="33"/>
      <c r="PJ185" s="33"/>
      <c r="PK185" s="33"/>
      <c r="PL185" s="33"/>
      <c r="PM185" s="33"/>
      <c r="PN185" s="33"/>
      <c r="PO185" s="33"/>
      <c r="PP185" s="33"/>
      <c r="PQ185" s="33"/>
      <c r="PR185" s="33"/>
      <c r="PS185" s="33"/>
      <c r="PT185" s="33"/>
      <c r="PU185" s="33"/>
      <c r="PV185" s="33"/>
      <c r="PW185" s="33"/>
      <c r="PX185" s="33"/>
      <c r="PY185" s="33"/>
      <c r="PZ185" s="33"/>
      <c r="QA185" s="33"/>
      <c r="QB185" s="33"/>
      <c r="QC185" s="33"/>
      <c r="QD185" s="33"/>
      <c r="QE185" s="33"/>
      <c r="QF185" s="33"/>
      <c r="QG185" s="33"/>
      <c r="QH185" s="33"/>
      <c r="QI185" s="33"/>
      <c r="QJ185" s="33"/>
      <c r="QK185" s="33"/>
      <c r="QL185" s="33"/>
      <c r="QM185" s="33"/>
      <c r="QN185" s="33"/>
      <c r="QO185" s="33"/>
      <c r="QP185" s="33"/>
      <c r="QQ185" s="33"/>
      <c r="QR185" s="33"/>
      <c r="QS185" s="33"/>
      <c r="QT185" s="33"/>
      <c r="QU185" s="33"/>
      <c r="QV185" s="33"/>
      <c r="QW185" s="33"/>
      <c r="QX185" s="33"/>
      <c r="QY185" s="33"/>
      <c r="QZ185" s="33"/>
      <c r="RA185" s="33"/>
      <c r="RB185" s="33"/>
      <c r="RC185" s="33"/>
      <c r="RD185" s="33"/>
      <c r="RE185" s="33"/>
      <c r="RF185" s="33"/>
      <c r="RG185" s="33"/>
      <c r="RH185" s="33"/>
      <c r="RI185" s="33"/>
      <c r="RJ185" s="33"/>
      <c r="RK185" s="33"/>
      <c r="RL185" s="33"/>
      <c r="RM185" s="33"/>
      <c r="RN185" s="33"/>
      <c r="RO185" s="33"/>
      <c r="RP185" s="33"/>
      <c r="RQ185" s="33"/>
      <c r="RR185" s="33"/>
      <c r="RS185" s="33"/>
      <c r="RT185" s="33"/>
      <c r="RU185" s="33"/>
      <c r="RV185" s="33"/>
      <c r="RW185" s="33"/>
      <c r="RX185" s="33"/>
      <c r="RY185" s="33"/>
      <c r="RZ185" s="33"/>
      <c r="SA185" s="33"/>
      <c r="SB185" s="33"/>
      <c r="SC185" s="33"/>
      <c r="SD185" s="33"/>
      <c r="SE185" s="33"/>
      <c r="SF185" s="33"/>
      <c r="SG185" s="33"/>
      <c r="SH185" s="33"/>
      <c r="SI185" s="33"/>
      <c r="SJ185" s="33"/>
      <c r="SK185" s="33"/>
      <c r="SL185" s="33"/>
      <c r="SM185" s="33"/>
      <c r="SN185" s="33"/>
      <c r="SO185" s="33"/>
      <c r="SP185" s="33"/>
      <c r="SQ185" s="33"/>
      <c r="SR185" s="33"/>
      <c r="SS185" s="33"/>
      <c r="ST185" s="33"/>
      <c r="SU185" s="33"/>
      <c r="SV185" s="33"/>
      <c r="SW185" s="33"/>
      <c r="SX185" s="33"/>
      <c r="SY185" s="33"/>
      <c r="SZ185" s="33"/>
      <c r="TA185" s="33"/>
      <c r="TB185" s="33"/>
      <c r="TC185" s="33"/>
      <c r="TD185" s="33"/>
      <c r="TE185" s="33"/>
      <c r="TF185" s="33"/>
      <c r="TG185" s="33"/>
    </row>
    <row r="186" spans="1:527" s="22" customFormat="1" ht="47.25" x14ac:dyDescent="0.25">
      <c r="A186" s="60" t="s">
        <v>192</v>
      </c>
      <c r="B186" s="97" t="str">
        <f>'дод 8'!A19</f>
        <v>0160</v>
      </c>
      <c r="C186" s="97" t="str">
        <f>'дод 8'!B19</f>
        <v>0111</v>
      </c>
      <c r="D186" s="36" t="s">
        <v>504</v>
      </c>
      <c r="E186" s="103">
        <f>F186+I186</f>
        <v>5701700</v>
      </c>
      <c r="F186" s="103">
        <f>5689700+12000</f>
        <v>5701700</v>
      </c>
      <c r="G186" s="103">
        <v>4491300</v>
      </c>
      <c r="H186" s="103">
        <v>51600</v>
      </c>
      <c r="I186" s="103"/>
      <c r="J186" s="103">
        <f>L186+O186</f>
        <v>0</v>
      </c>
      <c r="K186" s="103">
        <f>12000-12000</f>
        <v>0</v>
      </c>
      <c r="L186" s="103"/>
      <c r="M186" s="103"/>
      <c r="N186" s="103"/>
      <c r="O186" s="103">
        <f>12000-12000</f>
        <v>0</v>
      </c>
      <c r="P186" s="103">
        <f>E186+J186</f>
        <v>5701700</v>
      </c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  <c r="OX186" s="23"/>
      <c r="OY186" s="23"/>
      <c r="OZ186" s="23"/>
      <c r="PA186" s="23"/>
      <c r="PB186" s="23"/>
      <c r="PC186" s="23"/>
      <c r="PD186" s="23"/>
      <c r="PE186" s="23"/>
      <c r="PF186" s="23"/>
      <c r="PG186" s="23"/>
      <c r="PH186" s="23"/>
      <c r="PI186" s="23"/>
      <c r="PJ186" s="23"/>
      <c r="PK186" s="23"/>
      <c r="PL186" s="23"/>
      <c r="PM186" s="23"/>
      <c r="PN186" s="23"/>
      <c r="PO186" s="23"/>
      <c r="PP186" s="23"/>
      <c r="PQ186" s="23"/>
      <c r="PR186" s="23"/>
      <c r="PS186" s="23"/>
      <c r="PT186" s="23"/>
      <c r="PU186" s="23"/>
      <c r="PV186" s="23"/>
      <c r="PW186" s="23"/>
      <c r="PX186" s="23"/>
      <c r="PY186" s="23"/>
      <c r="PZ186" s="23"/>
      <c r="QA186" s="23"/>
      <c r="QB186" s="23"/>
      <c r="QC186" s="23"/>
      <c r="QD186" s="23"/>
      <c r="QE186" s="23"/>
      <c r="QF186" s="23"/>
      <c r="QG186" s="23"/>
      <c r="QH186" s="23"/>
      <c r="QI186" s="23"/>
      <c r="QJ186" s="23"/>
      <c r="QK186" s="23"/>
      <c r="QL186" s="23"/>
      <c r="QM186" s="23"/>
      <c r="QN186" s="23"/>
      <c r="QO186" s="23"/>
      <c r="QP186" s="23"/>
      <c r="QQ186" s="23"/>
      <c r="QR186" s="23"/>
      <c r="QS186" s="23"/>
      <c r="QT186" s="23"/>
      <c r="QU186" s="23"/>
      <c r="QV186" s="23"/>
      <c r="QW186" s="23"/>
      <c r="QX186" s="23"/>
      <c r="QY186" s="23"/>
      <c r="QZ186" s="23"/>
      <c r="RA186" s="23"/>
      <c r="RB186" s="23"/>
      <c r="RC186" s="23"/>
      <c r="RD186" s="23"/>
      <c r="RE186" s="23"/>
      <c r="RF186" s="23"/>
      <c r="RG186" s="23"/>
      <c r="RH186" s="23"/>
      <c r="RI186" s="23"/>
      <c r="RJ186" s="23"/>
      <c r="RK186" s="23"/>
      <c r="RL186" s="23"/>
      <c r="RM186" s="23"/>
      <c r="RN186" s="23"/>
      <c r="RO186" s="23"/>
      <c r="RP186" s="23"/>
      <c r="RQ186" s="23"/>
      <c r="RR186" s="23"/>
      <c r="RS186" s="23"/>
      <c r="RT186" s="23"/>
      <c r="RU186" s="23"/>
      <c r="RV186" s="23"/>
      <c r="RW186" s="23"/>
      <c r="RX186" s="23"/>
      <c r="RY186" s="23"/>
      <c r="RZ186" s="23"/>
      <c r="SA186" s="23"/>
      <c r="SB186" s="23"/>
      <c r="SC186" s="23"/>
      <c r="SD186" s="23"/>
      <c r="SE186" s="23"/>
      <c r="SF186" s="23"/>
      <c r="SG186" s="23"/>
      <c r="SH186" s="23"/>
      <c r="SI186" s="23"/>
      <c r="SJ186" s="23"/>
      <c r="SK186" s="23"/>
      <c r="SL186" s="23"/>
      <c r="SM186" s="23"/>
      <c r="SN186" s="23"/>
      <c r="SO186" s="23"/>
      <c r="SP186" s="23"/>
      <c r="SQ186" s="23"/>
      <c r="SR186" s="23"/>
      <c r="SS186" s="23"/>
      <c r="ST186" s="23"/>
      <c r="SU186" s="23"/>
      <c r="SV186" s="23"/>
      <c r="SW186" s="23"/>
      <c r="SX186" s="23"/>
      <c r="SY186" s="23"/>
      <c r="SZ186" s="23"/>
      <c r="TA186" s="23"/>
      <c r="TB186" s="23"/>
      <c r="TC186" s="23"/>
      <c r="TD186" s="23"/>
      <c r="TE186" s="23"/>
      <c r="TF186" s="23"/>
      <c r="TG186" s="23"/>
    </row>
    <row r="187" spans="1:527" s="22" customFormat="1" ht="63" x14ac:dyDescent="0.25">
      <c r="A187" s="60" t="s">
        <v>336</v>
      </c>
      <c r="B187" s="97">
        <v>3111</v>
      </c>
      <c r="C187" s="97">
        <v>1040</v>
      </c>
      <c r="D187" s="36" t="str">
        <f>'дод 8'!C102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87" s="103">
        <f>F187+I187</f>
        <v>91140</v>
      </c>
      <c r="F187" s="103">
        <f>50000+21140+20000</f>
        <v>91140</v>
      </c>
      <c r="G187" s="103"/>
      <c r="H187" s="103"/>
      <c r="I187" s="103"/>
      <c r="J187" s="103">
        <f t="shared" ref="J187:J190" si="72">L187+O187</f>
        <v>0</v>
      </c>
      <c r="K187" s="103">
        <f>21140-21140</f>
        <v>0</v>
      </c>
      <c r="L187" s="103"/>
      <c r="M187" s="103"/>
      <c r="N187" s="103"/>
      <c r="O187" s="103">
        <f>21140-21140</f>
        <v>0</v>
      </c>
      <c r="P187" s="103">
        <f>E187+J187</f>
        <v>91140</v>
      </c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  <c r="TF187" s="23"/>
      <c r="TG187" s="23"/>
    </row>
    <row r="188" spans="1:527" s="22" customFormat="1" ht="31.5" customHeight="1" x14ac:dyDescent="0.25">
      <c r="A188" s="60" t="s">
        <v>193</v>
      </c>
      <c r="B188" s="97" t="str">
        <f>'дод 8'!A103</f>
        <v>3112</v>
      </c>
      <c r="C188" s="97" t="str">
        <f>'дод 8'!B103</f>
        <v>1040</v>
      </c>
      <c r="D188" s="61" t="str">
        <f>'дод 8'!C103</f>
        <v>Заходи державної політики з питань дітей та їх соціального захисту</v>
      </c>
      <c r="E188" s="103">
        <f>F188+I188</f>
        <v>96240</v>
      </c>
      <c r="F188" s="103">
        <v>96240</v>
      </c>
      <c r="G188" s="103"/>
      <c r="H188" s="103"/>
      <c r="I188" s="103"/>
      <c r="J188" s="103">
        <f t="shared" si="72"/>
        <v>0</v>
      </c>
      <c r="K188" s="103"/>
      <c r="L188" s="103"/>
      <c r="M188" s="103"/>
      <c r="N188" s="103"/>
      <c r="O188" s="103"/>
      <c r="P188" s="103">
        <f>E188+J188</f>
        <v>96240</v>
      </c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  <c r="PA188" s="23"/>
      <c r="PB188" s="23"/>
      <c r="PC188" s="23"/>
      <c r="PD188" s="23"/>
      <c r="PE188" s="23"/>
      <c r="PF188" s="23"/>
      <c r="PG188" s="23"/>
      <c r="PH188" s="23"/>
      <c r="PI188" s="23"/>
      <c r="PJ188" s="23"/>
      <c r="PK188" s="23"/>
      <c r="PL188" s="23"/>
      <c r="PM188" s="23"/>
      <c r="PN188" s="23"/>
      <c r="PO188" s="23"/>
      <c r="PP188" s="23"/>
      <c r="PQ188" s="23"/>
      <c r="PR188" s="23"/>
      <c r="PS188" s="23"/>
      <c r="PT188" s="23"/>
      <c r="PU188" s="23"/>
      <c r="PV188" s="23"/>
      <c r="PW188" s="23"/>
      <c r="PX188" s="23"/>
      <c r="PY188" s="23"/>
      <c r="PZ188" s="23"/>
      <c r="QA188" s="23"/>
      <c r="QB188" s="23"/>
      <c r="QC188" s="23"/>
      <c r="QD188" s="23"/>
      <c r="QE188" s="23"/>
      <c r="QF188" s="23"/>
      <c r="QG188" s="23"/>
      <c r="QH188" s="23"/>
      <c r="QI188" s="23"/>
      <c r="QJ188" s="23"/>
      <c r="QK188" s="23"/>
      <c r="QL188" s="23"/>
      <c r="QM188" s="23"/>
      <c r="QN188" s="23"/>
      <c r="QO188" s="23"/>
      <c r="QP188" s="23"/>
      <c r="QQ188" s="23"/>
      <c r="QR188" s="23"/>
      <c r="QS188" s="23"/>
      <c r="QT188" s="23"/>
      <c r="QU188" s="23"/>
      <c r="QV188" s="23"/>
      <c r="QW188" s="23"/>
      <c r="QX188" s="23"/>
      <c r="QY188" s="23"/>
      <c r="QZ188" s="23"/>
      <c r="RA188" s="23"/>
      <c r="RB188" s="23"/>
      <c r="RC188" s="23"/>
      <c r="RD188" s="23"/>
      <c r="RE188" s="23"/>
      <c r="RF188" s="23"/>
      <c r="RG188" s="23"/>
      <c r="RH188" s="23"/>
      <c r="RI188" s="23"/>
      <c r="RJ188" s="23"/>
      <c r="RK188" s="23"/>
      <c r="RL188" s="23"/>
      <c r="RM188" s="23"/>
      <c r="RN188" s="23"/>
      <c r="RO188" s="23"/>
      <c r="RP188" s="23"/>
      <c r="RQ188" s="23"/>
      <c r="RR188" s="23"/>
      <c r="RS188" s="23"/>
      <c r="RT188" s="23"/>
      <c r="RU188" s="23"/>
      <c r="RV188" s="23"/>
      <c r="RW188" s="23"/>
      <c r="RX188" s="23"/>
      <c r="RY188" s="23"/>
      <c r="RZ188" s="23"/>
      <c r="SA188" s="23"/>
      <c r="SB188" s="23"/>
      <c r="SC188" s="23"/>
      <c r="SD188" s="23"/>
      <c r="SE188" s="23"/>
      <c r="SF188" s="23"/>
      <c r="SG188" s="23"/>
      <c r="SH188" s="23"/>
      <c r="SI188" s="23"/>
      <c r="SJ188" s="23"/>
      <c r="SK188" s="23"/>
      <c r="SL188" s="23"/>
      <c r="SM188" s="23"/>
      <c r="SN188" s="23"/>
      <c r="SO188" s="23"/>
      <c r="SP188" s="23"/>
      <c r="SQ188" s="23"/>
      <c r="SR188" s="23"/>
      <c r="SS188" s="23"/>
      <c r="ST188" s="23"/>
      <c r="SU188" s="23"/>
      <c r="SV188" s="23"/>
      <c r="SW188" s="23"/>
      <c r="SX188" s="23"/>
      <c r="SY188" s="23"/>
      <c r="SZ188" s="23"/>
      <c r="TA188" s="23"/>
      <c r="TB188" s="23"/>
      <c r="TC188" s="23"/>
      <c r="TD188" s="23"/>
      <c r="TE188" s="23"/>
      <c r="TF188" s="23"/>
      <c r="TG188" s="23"/>
    </row>
    <row r="189" spans="1:527" s="22" customFormat="1" ht="86.25" customHeight="1" x14ac:dyDescent="0.25">
      <c r="A189" s="60" t="s">
        <v>440</v>
      </c>
      <c r="B189" s="97">
        <v>6083</v>
      </c>
      <c r="C189" s="60" t="s">
        <v>69</v>
      </c>
      <c r="D189" s="11" t="s">
        <v>441</v>
      </c>
      <c r="E189" s="103">
        <f>F189+I189</f>
        <v>0</v>
      </c>
      <c r="F189" s="103"/>
      <c r="G189" s="103"/>
      <c r="H189" s="103"/>
      <c r="I189" s="103"/>
      <c r="J189" s="103">
        <f t="shared" si="72"/>
        <v>30000</v>
      </c>
      <c r="K189" s="103">
        <v>30000</v>
      </c>
      <c r="L189" s="103"/>
      <c r="M189" s="103"/>
      <c r="N189" s="103"/>
      <c r="O189" s="103">
        <v>30000</v>
      </c>
      <c r="P189" s="103">
        <f>E189+J189</f>
        <v>30000</v>
      </c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  <c r="TF189" s="23"/>
      <c r="TG189" s="23"/>
    </row>
    <row r="190" spans="1:527" s="24" customFormat="1" ht="126" hidden="1" x14ac:dyDescent="0.25">
      <c r="A190" s="88"/>
      <c r="B190" s="115"/>
      <c r="C190" s="88"/>
      <c r="D190" s="94" t="s">
        <v>449</v>
      </c>
      <c r="E190" s="103">
        <f>F190+I190</f>
        <v>0</v>
      </c>
      <c r="F190" s="105"/>
      <c r="G190" s="105"/>
      <c r="H190" s="105"/>
      <c r="I190" s="105"/>
      <c r="J190" s="103">
        <f t="shared" si="72"/>
        <v>0</v>
      </c>
      <c r="K190" s="105"/>
      <c r="L190" s="105"/>
      <c r="M190" s="105"/>
      <c r="N190" s="105"/>
      <c r="O190" s="105"/>
      <c r="P190" s="103">
        <f>E190+J190</f>
        <v>0</v>
      </c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  <c r="IV190" s="30"/>
      <c r="IW190" s="30"/>
      <c r="IX190" s="30"/>
      <c r="IY190" s="30"/>
      <c r="IZ190" s="30"/>
      <c r="JA190" s="30"/>
      <c r="JB190" s="30"/>
      <c r="JC190" s="30"/>
      <c r="JD190" s="30"/>
      <c r="JE190" s="30"/>
      <c r="JF190" s="30"/>
      <c r="JG190" s="30"/>
      <c r="JH190" s="30"/>
      <c r="JI190" s="30"/>
      <c r="JJ190" s="30"/>
      <c r="JK190" s="30"/>
      <c r="JL190" s="30"/>
      <c r="JM190" s="30"/>
      <c r="JN190" s="30"/>
      <c r="JO190" s="30"/>
      <c r="JP190" s="30"/>
      <c r="JQ190" s="30"/>
      <c r="JR190" s="30"/>
      <c r="JS190" s="30"/>
      <c r="JT190" s="30"/>
      <c r="JU190" s="30"/>
      <c r="JV190" s="30"/>
      <c r="JW190" s="30"/>
      <c r="JX190" s="30"/>
      <c r="JY190" s="30"/>
      <c r="JZ190" s="30"/>
      <c r="KA190" s="30"/>
      <c r="KB190" s="30"/>
      <c r="KC190" s="30"/>
      <c r="KD190" s="30"/>
      <c r="KE190" s="30"/>
      <c r="KF190" s="30"/>
      <c r="KG190" s="30"/>
      <c r="KH190" s="30"/>
      <c r="KI190" s="30"/>
      <c r="KJ190" s="30"/>
      <c r="KK190" s="30"/>
      <c r="KL190" s="30"/>
      <c r="KM190" s="30"/>
      <c r="KN190" s="30"/>
      <c r="KO190" s="30"/>
      <c r="KP190" s="30"/>
      <c r="KQ190" s="30"/>
      <c r="KR190" s="30"/>
      <c r="KS190" s="30"/>
      <c r="KT190" s="30"/>
      <c r="KU190" s="30"/>
      <c r="KV190" s="30"/>
      <c r="KW190" s="30"/>
      <c r="KX190" s="30"/>
      <c r="KY190" s="30"/>
      <c r="KZ190" s="30"/>
      <c r="LA190" s="30"/>
      <c r="LB190" s="30"/>
      <c r="LC190" s="30"/>
      <c r="LD190" s="30"/>
      <c r="LE190" s="30"/>
      <c r="LF190" s="30"/>
      <c r="LG190" s="30"/>
      <c r="LH190" s="30"/>
      <c r="LI190" s="30"/>
      <c r="LJ190" s="30"/>
      <c r="LK190" s="30"/>
      <c r="LL190" s="30"/>
      <c r="LM190" s="30"/>
      <c r="LN190" s="30"/>
      <c r="LO190" s="30"/>
      <c r="LP190" s="30"/>
      <c r="LQ190" s="30"/>
      <c r="LR190" s="30"/>
      <c r="LS190" s="30"/>
      <c r="LT190" s="30"/>
      <c r="LU190" s="30"/>
      <c r="LV190" s="30"/>
      <c r="LW190" s="30"/>
      <c r="LX190" s="30"/>
      <c r="LY190" s="30"/>
      <c r="LZ190" s="30"/>
      <c r="MA190" s="30"/>
      <c r="MB190" s="30"/>
      <c r="MC190" s="30"/>
      <c r="MD190" s="30"/>
      <c r="ME190" s="30"/>
      <c r="MF190" s="30"/>
      <c r="MG190" s="30"/>
      <c r="MH190" s="30"/>
      <c r="MI190" s="30"/>
      <c r="MJ190" s="30"/>
      <c r="MK190" s="30"/>
      <c r="ML190" s="30"/>
      <c r="MM190" s="30"/>
      <c r="MN190" s="30"/>
      <c r="MO190" s="30"/>
      <c r="MP190" s="30"/>
      <c r="MQ190" s="30"/>
      <c r="MR190" s="30"/>
      <c r="MS190" s="30"/>
      <c r="MT190" s="30"/>
      <c r="MU190" s="30"/>
      <c r="MV190" s="30"/>
      <c r="MW190" s="30"/>
      <c r="MX190" s="30"/>
      <c r="MY190" s="30"/>
      <c r="MZ190" s="30"/>
      <c r="NA190" s="30"/>
      <c r="NB190" s="30"/>
      <c r="NC190" s="30"/>
      <c r="ND190" s="30"/>
      <c r="NE190" s="30"/>
      <c r="NF190" s="30"/>
      <c r="NG190" s="30"/>
      <c r="NH190" s="30"/>
      <c r="NI190" s="30"/>
      <c r="NJ190" s="30"/>
      <c r="NK190" s="30"/>
      <c r="NL190" s="30"/>
      <c r="NM190" s="30"/>
      <c r="NN190" s="30"/>
      <c r="NO190" s="30"/>
      <c r="NP190" s="30"/>
      <c r="NQ190" s="30"/>
      <c r="NR190" s="30"/>
      <c r="NS190" s="30"/>
      <c r="NT190" s="30"/>
      <c r="NU190" s="30"/>
      <c r="NV190" s="30"/>
      <c r="NW190" s="30"/>
      <c r="NX190" s="30"/>
      <c r="NY190" s="30"/>
      <c r="NZ190" s="30"/>
      <c r="OA190" s="30"/>
      <c r="OB190" s="30"/>
      <c r="OC190" s="30"/>
      <c r="OD190" s="30"/>
      <c r="OE190" s="30"/>
      <c r="OF190" s="30"/>
      <c r="OG190" s="30"/>
      <c r="OH190" s="30"/>
      <c r="OI190" s="30"/>
      <c r="OJ190" s="30"/>
      <c r="OK190" s="30"/>
      <c r="OL190" s="30"/>
      <c r="OM190" s="30"/>
      <c r="ON190" s="30"/>
      <c r="OO190" s="30"/>
      <c r="OP190" s="30"/>
      <c r="OQ190" s="30"/>
      <c r="OR190" s="30"/>
      <c r="OS190" s="30"/>
      <c r="OT190" s="30"/>
      <c r="OU190" s="30"/>
      <c r="OV190" s="30"/>
      <c r="OW190" s="30"/>
      <c r="OX190" s="30"/>
      <c r="OY190" s="30"/>
      <c r="OZ190" s="30"/>
      <c r="PA190" s="30"/>
      <c r="PB190" s="30"/>
      <c r="PC190" s="30"/>
      <c r="PD190" s="30"/>
      <c r="PE190" s="30"/>
      <c r="PF190" s="30"/>
      <c r="PG190" s="30"/>
      <c r="PH190" s="30"/>
      <c r="PI190" s="30"/>
      <c r="PJ190" s="30"/>
      <c r="PK190" s="30"/>
      <c r="PL190" s="30"/>
      <c r="PM190" s="30"/>
      <c r="PN190" s="30"/>
      <c r="PO190" s="30"/>
      <c r="PP190" s="30"/>
      <c r="PQ190" s="30"/>
      <c r="PR190" s="30"/>
      <c r="PS190" s="30"/>
      <c r="PT190" s="30"/>
      <c r="PU190" s="30"/>
      <c r="PV190" s="30"/>
      <c r="PW190" s="30"/>
      <c r="PX190" s="30"/>
      <c r="PY190" s="30"/>
      <c r="PZ190" s="30"/>
      <c r="QA190" s="30"/>
      <c r="QB190" s="30"/>
      <c r="QC190" s="30"/>
      <c r="QD190" s="30"/>
      <c r="QE190" s="30"/>
      <c r="QF190" s="30"/>
      <c r="QG190" s="30"/>
      <c r="QH190" s="30"/>
      <c r="QI190" s="30"/>
      <c r="QJ190" s="30"/>
      <c r="QK190" s="30"/>
      <c r="QL190" s="30"/>
      <c r="QM190" s="30"/>
      <c r="QN190" s="30"/>
      <c r="QO190" s="30"/>
      <c r="QP190" s="30"/>
      <c r="QQ190" s="30"/>
      <c r="QR190" s="30"/>
      <c r="QS190" s="30"/>
      <c r="QT190" s="30"/>
      <c r="QU190" s="30"/>
      <c r="QV190" s="30"/>
      <c r="QW190" s="30"/>
      <c r="QX190" s="30"/>
      <c r="QY190" s="30"/>
      <c r="QZ190" s="30"/>
      <c r="RA190" s="30"/>
      <c r="RB190" s="30"/>
      <c r="RC190" s="30"/>
      <c r="RD190" s="30"/>
      <c r="RE190" s="30"/>
      <c r="RF190" s="30"/>
      <c r="RG190" s="30"/>
      <c r="RH190" s="30"/>
      <c r="RI190" s="30"/>
      <c r="RJ190" s="30"/>
      <c r="RK190" s="30"/>
      <c r="RL190" s="30"/>
      <c r="RM190" s="30"/>
      <c r="RN190" s="30"/>
      <c r="RO190" s="30"/>
      <c r="RP190" s="30"/>
      <c r="RQ190" s="30"/>
      <c r="RR190" s="30"/>
      <c r="RS190" s="30"/>
      <c r="RT190" s="30"/>
      <c r="RU190" s="30"/>
      <c r="RV190" s="30"/>
      <c r="RW190" s="30"/>
      <c r="RX190" s="30"/>
      <c r="RY190" s="30"/>
      <c r="RZ190" s="30"/>
      <c r="SA190" s="30"/>
      <c r="SB190" s="30"/>
      <c r="SC190" s="30"/>
      <c r="SD190" s="30"/>
      <c r="SE190" s="30"/>
      <c r="SF190" s="30"/>
      <c r="SG190" s="30"/>
      <c r="SH190" s="30"/>
      <c r="SI190" s="30"/>
      <c r="SJ190" s="30"/>
      <c r="SK190" s="30"/>
      <c r="SL190" s="30"/>
      <c r="SM190" s="30"/>
      <c r="SN190" s="30"/>
      <c r="SO190" s="30"/>
      <c r="SP190" s="30"/>
      <c r="SQ190" s="30"/>
      <c r="SR190" s="30"/>
      <c r="SS190" s="30"/>
      <c r="ST190" s="30"/>
      <c r="SU190" s="30"/>
      <c r="SV190" s="30"/>
      <c r="SW190" s="30"/>
      <c r="SX190" s="30"/>
      <c r="SY190" s="30"/>
      <c r="SZ190" s="30"/>
      <c r="TA190" s="30"/>
      <c r="TB190" s="30"/>
      <c r="TC190" s="30"/>
      <c r="TD190" s="30"/>
      <c r="TE190" s="30"/>
      <c r="TF190" s="30"/>
      <c r="TG190" s="30"/>
    </row>
    <row r="191" spans="1:527" s="27" customFormat="1" ht="22.5" customHeight="1" x14ac:dyDescent="0.25">
      <c r="A191" s="114" t="s">
        <v>27</v>
      </c>
      <c r="B191" s="116"/>
      <c r="C191" s="116"/>
      <c r="D191" s="111" t="s">
        <v>337</v>
      </c>
      <c r="E191" s="99">
        <f>E192</f>
        <v>81527460</v>
      </c>
      <c r="F191" s="99">
        <f t="shared" ref="F191:J191" si="73">F192</f>
        <v>81527460</v>
      </c>
      <c r="G191" s="99">
        <f t="shared" si="73"/>
        <v>62366800</v>
      </c>
      <c r="H191" s="99">
        <f t="shared" si="73"/>
        <v>1929560</v>
      </c>
      <c r="I191" s="99">
        <f t="shared" si="73"/>
        <v>0</v>
      </c>
      <c r="J191" s="99">
        <f t="shared" si="73"/>
        <v>5480600</v>
      </c>
      <c r="K191" s="99">
        <f t="shared" ref="K191" si="74">K192</f>
        <v>2720500</v>
      </c>
      <c r="L191" s="99">
        <f t="shared" ref="L191" si="75">L192</f>
        <v>2756970</v>
      </c>
      <c r="M191" s="99">
        <f t="shared" ref="M191" si="76">M192</f>
        <v>2239004</v>
      </c>
      <c r="N191" s="99">
        <f t="shared" ref="N191" si="77">N192</f>
        <v>3300</v>
      </c>
      <c r="O191" s="99">
        <f t="shared" ref="O191:P191" si="78">O192</f>
        <v>2723630</v>
      </c>
      <c r="P191" s="99">
        <f t="shared" si="78"/>
        <v>87008060</v>
      </c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32"/>
      <c r="HO191" s="32"/>
      <c r="HP191" s="32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2"/>
      <c r="IC191" s="32"/>
      <c r="ID191" s="32"/>
      <c r="IE191" s="32"/>
      <c r="IF191" s="32"/>
      <c r="IG191" s="32"/>
      <c r="IH191" s="32"/>
      <c r="II191" s="32"/>
      <c r="IJ191" s="32"/>
      <c r="IK191" s="32"/>
      <c r="IL191" s="32"/>
      <c r="IM191" s="32"/>
      <c r="IN191" s="32"/>
      <c r="IO191" s="32"/>
      <c r="IP191" s="32"/>
      <c r="IQ191" s="32"/>
      <c r="IR191" s="32"/>
      <c r="IS191" s="32"/>
      <c r="IT191" s="32"/>
      <c r="IU191" s="32"/>
      <c r="IV191" s="32"/>
      <c r="IW191" s="32"/>
      <c r="IX191" s="32"/>
      <c r="IY191" s="32"/>
      <c r="IZ191" s="32"/>
      <c r="JA191" s="32"/>
      <c r="JB191" s="32"/>
      <c r="JC191" s="32"/>
      <c r="JD191" s="32"/>
      <c r="JE191" s="32"/>
      <c r="JF191" s="32"/>
      <c r="JG191" s="32"/>
      <c r="JH191" s="32"/>
      <c r="JI191" s="32"/>
      <c r="JJ191" s="32"/>
      <c r="JK191" s="32"/>
      <c r="JL191" s="32"/>
      <c r="JM191" s="32"/>
      <c r="JN191" s="32"/>
      <c r="JO191" s="32"/>
      <c r="JP191" s="32"/>
      <c r="JQ191" s="32"/>
      <c r="JR191" s="32"/>
      <c r="JS191" s="32"/>
      <c r="JT191" s="32"/>
      <c r="JU191" s="32"/>
      <c r="JV191" s="32"/>
      <c r="JW191" s="32"/>
      <c r="JX191" s="32"/>
      <c r="JY191" s="32"/>
      <c r="JZ191" s="32"/>
      <c r="KA191" s="32"/>
      <c r="KB191" s="32"/>
      <c r="KC191" s="32"/>
      <c r="KD191" s="32"/>
      <c r="KE191" s="32"/>
      <c r="KF191" s="32"/>
      <c r="KG191" s="32"/>
      <c r="KH191" s="32"/>
      <c r="KI191" s="32"/>
      <c r="KJ191" s="32"/>
      <c r="KK191" s="32"/>
      <c r="KL191" s="32"/>
      <c r="KM191" s="32"/>
      <c r="KN191" s="32"/>
      <c r="KO191" s="32"/>
      <c r="KP191" s="32"/>
      <c r="KQ191" s="32"/>
      <c r="KR191" s="32"/>
      <c r="KS191" s="32"/>
      <c r="KT191" s="32"/>
      <c r="KU191" s="32"/>
      <c r="KV191" s="32"/>
      <c r="KW191" s="32"/>
      <c r="KX191" s="32"/>
      <c r="KY191" s="32"/>
      <c r="KZ191" s="32"/>
      <c r="LA191" s="32"/>
      <c r="LB191" s="32"/>
      <c r="LC191" s="32"/>
      <c r="LD191" s="32"/>
      <c r="LE191" s="32"/>
      <c r="LF191" s="32"/>
      <c r="LG191" s="32"/>
      <c r="LH191" s="32"/>
      <c r="LI191" s="32"/>
      <c r="LJ191" s="32"/>
      <c r="LK191" s="32"/>
      <c r="LL191" s="32"/>
      <c r="LM191" s="32"/>
      <c r="LN191" s="32"/>
      <c r="LO191" s="32"/>
      <c r="LP191" s="32"/>
      <c r="LQ191" s="32"/>
      <c r="LR191" s="32"/>
      <c r="LS191" s="32"/>
      <c r="LT191" s="32"/>
      <c r="LU191" s="32"/>
      <c r="LV191" s="32"/>
      <c r="LW191" s="32"/>
      <c r="LX191" s="32"/>
      <c r="LY191" s="32"/>
      <c r="LZ191" s="32"/>
      <c r="MA191" s="32"/>
      <c r="MB191" s="32"/>
      <c r="MC191" s="32"/>
      <c r="MD191" s="32"/>
      <c r="ME191" s="32"/>
      <c r="MF191" s="32"/>
      <c r="MG191" s="32"/>
      <c r="MH191" s="32"/>
      <c r="MI191" s="32"/>
      <c r="MJ191" s="32"/>
      <c r="MK191" s="32"/>
      <c r="ML191" s="32"/>
      <c r="MM191" s="32"/>
      <c r="MN191" s="32"/>
      <c r="MO191" s="32"/>
      <c r="MP191" s="32"/>
      <c r="MQ191" s="32"/>
      <c r="MR191" s="32"/>
      <c r="MS191" s="32"/>
      <c r="MT191" s="32"/>
      <c r="MU191" s="32"/>
      <c r="MV191" s="32"/>
      <c r="MW191" s="32"/>
      <c r="MX191" s="32"/>
      <c r="MY191" s="32"/>
      <c r="MZ191" s="32"/>
      <c r="NA191" s="32"/>
      <c r="NB191" s="32"/>
      <c r="NC191" s="32"/>
      <c r="ND191" s="32"/>
      <c r="NE191" s="32"/>
      <c r="NF191" s="32"/>
      <c r="NG191" s="32"/>
      <c r="NH191" s="32"/>
      <c r="NI191" s="32"/>
      <c r="NJ191" s="32"/>
      <c r="NK191" s="32"/>
      <c r="NL191" s="32"/>
      <c r="NM191" s="32"/>
      <c r="NN191" s="32"/>
      <c r="NO191" s="32"/>
      <c r="NP191" s="32"/>
      <c r="NQ191" s="32"/>
      <c r="NR191" s="32"/>
      <c r="NS191" s="32"/>
      <c r="NT191" s="32"/>
      <c r="NU191" s="32"/>
      <c r="NV191" s="32"/>
      <c r="NW191" s="32"/>
      <c r="NX191" s="32"/>
      <c r="NY191" s="32"/>
      <c r="NZ191" s="32"/>
      <c r="OA191" s="32"/>
      <c r="OB191" s="32"/>
      <c r="OC191" s="32"/>
      <c r="OD191" s="32"/>
      <c r="OE191" s="32"/>
      <c r="OF191" s="32"/>
      <c r="OG191" s="32"/>
      <c r="OH191" s="32"/>
      <c r="OI191" s="32"/>
      <c r="OJ191" s="32"/>
      <c r="OK191" s="32"/>
      <c r="OL191" s="32"/>
      <c r="OM191" s="32"/>
      <c r="ON191" s="32"/>
      <c r="OO191" s="32"/>
      <c r="OP191" s="32"/>
      <c r="OQ191" s="32"/>
      <c r="OR191" s="32"/>
      <c r="OS191" s="32"/>
      <c r="OT191" s="32"/>
      <c r="OU191" s="32"/>
      <c r="OV191" s="32"/>
      <c r="OW191" s="32"/>
      <c r="OX191" s="32"/>
      <c r="OY191" s="32"/>
      <c r="OZ191" s="32"/>
      <c r="PA191" s="32"/>
      <c r="PB191" s="32"/>
      <c r="PC191" s="32"/>
      <c r="PD191" s="32"/>
      <c r="PE191" s="32"/>
      <c r="PF191" s="32"/>
      <c r="PG191" s="32"/>
      <c r="PH191" s="32"/>
      <c r="PI191" s="32"/>
      <c r="PJ191" s="32"/>
      <c r="PK191" s="32"/>
      <c r="PL191" s="32"/>
      <c r="PM191" s="32"/>
      <c r="PN191" s="32"/>
      <c r="PO191" s="32"/>
      <c r="PP191" s="32"/>
      <c r="PQ191" s="32"/>
      <c r="PR191" s="32"/>
      <c r="PS191" s="32"/>
      <c r="PT191" s="32"/>
      <c r="PU191" s="32"/>
      <c r="PV191" s="32"/>
      <c r="PW191" s="32"/>
      <c r="PX191" s="32"/>
      <c r="PY191" s="32"/>
      <c r="PZ191" s="32"/>
      <c r="QA191" s="32"/>
      <c r="QB191" s="32"/>
      <c r="QC191" s="32"/>
      <c r="QD191" s="32"/>
      <c r="QE191" s="32"/>
      <c r="QF191" s="32"/>
      <c r="QG191" s="32"/>
      <c r="QH191" s="32"/>
      <c r="QI191" s="32"/>
      <c r="QJ191" s="32"/>
      <c r="QK191" s="32"/>
      <c r="QL191" s="32"/>
      <c r="QM191" s="32"/>
      <c r="QN191" s="32"/>
      <c r="QO191" s="32"/>
      <c r="QP191" s="32"/>
      <c r="QQ191" s="32"/>
      <c r="QR191" s="32"/>
      <c r="QS191" s="32"/>
      <c r="QT191" s="32"/>
      <c r="QU191" s="32"/>
      <c r="QV191" s="32"/>
      <c r="QW191" s="32"/>
      <c r="QX191" s="32"/>
      <c r="QY191" s="32"/>
      <c r="QZ191" s="32"/>
      <c r="RA191" s="32"/>
      <c r="RB191" s="32"/>
      <c r="RC191" s="32"/>
      <c r="RD191" s="32"/>
      <c r="RE191" s="32"/>
      <c r="RF191" s="32"/>
      <c r="RG191" s="32"/>
      <c r="RH191" s="32"/>
      <c r="RI191" s="32"/>
      <c r="RJ191" s="32"/>
      <c r="RK191" s="32"/>
      <c r="RL191" s="32"/>
      <c r="RM191" s="32"/>
      <c r="RN191" s="32"/>
      <c r="RO191" s="32"/>
      <c r="RP191" s="32"/>
      <c r="RQ191" s="32"/>
      <c r="RR191" s="32"/>
      <c r="RS191" s="32"/>
      <c r="RT191" s="32"/>
      <c r="RU191" s="32"/>
      <c r="RV191" s="32"/>
      <c r="RW191" s="32"/>
      <c r="RX191" s="32"/>
      <c r="RY191" s="32"/>
      <c r="RZ191" s="32"/>
      <c r="SA191" s="32"/>
      <c r="SB191" s="32"/>
      <c r="SC191" s="32"/>
      <c r="SD191" s="32"/>
      <c r="SE191" s="32"/>
      <c r="SF191" s="32"/>
      <c r="SG191" s="32"/>
      <c r="SH191" s="32"/>
      <c r="SI191" s="32"/>
      <c r="SJ191" s="32"/>
      <c r="SK191" s="32"/>
      <c r="SL191" s="32"/>
      <c r="SM191" s="32"/>
      <c r="SN191" s="32"/>
      <c r="SO191" s="32"/>
      <c r="SP191" s="32"/>
      <c r="SQ191" s="32"/>
      <c r="SR191" s="32"/>
      <c r="SS191" s="32"/>
      <c r="ST191" s="32"/>
      <c r="SU191" s="32"/>
      <c r="SV191" s="32"/>
      <c r="SW191" s="32"/>
      <c r="SX191" s="32"/>
      <c r="SY191" s="32"/>
      <c r="SZ191" s="32"/>
      <c r="TA191" s="32"/>
      <c r="TB191" s="32"/>
      <c r="TC191" s="32"/>
      <c r="TD191" s="32"/>
      <c r="TE191" s="32"/>
      <c r="TF191" s="32"/>
      <c r="TG191" s="32"/>
    </row>
    <row r="192" spans="1:527" s="34" customFormat="1" ht="21.75" customHeight="1" x14ac:dyDescent="0.25">
      <c r="A192" s="100" t="s">
        <v>194</v>
      </c>
      <c r="B192" s="113"/>
      <c r="C192" s="113"/>
      <c r="D192" s="81" t="s">
        <v>337</v>
      </c>
      <c r="E192" s="102">
        <f>E193+E194+E195+E197+E198++E200+E196+E199+E201</f>
        <v>81527460</v>
      </c>
      <c r="F192" s="102">
        <f t="shared" ref="F192:P192" si="79">F193+F194+F195+F197+F198++F200+F196+F199+F201</f>
        <v>81527460</v>
      </c>
      <c r="G192" s="102">
        <f t="shared" si="79"/>
        <v>62366800</v>
      </c>
      <c r="H192" s="102">
        <f t="shared" si="79"/>
        <v>1929560</v>
      </c>
      <c r="I192" s="102">
        <f t="shared" si="79"/>
        <v>0</v>
      </c>
      <c r="J192" s="102">
        <f t="shared" si="79"/>
        <v>5480600</v>
      </c>
      <c r="K192" s="102">
        <f t="shared" si="79"/>
        <v>2720500</v>
      </c>
      <c r="L192" s="102">
        <f t="shared" si="79"/>
        <v>2756970</v>
      </c>
      <c r="M192" s="102">
        <f t="shared" si="79"/>
        <v>2239004</v>
      </c>
      <c r="N192" s="102">
        <f t="shared" si="79"/>
        <v>3300</v>
      </c>
      <c r="O192" s="102">
        <f t="shared" si="79"/>
        <v>2723630</v>
      </c>
      <c r="P192" s="102">
        <f t="shared" si="79"/>
        <v>87008060</v>
      </c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  <c r="IC192" s="33"/>
      <c r="ID192" s="33"/>
      <c r="IE192" s="33"/>
      <c r="IF192" s="33"/>
      <c r="IG192" s="33"/>
      <c r="IH192" s="33"/>
      <c r="II192" s="33"/>
      <c r="IJ192" s="33"/>
      <c r="IK192" s="33"/>
      <c r="IL192" s="33"/>
      <c r="IM192" s="33"/>
      <c r="IN192" s="33"/>
      <c r="IO192" s="33"/>
      <c r="IP192" s="33"/>
      <c r="IQ192" s="33"/>
      <c r="IR192" s="33"/>
      <c r="IS192" s="33"/>
      <c r="IT192" s="33"/>
      <c r="IU192" s="33"/>
      <c r="IV192" s="33"/>
      <c r="IW192" s="33"/>
      <c r="IX192" s="33"/>
      <c r="IY192" s="33"/>
      <c r="IZ192" s="33"/>
      <c r="JA192" s="33"/>
      <c r="JB192" s="33"/>
      <c r="JC192" s="33"/>
      <c r="JD192" s="33"/>
      <c r="JE192" s="33"/>
      <c r="JF192" s="33"/>
      <c r="JG192" s="33"/>
      <c r="JH192" s="33"/>
      <c r="JI192" s="33"/>
      <c r="JJ192" s="33"/>
      <c r="JK192" s="33"/>
      <c r="JL192" s="33"/>
      <c r="JM192" s="33"/>
      <c r="JN192" s="33"/>
      <c r="JO192" s="33"/>
      <c r="JP192" s="33"/>
      <c r="JQ192" s="33"/>
      <c r="JR192" s="33"/>
      <c r="JS192" s="33"/>
      <c r="JT192" s="33"/>
      <c r="JU192" s="33"/>
      <c r="JV192" s="33"/>
      <c r="JW192" s="33"/>
      <c r="JX192" s="33"/>
      <c r="JY192" s="33"/>
      <c r="JZ192" s="33"/>
      <c r="KA192" s="33"/>
      <c r="KB192" s="33"/>
      <c r="KC192" s="33"/>
      <c r="KD192" s="33"/>
      <c r="KE192" s="33"/>
      <c r="KF192" s="33"/>
      <c r="KG192" s="33"/>
      <c r="KH192" s="33"/>
      <c r="KI192" s="33"/>
      <c r="KJ192" s="33"/>
      <c r="KK192" s="33"/>
      <c r="KL192" s="33"/>
      <c r="KM192" s="33"/>
      <c r="KN192" s="33"/>
      <c r="KO192" s="33"/>
      <c r="KP192" s="33"/>
      <c r="KQ192" s="33"/>
      <c r="KR192" s="33"/>
      <c r="KS192" s="33"/>
      <c r="KT192" s="33"/>
      <c r="KU192" s="33"/>
      <c r="KV192" s="33"/>
      <c r="KW192" s="33"/>
      <c r="KX192" s="33"/>
      <c r="KY192" s="33"/>
      <c r="KZ192" s="33"/>
      <c r="LA192" s="33"/>
      <c r="LB192" s="33"/>
      <c r="LC192" s="33"/>
      <c r="LD192" s="33"/>
      <c r="LE192" s="33"/>
      <c r="LF192" s="33"/>
      <c r="LG192" s="33"/>
      <c r="LH192" s="33"/>
      <c r="LI192" s="33"/>
      <c r="LJ192" s="33"/>
      <c r="LK192" s="33"/>
      <c r="LL192" s="33"/>
      <c r="LM192" s="33"/>
      <c r="LN192" s="33"/>
      <c r="LO192" s="33"/>
      <c r="LP192" s="33"/>
      <c r="LQ192" s="33"/>
      <c r="LR192" s="33"/>
      <c r="LS192" s="33"/>
      <c r="LT192" s="33"/>
      <c r="LU192" s="33"/>
      <c r="LV192" s="33"/>
      <c r="LW192" s="33"/>
      <c r="LX192" s="33"/>
      <c r="LY192" s="33"/>
      <c r="LZ192" s="33"/>
      <c r="MA192" s="33"/>
      <c r="MB192" s="33"/>
      <c r="MC192" s="33"/>
      <c r="MD192" s="33"/>
      <c r="ME192" s="33"/>
      <c r="MF192" s="33"/>
      <c r="MG192" s="33"/>
      <c r="MH192" s="33"/>
      <c r="MI192" s="33"/>
      <c r="MJ192" s="33"/>
      <c r="MK192" s="33"/>
      <c r="ML192" s="33"/>
      <c r="MM192" s="33"/>
      <c r="MN192" s="33"/>
      <c r="MO192" s="33"/>
      <c r="MP192" s="33"/>
      <c r="MQ192" s="33"/>
      <c r="MR192" s="33"/>
      <c r="MS192" s="33"/>
      <c r="MT192" s="33"/>
      <c r="MU192" s="33"/>
      <c r="MV192" s="33"/>
      <c r="MW192" s="33"/>
      <c r="MX192" s="33"/>
      <c r="MY192" s="33"/>
      <c r="MZ192" s="33"/>
      <c r="NA192" s="33"/>
      <c r="NB192" s="33"/>
      <c r="NC192" s="33"/>
      <c r="ND192" s="33"/>
      <c r="NE192" s="33"/>
      <c r="NF192" s="33"/>
      <c r="NG192" s="33"/>
      <c r="NH192" s="33"/>
      <c r="NI192" s="33"/>
      <c r="NJ192" s="33"/>
      <c r="NK192" s="33"/>
      <c r="NL192" s="33"/>
      <c r="NM192" s="33"/>
      <c r="NN192" s="33"/>
      <c r="NO192" s="33"/>
      <c r="NP192" s="33"/>
      <c r="NQ192" s="33"/>
      <c r="NR192" s="33"/>
      <c r="NS192" s="33"/>
      <c r="NT192" s="33"/>
      <c r="NU192" s="33"/>
      <c r="NV192" s="33"/>
      <c r="NW192" s="33"/>
      <c r="NX192" s="33"/>
      <c r="NY192" s="33"/>
      <c r="NZ192" s="33"/>
      <c r="OA192" s="33"/>
      <c r="OB192" s="33"/>
      <c r="OC192" s="33"/>
      <c r="OD192" s="33"/>
      <c r="OE192" s="33"/>
      <c r="OF192" s="33"/>
      <c r="OG192" s="33"/>
      <c r="OH192" s="33"/>
      <c r="OI192" s="33"/>
      <c r="OJ192" s="33"/>
      <c r="OK192" s="33"/>
      <c r="OL192" s="33"/>
      <c r="OM192" s="33"/>
      <c r="ON192" s="33"/>
      <c r="OO192" s="33"/>
      <c r="OP192" s="33"/>
      <c r="OQ192" s="33"/>
      <c r="OR192" s="33"/>
      <c r="OS192" s="33"/>
      <c r="OT192" s="33"/>
      <c r="OU192" s="33"/>
      <c r="OV192" s="33"/>
      <c r="OW192" s="33"/>
      <c r="OX192" s="33"/>
      <c r="OY192" s="33"/>
      <c r="OZ192" s="33"/>
      <c r="PA192" s="33"/>
      <c r="PB192" s="33"/>
      <c r="PC192" s="33"/>
      <c r="PD192" s="33"/>
      <c r="PE192" s="33"/>
      <c r="PF192" s="33"/>
      <c r="PG192" s="33"/>
      <c r="PH192" s="33"/>
      <c r="PI192" s="33"/>
      <c r="PJ192" s="33"/>
      <c r="PK192" s="33"/>
      <c r="PL192" s="33"/>
      <c r="PM192" s="33"/>
      <c r="PN192" s="33"/>
      <c r="PO192" s="33"/>
      <c r="PP192" s="33"/>
      <c r="PQ192" s="33"/>
      <c r="PR192" s="33"/>
      <c r="PS192" s="33"/>
      <c r="PT192" s="33"/>
      <c r="PU192" s="33"/>
      <c r="PV192" s="33"/>
      <c r="PW192" s="33"/>
      <c r="PX192" s="33"/>
      <c r="PY192" s="33"/>
      <c r="PZ192" s="33"/>
      <c r="QA192" s="33"/>
      <c r="QB192" s="33"/>
      <c r="QC192" s="33"/>
      <c r="QD192" s="33"/>
      <c r="QE192" s="33"/>
      <c r="QF192" s="33"/>
      <c r="QG192" s="33"/>
      <c r="QH192" s="33"/>
      <c r="QI192" s="33"/>
      <c r="QJ192" s="33"/>
      <c r="QK192" s="33"/>
      <c r="QL192" s="33"/>
      <c r="QM192" s="33"/>
      <c r="QN192" s="33"/>
      <c r="QO192" s="33"/>
      <c r="QP192" s="33"/>
      <c r="QQ192" s="33"/>
      <c r="QR192" s="33"/>
      <c r="QS192" s="33"/>
      <c r="QT192" s="33"/>
      <c r="QU192" s="33"/>
      <c r="QV192" s="33"/>
      <c r="QW192" s="33"/>
      <c r="QX192" s="33"/>
      <c r="QY192" s="33"/>
      <c r="QZ192" s="33"/>
      <c r="RA192" s="33"/>
      <c r="RB192" s="33"/>
      <c r="RC192" s="33"/>
      <c r="RD192" s="33"/>
      <c r="RE192" s="33"/>
      <c r="RF192" s="33"/>
      <c r="RG192" s="33"/>
      <c r="RH192" s="33"/>
      <c r="RI192" s="33"/>
      <c r="RJ192" s="33"/>
      <c r="RK192" s="33"/>
      <c r="RL192" s="33"/>
      <c r="RM192" s="33"/>
      <c r="RN192" s="33"/>
      <c r="RO192" s="33"/>
      <c r="RP192" s="33"/>
      <c r="RQ192" s="33"/>
      <c r="RR192" s="33"/>
      <c r="RS192" s="33"/>
      <c r="RT192" s="33"/>
      <c r="RU192" s="33"/>
      <c r="RV192" s="33"/>
      <c r="RW192" s="33"/>
      <c r="RX192" s="33"/>
      <c r="RY192" s="33"/>
      <c r="RZ192" s="33"/>
      <c r="SA192" s="33"/>
      <c r="SB192" s="33"/>
      <c r="SC192" s="33"/>
      <c r="SD192" s="33"/>
      <c r="SE192" s="33"/>
      <c r="SF192" s="33"/>
      <c r="SG192" s="33"/>
      <c r="SH192" s="33"/>
      <c r="SI192" s="33"/>
      <c r="SJ192" s="33"/>
      <c r="SK192" s="33"/>
      <c r="SL192" s="33"/>
      <c r="SM192" s="33"/>
      <c r="SN192" s="33"/>
      <c r="SO192" s="33"/>
      <c r="SP192" s="33"/>
      <c r="SQ192" s="33"/>
      <c r="SR192" s="33"/>
      <c r="SS192" s="33"/>
      <c r="ST192" s="33"/>
      <c r="SU192" s="33"/>
      <c r="SV192" s="33"/>
      <c r="SW192" s="33"/>
      <c r="SX192" s="33"/>
      <c r="SY192" s="33"/>
      <c r="SZ192" s="33"/>
      <c r="TA192" s="33"/>
      <c r="TB192" s="33"/>
      <c r="TC192" s="33"/>
      <c r="TD192" s="33"/>
      <c r="TE192" s="33"/>
      <c r="TF192" s="33"/>
      <c r="TG192" s="33"/>
    </row>
    <row r="193" spans="1:527" s="22" customFormat="1" ht="47.25" x14ac:dyDescent="0.25">
      <c r="A193" s="60" t="s">
        <v>141</v>
      </c>
      <c r="B193" s="97" t="str">
        <f>'дод 8'!A19</f>
        <v>0160</v>
      </c>
      <c r="C193" s="97" t="str">
        <f>'дод 8'!B19</f>
        <v>0111</v>
      </c>
      <c r="D193" s="36" t="s">
        <v>504</v>
      </c>
      <c r="E193" s="103">
        <f t="shared" ref="E193:E201" si="80">F193+I193</f>
        <v>2163700</v>
      </c>
      <c r="F193" s="103">
        <v>2163700</v>
      </c>
      <c r="G193" s="103">
        <v>1695500</v>
      </c>
      <c r="H193" s="103">
        <v>18000</v>
      </c>
      <c r="I193" s="103"/>
      <c r="J193" s="103">
        <f>L193+O193</f>
        <v>0</v>
      </c>
      <c r="K193" s="103"/>
      <c r="L193" s="103"/>
      <c r="M193" s="103"/>
      <c r="N193" s="103"/>
      <c r="O193" s="103"/>
      <c r="P193" s="103">
        <f t="shared" ref="P193:P201" si="81">E193+J193</f>
        <v>2163700</v>
      </c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  <c r="TF193" s="23"/>
      <c r="TG193" s="23"/>
    </row>
    <row r="194" spans="1:527" s="22" customFormat="1" ht="19.5" customHeight="1" x14ac:dyDescent="0.25">
      <c r="A194" s="60" t="s">
        <v>519</v>
      </c>
      <c r="B194" s="97">
        <v>1080</v>
      </c>
      <c r="C194" s="60" t="s">
        <v>58</v>
      </c>
      <c r="D194" s="61" t="s">
        <v>520</v>
      </c>
      <c r="E194" s="103">
        <f t="shared" si="80"/>
        <v>50782500</v>
      </c>
      <c r="F194" s="103">
        <f>50652500+65000+20000+30000+15000</f>
        <v>50782500</v>
      </c>
      <c r="G194" s="103">
        <v>40594000</v>
      </c>
      <c r="H194" s="103">
        <f>612300</f>
        <v>612300</v>
      </c>
      <c r="I194" s="103"/>
      <c r="J194" s="103">
        <f t="shared" ref="J194:J201" si="82">L194+O194</f>
        <v>2729100</v>
      </c>
      <c r="K194" s="103"/>
      <c r="L194" s="103">
        <v>2725970</v>
      </c>
      <c r="M194" s="103">
        <v>2226904</v>
      </c>
      <c r="N194" s="103"/>
      <c r="O194" s="103">
        <v>3130</v>
      </c>
      <c r="P194" s="103">
        <f t="shared" si="81"/>
        <v>53511600</v>
      </c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  <c r="TF194" s="23"/>
      <c r="TG194" s="23"/>
    </row>
    <row r="195" spans="1:527" s="22" customFormat="1" ht="21" customHeight="1" x14ac:dyDescent="0.25">
      <c r="A195" s="60" t="s">
        <v>195</v>
      </c>
      <c r="B195" s="97" t="str">
        <f>'дод 8'!A125</f>
        <v>4030</v>
      </c>
      <c r="C195" s="97" t="str">
        <f>'дод 8'!B125</f>
        <v>0824</v>
      </c>
      <c r="D195" s="61" t="str">
        <f>'дод 8'!C125</f>
        <v>Забезпечення діяльності бібліотек</v>
      </c>
      <c r="E195" s="103">
        <f t="shared" si="80"/>
        <v>22829400</v>
      </c>
      <c r="F195" s="103">
        <f>22627900+77000+112000+10000+2500</f>
        <v>22829400</v>
      </c>
      <c r="G195" s="103">
        <v>16852700</v>
      </c>
      <c r="H195" s="103">
        <v>1133500</v>
      </c>
      <c r="I195" s="103"/>
      <c r="J195" s="103">
        <f t="shared" si="82"/>
        <v>252500</v>
      </c>
      <c r="K195" s="103">
        <f>195000+20000+5000+7500</f>
        <v>227500</v>
      </c>
      <c r="L195" s="103">
        <v>25000</v>
      </c>
      <c r="M195" s="103">
        <v>12100</v>
      </c>
      <c r="N195" s="103"/>
      <c r="O195" s="103">
        <f>195000+20000+5000+7500</f>
        <v>227500</v>
      </c>
      <c r="P195" s="103">
        <f t="shared" si="81"/>
        <v>23081900</v>
      </c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  <c r="TF195" s="23"/>
      <c r="TG195" s="23"/>
    </row>
    <row r="196" spans="1:527" s="22" customFormat="1" ht="48.75" customHeight="1" x14ac:dyDescent="0.25">
      <c r="A196" s="60">
        <v>1014060</v>
      </c>
      <c r="B196" s="97" t="str">
        <f>'дод 8'!A126</f>
        <v>4060</v>
      </c>
      <c r="C196" s="97" t="str">
        <f>'дод 8'!B126</f>
        <v>0828</v>
      </c>
      <c r="D196" s="61" t="str">
        <f>'дод 8'!C126</f>
        <v>Забезпечення діяльності палаців i будинків культури, клубів, центрів дозвілля та iнших клубних закладів</v>
      </c>
      <c r="E196" s="103">
        <f t="shared" si="80"/>
        <v>2260460</v>
      </c>
      <c r="F196" s="103">
        <f>2160300+15160+20000+25000+40000</f>
        <v>2260460</v>
      </c>
      <c r="G196" s="103">
        <v>1531600</v>
      </c>
      <c r="H196" s="103">
        <f>115700+15160</f>
        <v>130860</v>
      </c>
      <c r="I196" s="103"/>
      <c r="J196" s="103">
        <f t="shared" si="82"/>
        <v>6000</v>
      </c>
      <c r="K196" s="103">
        <f>40000-40000</f>
        <v>0</v>
      </c>
      <c r="L196" s="103">
        <v>6000</v>
      </c>
      <c r="M196" s="103"/>
      <c r="N196" s="103">
        <v>3300</v>
      </c>
      <c r="O196" s="103">
        <f>40000-40000</f>
        <v>0</v>
      </c>
      <c r="P196" s="103">
        <f t="shared" si="81"/>
        <v>2266460</v>
      </c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  <c r="TG196" s="23"/>
    </row>
    <row r="197" spans="1:527" s="24" customFormat="1" ht="33.75" customHeight="1" x14ac:dyDescent="0.25">
      <c r="A197" s="60">
        <v>1014081</v>
      </c>
      <c r="B197" s="97" t="str">
        <f>'дод 8'!A127</f>
        <v>4081</v>
      </c>
      <c r="C197" s="97" t="str">
        <f>'дод 8'!B127</f>
        <v>0829</v>
      </c>
      <c r="D197" s="61" t="str">
        <f>'дод 8'!C127</f>
        <v>Забезпечення діяльності інших закладів в галузі культури і мистецтва</v>
      </c>
      <c r="E197" s="103">
        <f t="shared" si="80"/>
        <v>2206400</v>
      </c>
      <c r="F197" s="103">
        <v>2206400</v>
      </c>
      <c r="G197" s="103">
        <v>1693000</v>
      </c>
      <c r="H197" s="103">
        <v>34900</v>
      </c>
      <c r="I197" s="103"/>
      <c r="J197" s="103">
        <f t="shared" si="82"/>
        <v>23000</v>
      </c>
      <c r="K197" s="103">
        <v>23000</v>
      </c>
      <c r="L197" s="103"/>
      <c r="M197" s="103"/>
      <c r="N197" s="103"/>
      <c r="O197" s="103">
        <v>23000</v>
      </c>
      <c r="P197" s="103">
        <f t="shared" si="81"/>
        <v>2229400</v>
      </c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  <c r="IW197" s="30"/>
      <c r="IX197" s="30"/>
      <c r="IY197" s="30"/>
      <c r="IZ197" s="30"/>
      <c r="JA197" s="30"/>
      <c r="JB197" s="30"/>
      <c r="JC197" s="30"/>
      <c r="JD197" s="30"/>
      <c r="JE197" s="30"/>
      <c r="JF197" s="30"/>
      <c r="JG197" s="30"/>
      <c r="JH197" s="30"/>
      <c r="JI197" s="30"/>
      <c r="JJ197" s="30"/>
      <c r="JK197" s="30"/>
      <c r="JL197" s="30"/>
      <c r="JM197" s="30"/>
      <c r="JN197" s="30"/>
      <c r="JO197" s="30"/>
      <c r="JP197" s="30"/>
      <c r="JQ197" s="30"/>
      <c r="JR197" s="30"/>
      <c r="JS197" s="30"/>
      <c r="JT197" s="30"/>
      <c r="JU197" s="30"/>
      <c r="JV197" s="30"/>
      <c r="JW197" s="30"/>
      <c r="JX197" s="30"/>
      <c r="JY197" s="30"/>
      <c r="JZ197" s="30"/>
      <c r="KA197" s="30"/>
      <c r="KB197" s="30"/>
      <c r="KC197" s="30"/>
      <c r="KD197" s="30"/>
      <c r="KE197" s="30"/>
      <c r="KF197" s="30"/>
      <c r="KG197" s="30"/>
      <c r="KH197" s="30"/>
      <c r="KI197" s="30"/>
      <c r="KJ197" s="30"/>
      <c r="KK197" s="30"/>
      <c r="KL197" s="30"/>
      <c r="KM197" s="30"/>
      <c r="KN197" s="30"/>
      <c r="KO197" s="30"/>
      <c r="KP197" s="30"/>
      <c r="KQ197" s="30"/>
      <c r="KR197" s="30"/>
      <c r="KS197" s="30"/>
      <c r="KT197" s="30"/>
      <c r="KU197" s="30"/>
      <c r="KV197" s="30"/>
      <c r="KW197" s="30"/>
      <c r="KX197" s="30"/>
      <c r="KY197" s="30"/>
      <c r="KZ197" s="30"/>
      <c r="LA197" s="30"/>
      <c r="LB197" s="30"/>
      <c r="LC197" s="30"/>
      <c r="LD197" s="30"/>
      <c r="LE197" s="30"/>
      <c r="LF197" s="30"/>
      <c r="LG197" s="30"/>
      <c r="LH197" s="30"/>
      <c r="LI197" s="30"/>
      <c r="LJ197" s="30"/>
      <c r="LK197" s="30"/>
      <c r="LL197" s="30"/>
      <c r="LM197" s="30"/>
      <c r="LN197" s="30"/>
      <c r="LO197" s="30"/>
      <c r="LP197" s="30"/>
      <c r="LQ197" s="30"/>
      <c r="LR197" s="30"/>
      <c r="LS197" s="30"/>
      <c r="LT197" s="30"/>
      <c r="LU197" s="30"/>
      <c r="LV197" s="30"/>
      <c r="LW197" s="30"/>
      <c r="LX197" s="30"/>
      <c r="LY197" s="30"/>
      <c r="LZ197" s="30"/>
      <c r="MA197" s="30"/>
      <c r="MB197" s="30"/>
      <c r="MC197" s="30"/>
      <c r="MD197" s="30"/>
      <c r="ME197" s="30"/>
      <c r="MF197" s="30"/>
      <c r="MG197" s="30"/>
      <c r="MH197" s="30"/>
      <c r="MI197" s="30"/>
      <c r="MJ197" s="30"/>
      <c r="MK197" s="30"/>
      <c r="ML197" s="30"/>
      <c r="MM197" s="30"/>
      <c r="MN197" s="30"/>
      <c r="MO197" s="30"/>
      <c r="MP197" s="30"/>
      <c r="MQ197" s="30"/>
      <c r="MR197" s="30"/>
      <c r="MS197" s="30"/>
      <c r="MT197" s="30"/>
      <c r="MU197" s="30"/>
      <c r="MV197" s="30"/>
      <c r="MW197" s="30"/>
      <c r="MX197" s="30"/>
      <c r="MY197" s="30"/>
      <c r="MZ197" s="30"/>
      <c r="NA197" s="30"/>
      <c r="NB197" s="30"/>
      <c r="NC197" s="30"/>
      <c r="ND197" s="30"/>
      <c r="NE197" s="30"/>
      <c r="NF197" s="30"/>
      <c r="NG197" s="30"/>
      <c r="NH197" s="30"/>
      <c r="NI197" s="30"/>
      <c r="NJ197" s="30"/>
      <c r="NK197" s="30"/>
      <c r="NL197" s="30"/>
      <c r="NM197" s="30"/>
      <c r="NN197" s="30"/>
      <c r="NO197" s="30"/>
      <c r="NP197" s="30"/>
      <c r="NQ197" s="30"/>
      <c r="NR197" s="30"/>
      <c r="NS197" s="30"/>
      <c r="NT197" s="30"/>
      <c r="NU197" s="30"/>
      <c r="NV197" s="30"/>
      <c r="NW197" s="30"/>
      <c r="NX197" s="30"/>
      <c r="NY197" s="30"/>
      <c r="NZ197" s="30"/>
      <c r="OA197" s="30"/>
      <c r="OB197" s="30"/>
      <c r="OC197" s="30"/>
      <c r="OD197" s="30"/>
      <c r="OE197" s="30"/>
      <c r="OF197" s="30"/>
      <c r="OG197" s="30"/>
      <c r="OH197" s="30"/>
      <c r="OI197" s="30"/>
      <c r="OJ197" s="30"/>
      <c r="OK197" s="30"/>
      <c r="OL197" s="30"/>
      <c r="OM197" s="30"/>
      <c r="ON197" s="30"/>
      <c r="OO197" s="30"/>
      <c r="OP197" s="30"/>
      <c r="OQ197" s="30"/>
      <c r="OR197" s="30"/>
      <c r="OS197" s="30"/>
      <c r="OT197" s="30"/>
      <c r="OU197" s="30"/>
      <c r="OV197" s="30"/>
      <c r="OW197" s="30"/>
      <c r="OX197" s="30"/>
      <c r="OY197" s="30"/>
      <c r="OZ197" s="30"/>
      <c r="PA197" s="30"/>
      <c r="PB197" s="30"/>
      <c r="PC197" s="30"/>
      <c r="PD197" s="30"/>
      <c r="PE197" s="30"/>
      <c r="PF197" s="30"/>
      <c r="PG197" s="30"/>
      <c r="PH197" s="30"/>
      <c r="PI197" s="30"/>
      <c r="PJ197" s="30"/>
      <c r="PK197" s="30"/>
      <c r="PL197" s="30"/>
      <c r="PM197" s="30"/>
      <c r="PN197" s="30"/>
      <c r="PO197" s="30"/>
      <c r="PP197" s="30"/>
      <c r="PQ197" s="30"/>
      <c r="PR197" s="30"/>
      <c r="PS197" s="30"/>
      <c r="PT197" s="30"/>
      <c r="PU197" s="30"/>
      <c r="PV197" s="30"/>
      <c r="PW197" s="30"/>
      <c r="PX197" s="30"/>
      <c r="PY197" s="30"/>
      <c r="PZ197" s="30"/>
      <c r="QA197" s="30"/>
      <c r="QB197" s="30"/>
      <c r="QC197" s="30"/>
      <c r="QD197" s="30"/>
      <c r="QE197" s="30"/>
      <c r="QF197" s="30"/>
      <c r="QG197" s="30"/>
      <c r="QH197" s="30"/>
      <c r="QI197" s="30"/>
      <c r="QJ197" s="30"/>
      <c r="QK197" s="30"/>
      <c r="QL197" s="30"/>
      <c r="QM197" s="30"/>
      <c r="QN197" s="30"/>
      <c r="QO197" s="30"/>
      <c r="QP197" s="30"/>
      <c r="QQ197" s="30"/>
      <c r="QR197" s="30"/>
      <c r="QS197" s="30"/>
      <c r="QT197" s="30"/>
      <c r="QU197" s="30"/>
      <c r="QV197" s="30"/>
      <c r="QW197" s="30"/>
      <c r="QX197" s="30"/>
      <c r="QY197" s="30"/>
      <c r="QZ197" s="30"/>
      <c r="RA197" s="30"/>
      <c r="RB197" s="30"/>
      <c r="RC197" s="30"/>
      <c r="RD197" s="30"/>
      <c r="RE197" s="30"/>
      <c r="RF197" s="30"/>
      <c r="RG197" s="30"/>
      <c r="RH197" s="30"/>
      <c r="RI197" s="30"/>
      <c r="RJ197" s="30"/>
      <c r="RK197" s="30"/>
      <c r="RL197" s="30"/>
      <c r="RM197" s="30"/>
      <c r="RN197" s="30"/>
      <c r="RO197" s="30"/>
      <c r="RP197" s="30"/>
      <c r="RQ197" s="30"/>
      <c r="RR197" s="30"/>
      <c r="RS197" s="30"/>
      <c r="RT197" s="30"/>
      <c r="RU197" s="30"/>
      <c r="RV197" s="30"/>
      <c r="RW197" s="30"/>
      <c r="RX197" s="30"/>
      <c r="RY197" s="30"/>
      <c r="RZ197" s="30"/>
      <c r="SA197" s="30"/>
      <c r="SB197" s="30"/>
      <c r="SC197" s="30"/>
      <c r="SD197" s="30"/>
      <c r="SE197" s="30"/>
      <c r="SF197" s="30"/>
      <c r="SG197" s="30"/>
      <c r="SH197" s="30"/>
      <c r="SI197" s="30"/>
      <c r="SJ197" s="30"/>
      <c r="SK197" s="30"/>
      <c r="SL197" s="30"/>
      <c r="SM197" s="30"/>
      <c r="SN197" s="30"/>
      <c r="SO197" s="30"/>
      <c r="SP197" s="30"/>
      <c r="SQ197" s="30"/>
      <c r="SR197" s="30"/>
      <c r="SS197" s="30"/>
      <c r="ST197" s="30"/>
      <c r="SU197" s="30"/>
      <c r="SV197" s="30"/>
      <c r="SW197" s="30"/>
      <c r="SX197" s="30"/>
      <c r="SY197" s="30"/>
      <c r="SZ197" s="30"/>
      <c r="TA197" s="30"/>
      <c r="TB197" s="30"/>
      <c r="TC197" s="30"/>
      <c r="TD197" s="30"/>
      <c r="TE197" s="30"/>
      <c r="TF197" s="30"/>
      <c r="TG197" s="30"/>
    </row>
    <row r="198" spans="1:527" s="24" customFormat="1" ht="25.5" customHeight="1" x14ac:dyDescent="0.25">
      <c r="A198" s="60">
        <v>1014082</v>
      </c>
      <c r="B198" s="97" t="str">
        <f>'дод 8'!A128</f>
        <v>4082</v>
      </c>
      <c r="C198" s="97" t="str">
        <f>'дод 8'!B128</f>
        <v>0829</v>
      </c>
      <c r="D198" s="61" t="str">
        <f>'дод 8'!C128</f>
        <v>Інші заходи в галузі культури і мистецтва</v>
      </c>
      <c r="E198" s="103">
        <f t="shared" si="80"/>
        <v>1285000</v>
      </c>
      <c r="F198" s="103">
        <f>1100000+100000+85000</f>
        <v>1285000</v>
      </c>
      <c r="G198" s="103"/>
      <c r="H198" s="103"/>
      <c r="I198" s="103"/>
      <c r="J198" s="103">
        <f t="shared" si="82"/>
        <v>0</v>
      </c>
      <c r="K198" s="103"/>
      <c r="L198" s="103"/>
      <c r="M198" s="103"/>
      <c r="N198" s="103"/>
      <c r="O198" s="103"/>
      <c r="P198" s="103">
        <f t="shared" si="81"/>
        <v>1285000</v>
      </c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30"/>
      <c r="JA198" s="30"/>
      <c r="JB198" s="30"/>
      <c r="JC198" s="30"/>
      <c r="JD198" s="30"/>
      <c r="JE198" s="30"/>
      <c r="JF198" s="30"/>
      <c r="JG198" s="30"/>
      <c r="JH198" s="30"/>
      <c r="JI198" s="30"/>
      <c r="JJ198" s="30"/>
      <c r="JK198" s="30"/>
      <c r="JL198" s="30"/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30"/>
      <c r="KG198" s="30"/>
      <c r="KH198" s="30"/>
      <c r="KI198" s="30"/>
      <c r="KJ198" s="30"/>
      <c r="KK198" s="30"/>
      <c r="KL198" s="30"/>
      <c r="KM198" s="30"/>
      <c r="KN198" s="30"/>
      <c r="KO198" s="30"/>
      <c r="KP198" s="30"/>
      <c r="KQ198" s="30"/>
      <c r="KR198" s="30"/>
      <c r="KS198" s="30"/>
      <c r="KT198" s="30"/>
      <c r="KU198" s="30"/>
      <c r="KV198" s="30"/>
      <c r="KW198" s="30"/>
      <c r="KX198" s="30"/>
      <c r="KY198" s="30"/>
      <c r="KZ198" s="30"/>
      <c r="LA198" s="30"/>
      <c r="LB198" s="30"/>
      <c r="LC198" s="30"/>
      <c r="LD198" s="30"/>
      <c r="LE198" s="30"/>
      <c r="LF198" s="30"/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  <c r="LU198" s="30"/>
      <c r="LV198" s="30"/>
      <c r="LW198" s="30"/>
      <c r="LX198" s="30"/>
      <c r="LY198" s="30"/>
      <c r="LZ198" s="30"/>
      <c r="MA198" s="30"/>
      <c r="MB198" s="30"/>
      <c r="MC198" s="30"/>
      <c r="MD198" s="30"/>
      <c r="ME198" s="30"/>
      <c r="MF198" s="30"/>
      <c r="MG198" s="30"/>
      <c r="MH198" s="30"/>
      <c r="MI198" s="30"/>
      <c r="MJ198" s="30"/>
      <c r="MK198" s="30"/>
      <c r="ML198" s="30"/>
      <c r="MM198" s="30"/>
      <c r="MN198" s="30"/>
      <c r="MO198" s="30"/>
      <c r="MP198" s="30"/>
      <c r="MQ198" s="30"/>
      <c r="MR198" s="30"/>
      <c r="MS198" s="30"/>
      <c r="MT198" s="30"/>
      <c r="MU198" s="30"/>
      <c r="MV198" s="30"/>
      <c r="MW198" s="30"/>
      <c r="MX198" s="30"/>
      <c r="MY198" s="30"/>
      <c r="MZ198" s="30"/>
      <c r="NA198" s="30"/>
      <c r="NB198" s="30"/>
      <c r="NC198" s="30"/>
      <c r="ND198" s="30"/>
      <c r="NE198" s="30"/>
      <c r="NF198" s="30"/>
      <c r="NG198" s="30"/>
      <c r="NH198" s="30"/>
      <c r="NI198" s="30"/>
      <c r="NJ198" s="30"/>
      <c r="NK198" s="30"/>
      <c r="NL198" s="30"/>
      <c r="NM198" s="30"/>
      <c r="NN198" s="30"/>
      <c r="NO198" s="30"/>
      <c r="NP198" s="30"/>
      <c r="NQ198" s="30"/>
      <c r="NR198" s="30"/>
      <c r="NS198" s="30"/>
      <c r="NT198" s="30"/>
      <c r="NU198" s="30"/>
      <c r="NV198" s="30"/>
      <c r="NW198" s="30"/>
      <c r="NX198" s="30"/>
      <c r="NY198" s="30"/>
      <c r="NZ198" s="30"/>
      <c r="OA198" s="30"/>
      <c r="OB198" s="30"/>
      <c r="OC198" s="30"/>
      <c r="OD198" s="30"/>
      <c r="OE198" s="30"/>
      <c r="OF198" s="30"/>
      <c r="OG198" s="30"/>
      <c r="OH198" s="30"/>
      <c r="OI198" s="30"/>
      <c r="OJ198" s="30"/>
      <c r="OK198" s="30"/>
      <c r="OL198" s="30"/>
      <c r="OM198" s="30"/>
      <c r="ON198" s="30"/>
      <c r="OO198" s="30"/>
      <c r="OP198" s="30"/>
      <c r="OQ198" s="30"/>
      <c r="OR198" s="30"/>
      <c r="OS198" s="30"/>
      <c r="OT198" s="30"/>
      <c r="OU198" s="30"/>
      <c r="OV198" s="30"/>
      <c r="OW198" s="30"/>
      <c r="OX198" s="30"/>
      <c r="OY198" s="30"/>
      <c r="OZ198" s="30"/>
      <c r="PA198" s="30"/>
      <c r="PB198" s="30"/>
      <c r="PC198" s="30"/>
      <c r="PD198" s="30"/>
      <c r="PE198" s="30"/>
      <c r="PF198" s="30"/>
      <c r="PG198" s="30"/>
      <c r="PH198" s="30"/>
      <c r="PI198" s="30"/>
      <c r="PJ198" s="30"/>
      <c r="PK198" s="30"/>
      <c r="PL198" s="30"/>
      <c r="PM198" s="30"/>
      <c r="PN198" s="30"/>
      <c r="PO198" s="30"/>
      <c r="PP198" s="30"/>
      <c r="PQ198" s="30"/>
      <c r="PR198" s="30"/>
      <c r="PS198" s="30"/>
      <c r="PT198" s="30"/>
      <c r="PU198" s="30"/>
      <c r="PV198" s="30"/>
      <c r="PW198" s="30"/>
      <c r="PX198" s="30"/>
      <c r="PY198" s="30"/>
      <c r="PZ198" s="30"/>
      <c r="QA198" s="30"/>
      <c r="QB198" s="30"/>
      <c r="QC198" s="30"/>
      <c r="QD198" s="30"/>
      <c r="QE198" s="30"/>
      <c r="QF198" s="30"/>
      <c r="QG198" s="30"/>
      <c r="QH198" s="30"/>
      <c r="QI198" s="30"/>
      <c r="QJ198" s="30"/>
      <c r="QK198" s="30"/>
      <c r="QL198" s="30"/>
      <c r="QM198" s="30"/>
      <c r="QN198" s="30"/>
      <c r="QO198" s="30"/>
      <c r="QP198" s="30"/>
      <c r="QQ198" s="30"/>
      <c r="QR198" s="30"/>
      <c r="QS198" s="30"/>
      <c r="QT198" s="30"/>
      <c r="QU198" s="30"/>
      <c r="QV198" s="30"/>
      <c r="QW198" s="30"/>
      <c r="QX198" s="30"/>
      <c r="QY198" s="30"/>
      <c r="QZ198" s="30"/>
      <c r="RA198" s="30"/>
      <c r="RB198" s="30"/>
      <c r="RC198" s="30"/>
      <c r="RD198" s="30"/>
      <c r="RE198" s="30"/>
      <c r="RF198" s="30"/>
      <c r="RG198" s="30"/>
      <c r="RH198" s="30"/>
      <c r="RI198" s="30"/>
      <c r="RJ198" s="30"/>
      <c r="RK198" s="30"/>
      <c r="RL198" s="30"/>
      <c r="RM198" s="30"/>
      <c r="RN198" s="30"/>
      <c r="RO198" s="30"/>
      <c r="RP198" s="30"/>
      <c r="RQ198" s="30"/>
      <c r="RR198" s="30"/>
      <c r="RS198" s="30"/>
      <c r="RT198" s="30"/>
      <c r="RU198" s="30"/>
      <c r="RV198" s="30"/>
      <c r="RW198" s="30"/>
      <c r="RX198" s="30"/>
      <c r="RY198" s="30"/>
      <c r="RZ198" s="30"/>
      <c r="SA198" s="30"/>
      <c r="SB198" s="30"/>
      <c r="SC198" s="30"/>
      <c r="SD198" s="30"/>
      <c r="SE198" s="30"/>
      <c r="SF198" s="30"/>
      <c r="SG198" s="30"/>
      <c r="SH198" s="30"/>
      <c r="SI198" s="30"/>
      <c r="SJ198" s="30"/>
      <c r="SK198" s="30"/>
      <c r="SL198" s="30"/>
      <c r="SM198" s="30"/>
      <c r="SN198" s="30"/>
      <c r="SO198" s="30"/>
      <c r="SP198" s="30"/>
      <c r="SQ198" s="30"/>
      <c r="SR198" s="30"/>
      <c r="SS198" s="30"/>
      <c r="ST198" s="30"/>
      <c r="SU198" s="30"/>
      <c r="SV198" s="30"/>
      <c r="SW198" s="30"/>
      <c r="SX198" s="30"/>
      <c r="SY198" s="30"/>
      <c r="SZ198" s="30"/>
      <c r="TA198" s="30"/>
      <c r="TB198" s="30"/>
      <c r="TC198" s="30"/>
      <c r="TD198" s="30"/>
      <c r="TE198" s="30"/>
      <c r="TF198" s="30"/>
      <c r="TG198" s="30"/>
    </row>
    <row r="199" spans="1:527" s="24" customFormat="1" ht="25.5" customHeight="1" x14ac:dyDescent="0.25">
      <c r="A199" s="60" t="s">
        <v>460</v>
      </c>
      <c r="B199" s="60" t="s">
        <v>461</v>
      </c>
      <c r="C199" s="60" t="s">
        <v>113</v>
      </c>
      <c r="D199" s="6" t="s">
        <v>572</v>
      </c>
      <c r="E199" s="103">
        <f t="shared" si="80"/>
        <v>0</v>
      </c>
      <c r="F199" s="103"/>
      <c r="G199" s="103"/>
      <c r="H199" s="103"/>
      <c r="I199" s="103"/>
      <c r="J199" s="103">
        <f t="shared" si="82"/>
        <v>970000</v>
      </c>
      <c r="K199" s="103">
        <f>950000+20000</f>
        <v>970000</v>
      </c>
      <c r="L199" s="103"/>
      <c r="M199" s="103"/>
      <c r="N199" s="103"/>
      <c r="O199" s="103">
        <f>950000+20000</f>
        <v>970000</v>
      </c>
      <c r="P199" s="103">
        <f t="shared" si="81"/>
        <v>970000</v>
      </c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30"/>
      <c r="JA199" s="30"/>
      <c r="JB199" s="30"/>
      <c r="JC199" s="30"/>
      <c r="JD199" s="30"/>
      <c r="JE199" s="30"/>
      <c r="JF199" s="30"/>
      <c r="JG199" s="30"/>
      <c r="JH199" s="30"/>
      <c r="JI199" s="30"/>
      <c r="JJ199" s="30"/>
      <c r="JK199" s="30"/>
      <c r="JL199" s="30"/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30"/>
      <c r="KG199" s="30"/>
      <c r="KH199" s="30"/>
      <c r="KI199" s="30"/>
      <c r="KJ199" s="30"/>
      <c r="KK199" s="30"/>
      <c r="KL199" s="30"/>
      <c r="KM199" s="30"/>
      <c r="KN199" s="30"/>
      <c r="KO199" s="30"/>
      <c r="KP199" s="30"/>
      <c r="KQ199" s="30"/>
      <c r="KR199" s="30"/>
      <c r="KS199" s="30"/>
      <c r="KT199" s="30"/>
      <c r="KU199" s="30"/>
      <c r="KV199" s="30"/>
      <c r="KW199" s="30"/>
      <c r="KX199" s="30"/>
      <c r="KY199" s="30"/>
      <c r="KZ199" s="30"/>
      <c r="LA199" s="30"/>
      <c r="LB199" s="30"/>
      <c r="LC199" s="30"/>
      <c r="LD199" s="30"/>
      <c r="LE199" s="30"/>
      <c r="LF199" s="30"/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  <c r="LU199" s="30"/>
      <c r="LV199" s="30"/>
      <c r="LW199" s="30"/>
      <c r="LX199" s="30"/>
      <c r="LY199" s="30"/>
      <c r="LZ199" s="30"/>
      <c r="MA199" s="30"/>
      <c r="MB199" s="30"/>
      <c r="MC199" s="30"/>
      <c r="MD199" s="30"/>
      <c r="ME199" s="30"/>
      <c r="MF199" s="30"/>
      <c r="MG199" s="30"/>
      <c r="MH199" s="30"/>
      <c r="MI199" s="30"/>
      <c r="MJ199" s="30"/>
      <c r="MK199" s="30"/>
      <c r="ML199" s="30"/>
      <c r="MM199" s="30"/>
      <c r="MN199" s="30"/>
      <c r="MO199" s="30"/>
      <c r="MP199" s="30"/>
      <c r="MQ199" s="30"/>
      <c r="MR199" s="30"/>
      <c r="MS199" s="30"/>
      <c r="MT199" s="30"/>
      <c r="MU199" s="30"/>
      <c r="MV199" s="30"/>
      <c r="MW199" s="30"/>
      <c r="MX199" s="30"/>
      <c r="MY199" s="30"/>
      <c r="MZ199" s="30"/>
      <c r="NA199" s="30"/>
      <c r="NB199" s="30"/>
      <c r="NC199" s="30"/>
      <c r="ND199" s="30"/>
      <c r="NE199" s="30"/>
      <c r="NF199" s="30"/>
      <c r="NG199" s="30"/>
      <c r="NH199" s="30"/>
      <c r="NI199" s="30"/>
      <c r="NJ199" s="30"/>
      <c r="NK199" s="30"/>
      <c r="NL199" s="30"/>
      <c r="NM199" s="30"/>
      <c r="NN199" s="30"/>
      <c r="NO199" s="30"/>
      <c r="NP199" s="30"/>
      <c r="NQ199" s="30"/>
      <c r="NR199" s="30"/>
      <c r="NS199" s="30"/>
      <c r="NT199" s="30"/>
      <c r="NU199" s="30"/>
      <c r="NV199" s="30"/>
      <c r="NW199" s="30"/>
      <c r="NX199" s="30"/>
      <c r="NY199" s="30"/>
      <c r="NZ199" s="30"/>
      <c r="OA199" s="30"/>
      <c r="OB199" s="30"/>
      <c r="OC199" s="30"/>
      <c r="OD199" s="30"/>
      <c r="OE199" s="30"/>
      <c r="OF199" s="30"/>
      <c r="OG199" s="30"/>
      <c r="OH199" s="30"/>
      <c r="OI199" s="30"/>
      <c r="OJ199" s="30"/>
      <c r="OK199" s="30"/>
      <c r="OL199" s="30"/>
      <c r="OM199" s="30"/>
      <c r="ON199" s="30"/>
      <c r="OO199" s="30"/>
      <c r="OP199" s="30"/>
      <c r="OQ199" s="30"/>
      <c r="OR199" s="30"/>
      <c r="OS199" s="30"/>
      <c r="OT199" s="30"/>
      <c r="OU199" s="30"/>
      <c r="OV199" s="30"/>
      <c r="OW199" s="30"/>
      <c r="OX199" s="30"/>
      <c r="OY199" s="30"/>
      <c r="OZ199" s="30"/>
      <c r="PA199" s="30"/>
      <c r="PB199" s="30"/>
      <c r="PC199" s="30"/>
      <c r="PD199" s="30"/>
      <c r="PE199" s="30"/>
      <c r="PF199" s="30"/>
      <c r="PG199" s="30"/>
      <c r="PH199" s="30"/>
      <c r="PI199" s="30"/>
      <c r="PJ199" s="30"/>
      <c r="PK199" s="30"/>
      <c r="PL199" s="30"/>
      <c r="PM199" s="30"/>
      <c r="PN199" s="30"/>
      <c r="PO199" s="30"/>
      <c r="PP199" s="30"/>
      <c r="PQ199" s="30"/>
      <c r="PR199" s="30"/>
      <c r="PS199" s="30"/>
      <c r="PT199" s="30"/>
      <c r="PU199" s="30"/>
      <c r="PV199" s="30"/>
      <c r="PW199" s="30"/>
      <c r="PX199" s="30"/>
      <c r="PY199" s="30"/>
      <c r="PZ199" s="30"/>
      <c r="QA199" s="30"/>
      <c r="QB199" s="30"/>
      <c r="QC199" s="30"/>
      <c r="QD199" s="30"/>
      <c r="QE199" s="30"/>
      <c r="QF199" s="30"/>
      <c r="QG199" s="30"/>
      <c r="QH199" s="30"/>
      <c r="QI199" s="30"/>
      <c r="QJ199" s="30"/>
      <c r="QK199" s="30"/>
      <c r="QL199" s="30"/>
      <c r="QM199" s="30"/>
      <c r="QN199" s="30"/>
      <c r="QO199" s="30"/>
      <c r="QP199" s="30"/>
      <c r="QQ199" s="30"/>
      <c r="QR199" s="30"/>
      <c r="QS199" s="30"/>
      <c r="QT199" s="30"/>
      <c r="QU199" s="30"/>
      <c r="QV199" s="30"/>
      <c r="QW199" s="30"/>
      <c r="QX199" s="30"/>
      <c r="QY199" s="30"/>
      <c r="QZ199" s="30"/>
      <c r="RA199" s="30"/>
      <c r="RB199" s="30"/>
      <c r="RC199" s="30"/>
      <c r="RD199" s="30"/>
      <c r="RE199" s="30"/>
      <c r="RF199" s="30"/>
      <c r="RG199" s="30"/>
      <c r="RH199" s="30"/>
      <c r="RI199" s="30"/>
      <c r="RJ199" s="30"/>
      <c r="RK199" s="30"/>
      <c r="RL199" s="30"/>
      <c r="RM199" s="30"/>
      <c r="RN199" s="30"/>
      <c r="RO199" s="30"/>
      <c r="RP199" s="30"/>
      <c r="RQ199" s="30"/>
      <c r="RR199" s="30"/>
      <c r="RS199" s="30"/>
      <c r="RT199" s="30"/>
      <c r="RU199" s="30"/>
      <c r="RV199" s="30"/>
      <c r="RW199" s="30"/>
      <c r="RX199" s="30"/>
      <c r="RY199" s="30"/>
      <c r="RZ199" s="30"/>
      <c r="SA199" s="30"/>
      <c r="SB199" s="30"/>
      <c r="SC199" s="30"/>
      <c r="SD199" s="30"/>
      <c r="SE199" s="30"/>
      <c r="SF199" s="30"/>
      <c r="SG199" s="30"/>
      <c r="SH199" s="30"/>
      <c r="SI199" s="30"/>
      <c r="SJ199" s="30"/>
      <c r="SK199" s="30"/>
      <c r="SL199" s="30"/>
      <c r="SM199" s="30"/>
      <c r="SN199" s="30"/>
      <c r="SO199" s="30"/>
      <c r="SP199" s="30"/>
      <c r="SQ199" s="30"/>
      <c r="SR199" s="30"/>
      <c r="SS199" s="30"/>
      <c r="ST199" s="30"/>
      <c r="SU199" s="30"/>
      <c r="SV199" s="30"/>
      <c r="SW199" s="30"/>
      <c r="SX199" s="30"/>
      <c r="SY199" s="30"/>
      <c r="SZ199" s="30"/>
      <c r="TA199" s="30"/>
      <c r="TB199" s="30"/>
      <c r="TC199" s="30"/>
      <c r="TD199" s="30"/>
      <c r="TE199" s="30"/>
      <c r="TF199" s="30"/>
      <c r="TG199" s="30"/>
    </row>
    <row r="200" spans="1:527" s="22" customFormat="1" ht="22.5" customHeight="1" x14ac:dyDescent="0.25">
      <c r="A200" s="60" t="s">
        <v>147</v>
      </c>
      <c r="B200" s="97" t="str">
        <f>'дод 8'!A187</f>
        <v>7640</v>
      </c>
      <c r="C200" s="97" t="str">
        <f>'дод 8'!B187</f>
        <v>0470</v>
      </c>
      <c r="D200" s="61" t="s">
        <v>424</v>
      </c>
      <c r="E200" s="103">
        <f t="shared" si="80"/>
        <v>0</v>
      </c>
      <c r="F200" s="103"/>
      <c r="G200" s="103"/>
      <c r="H200" s="103"/>
      <c r="I200" s="103"/>
      <c r="J200" s="103">
        <f t="shared" si="82"/>
        <v>1500000</v>
      </c>
      <c r="K200" s="103">
        <v>1500000</v>
      </c>
      <c r="L200" s="103"/>
      <c r="M200" s="103"/>
      <c r="N200" s="103"/>
      <c r="O200" s="103">
        <v>1500000</v>
      </c>
      <c r="P200" s="103">
        <f t="shared" si="81"/>
        <v>1500000</v>
      </c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  <c r="TF200" s="23"/>
      <c r="TG200" s="23"/>
    </row>
    <row r="201" spans="1:527" s="22" customFormat="1" ht="22.5" hidden="1" customHeight="1" x14ac:dyDescent="0.25">
      <c r="A201" s="60">
        <v>1018340</v>
      </c>
      <c r="B201" s="97" t="str">
        <f>'дод 8'!A209</f>
        <v>8340</v>
      </c>
      <c r="C201" s="97" t="str">
        <f>'дод 8'!B209</f>
        <v>0540</v>
      </c>
      <c r="D201" s="122" t="str">
        <f>'дод 8'!C209</f>
        <v>Природоохоронні заходи за рахунок цільових фондів</v>
      </c>
      <c r="E201" s="103">
        <f t="shared" si="80"/>
        <v>0</v>
      </c>
      <c r="F201" s="103"/>
      <c r="G201" s="103"/>
      <c r="H201" s="103"/>
      <c r="I201" s="103"/>
      <c r="J201" s="103">
        <f t="shared" si="82"/>
        <v>0</v>
      </c>
      <c r="K201" s="103"/>
      <c r="L201" s="103"/>
      <c r="M201" s="103"/>
      <c r="N201" s="103"/>
      <c r="O201" s="103"/>
      <c r="P201" s="103">
        <f t="shared" si="81"/>
        <v>0</v>
      </c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  <c r="TF201" s="23"/>
      <c r="TG201" s="23"/>
    </row>
    <row r="202" spans="1:527" s="27" customFormat="1" ht="34.5" customHeight="1" x14ac:dyDescent="0.25">
      <c r="A202" s="114" t="s">
        <v>196</v>
      </c>
      <c r="B202" s="116"/>
      <c r="C202" s="116"/>
      <c r="D202" s="111" t="s">
        <v>33</v>
      </c>
      <c r="E202" s="99">
        <f>E203</f>
        <v>293532890.13999999</v>
      </c>
      <c r="F202" s="99">
        <f t="shared" ref="F202:J202" si="83">F203</f>
        <v>260790931.66</v>
      </c>
      <c r="G202" s="99">
        <f t="shared" si="83"/>
        <v>11274000</v>
      </c>
      <c r="H202" s="99">
        <f t="shared" si="83"/>
        <v>33968060</v>
      </c>
      <c r="I202" s="99">
        <f t="shared" si="83"/>
        <v>32741958.48</v>
      </c>
      <c r="J202" s="99">
        <f t="shared" si="83"/>
        <v>171006188.72999996</v>
      </c>
      <c r="K202" s="99">
        <f t="shared" ref="K202" si="84">K203</f>
        <v>164001022.15999997</v>
      </c>
      <c r="L202" s="99">
        <f t="shared" ref="L202" si="85">L203</f>
        <v>1926086.57</v>
      </c>
      <c r="M202" s="99">
        <f t="shared" ref="M202" si="86">M203</f>
        <v>0</v>
      </c>
      <c r="N202" s="99">
        <f t="shared" ref="N202" si="87">N203</f>
        <v>0</v>
      </c>
      <c r="O202" s="99">
        <f t="shared" ref="O202:P202" si="88">O203</f>
        <v>169080102.15999997</v>
      </c>
      <c r="P202" s="99">
        <f t="shared" si="88"/>
        <v>464539078.87</v>
      </c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32"/>
      <c r="HO202" s="32"/>
      <c r="HP202" s="32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  <c r="IC202" s="32"/>
      <c r="ID202" s="32"/>
      <c r="IE202" s="32"/>
      <c r="IF202" s="32"/>
      <c r="IG202" s="32"/>
      <c r="IH202" s="32"/>
      <c r="II202" s="32"/>
      <c r="IJ202" s="32"/>
      <c r="IK202" s="32"/>
      <c r="IL202" s="32"/>
      <c r="IM202" s="32"/>
      <c r="IN202" s="32"/>
      <c r="IO202" s="32"/>
      <c r="IP202" s="32"/>
      <c r="IQ202" s="32"/>
      <c r="IR202" s="32"/>
      <c r="IS202" s="32"/>
      <c r="IT202" s="32"/>
      <c r="IU202" s="32"/>
      <c r="IV202" s="32"/>
      <c r="IW202" s="32"/>
      <c r="IX202" s="32"/>
      <c r="IY202" s="32"/>
      <c r="IZ202" s="32"/>
      <c r="JA202" s="32"/>
      <c r="JB202" s="32"/>
      <c r="JC202" s="32"/>
      <c r="JD202" s="32"/>
      <c r="JE202" s="32"/>
      <c r="JF202" s="32"/>
      <c r="JG202" s="32"/>
      <c r="JH202" s="32"/>
      <c r="JI202" s="32"/>
      <c r="JJ202" s="32"/>
      <c r="JK202" s="32"/>
      <c r="JL202" s="32"/>
      <c r="JM202" s="32"/>
      <c r="JN202" s="32"/>
      <c r="JO202" s="32"/>
      <c r="JP202" s="32"/>
      <c r="JQ202" s="32"/>
      <c r="JR202" s="32"/>
      <c r="JS202" s="32"/>
      <c r="JT202" s="32"/>
      <c r="JU202" s="32"/>
      <c r="JV202" s="32"/>
      <c r="JW202" s="32"/>
      <c r="JX202" s="32"/>
      <c r="JY202" s="32"/>
      <c r="JZ202" s="32"/>
      <c r="KA202" s="32"/>
      <c r="KB202" s="32"/>
      <c r="KC202" s="32"/>
      <c r="KD202" s="32"/>
      <c r="KE202" s="32"/>
      <c r="KF202" s="32"/>
      <c r="KG202" s="32"/>
      <c r="KH202" s="32"/>
      <c r="KI202" s="32"/>
      <c r="KJ202" s="32"/>
      <c r="KK202" s="32"/>
      <c r="KL202" s="32"/>
      <c r="KM202" s="32"/>
      <c r="KN202" s="32"/>
      <c r="KO202" s="32"/>
      <c r="KP202" s="32"/>
      <c r="KQ202" s="32"/>
      <c r="KR202" s="32"/>
      <c r="KS202" s="32"/>
      <c r="KT202" s="32"/>
      <c r="KU202" s="32"/>
      <c r="KV202" s="32"/>
      <c r="KW202" s="32"/>
      <c r="KX202" s="32"/>
      <c r="KY202" s="32"/>
      <c r="KZ202" s="32"/>
      <c r="LA202" s="32"/>
      <c r="LB202" s="32"/>
      <c r="LC202" s="32"/>
      <c r="LD202" s="32"/>
      <c r="LE202" s="32"/>
      <c r="LF202" s="32"/>
      <c r="LG202" s="32"/>
      <c r="LH202" s="32"/>
      <c r="LI202" s="32"/>
      <c r="LJ202" s="32"/>
      <c r="LK202" s="32"/>
      <c r="LL202" s="32"/>
      <c r="LM202" s="32"/>
      <c r="LN202" s="32"/>
      <c r="LO202" s="32"/>
      <c r="LP202" s="32"/>
      <c r="LQ202" s="32"/>
      <c r="LR202" s="32"/>
      <c r="LS202" s="32"/>
      <c r="LT202" s="32"/>
      <c r="LU202" s="32"/>
      <c r="LV202" s="32"/>
      <c r="LW202" s="32"/>
      <c r="LX202" s="32"/>
      <c r="LY202" s="32"/>
      <c r="LZ202" s="32"/>
      <c r="MA202" s="32"/>
      <c r="MB202" s="32"/>
      <c r="MC202" s="32"/>
      <c r="MD202" s="32"/>
      <c r="ME202" s="32"/>
      <c r="MF202" s="32"/>
      <c r="MG202" s="32"/>
      <c r="MH202" s="32"/>
      <c r="MI202" s="32"/>
      <c r="MJ202" s="32"/>
      <c r="MK202" s="32"/>
      <c r="ML202" s="32"/>
      <c r="MM202" s="32"/>
      <c r="MN202" s="32"/>
      <c r="MO202" s="32"/>
      <c r="MP202" s="32"/>
      <c r="MQ202" s="32"/>
      <c r="MR202" s="32"/>
      <c r="MS202" s="32"/>
      <c r="MT202" s="32"/>
      <c r="MU202" s="32"/>
      <c r="MV202" s="32"/>
      <c r="MW202" s="32"/>
      <c r="MX202" s="32"/>
      <c r="MY202" s="32"/>
      <c r="MZ202" s="32"/>
      <c r="NA202" s="32"/>
      <c r="NB202" s="32"/>
      <c r="NC202" s="32"/>
      <c r="ND202" s="32"/>
      <c r="NE202" s="32"/>
      <c r="NF202" s="32"/>
      <c r="NG202" s="32"/>
      <c r="NH202" s="32"/>
      <c r="NI202" s="32"/>
      <c r="NJ202" s="32"/>
      <c r="NK202" s="32"/>
      <c r="NL202" s="32"/>
      <c r="NM202" s="32"/>
      <c r="NN202" s="32"/>
      <c r="NO202" s="32"/>
      <c r="NP202" s="32"/>
      <c r="NQ202" s="32"/>
      <c r="NR202" s="32"/>
      <c r="NS202" s="32"/>
      <c r="NT202" s="32"/>
      <c r="NU202" s="32"/>
      <c r="NV202" s="32"/>
      <c r="NW202" s="32"/>
      <c r="NX202" s="32"/>
      <c r="NY202" s="32"/>
      <c r="NZ202" s="32"/>
      <c r="OA202" s="32"/>
      <c r="OB202" s="32"/>
      <c r="OC202" s="32"/>
      <c r="OD202" s="32"/>
      <c r="OE202" s="32"/>
      <c r="OF202" s="32"/>
      <c r="OG202" s="32"/>
      <c r="OH202" s="32"/>
      <c r="OI202" s="32"/>
      <c r="OJ202" s="32"/>
      <c r="OK202" s="32"/>
      <c r="OL202" s="32"/>
      <c r="OM202" s="32"/>
      <c r="ON202" s="32"/>
      <c r="OO202" s="32"/>
      <c r="OP202" s="32"/>
      <c r="OQ202" s="32"/>
      <c r="OR202" s="32"/>
      <c r="OS202" s="32"/>
      <c r="OT202" s="32"/>
      <c r="OU202" s="32"/>
      <c r="OV202" s="32"/>
      <c r="OW202" s="32"/>
      <c r="OX202" s="32"/>
      <c r="OY202" s="32"/>
      <c r="OZ202" s="32"/>
      <c r="PA202" s="32"/>
      <c r="PB202" s="32"/>
      <c r="PC202" s="32"/>
      <c r="PD202" s="32"/>
      <c r="PE202" s="32"/>
      <c r="PF202" s="32"/>
      <c r="PG202" s="32"/>
      <c r="PH202" s="32"/>
      <c r="PI202" s="32"/>
      <c r="PJ202" s="32"/>
      <c r="PK202" s="32"/>
      <c r="PL202" s="32"/>
      <c r="PM202" s="32"/>
      <c r="PN202" s="32"/>
      <c r="PO202" s="32"/>
      <c r="PP202" s="32"/>
      <c r="PQ202" s="32"/>
      <c r="PR202" s="32"/>
      <c r="PS202" s="32"/>
      <c r="PT202" s="32"/>
      <c r="PU202" s="32"/>
      <c r="PV202" s="32"/>
      <c r="PW202" s="32"/>
      <c r="PX202" s="32"/>
      <c r="PY202" s="32"/>
      <c r="PZ202" s="32"/>
      <c r="QA202" s="32"/>
      <c r="QB202" s="32"/>
      <c r="QC202" s="32"/>
      <c r="QD202" s="32"/>
      <c r="QE202" s="32"/>
      <c r="QF202" s="32"/>
      <c r="QG202" s="32"/>
      <c r="QH202" s="32"/>
      <c r="QI202" s="32"/>
      <c r="QJ202" s="32"/>
      <c r="QK202" s="32"/>
      <c r="QL202" s="32"/>
      <c r="QM202" s="32"/>
      <c r="QN202" s="32"/>
      <c r="QO202" s="32"/>
      <c r="QP202" s="32"/>
      <c r="QQ202" s="32"/>
      <c r="QR202" s="32"/>
      <c r="QS202" s="32"/>
      <c r="QT202" s="32"/>
      <c r="QU202" s="32"/>
      <c r="QV202" s="32"/>
      <c r="QW202" s="32"/>
      <c r="QX202" s="32"/>
      <c r="QY202" s="32"/>
      <c r="QZ202" s="32"/>
      <c r="RA202" s="32"/>
      <c r="RB202" s="32"/>
      <c r="RC202" s="32"/>
      <c r="RD202" s="32"/>
      <c r="RE202" s="32"/>
      <c r="RF202" s="32"/>
      <c r="RG202" s="32"/>
      <c r="RH202" s="32"/>
      <c r="RI202" s="32"/>
      <c r="RJ202" s="32"/>
      <c r="RK202" s="32"/>
      <c r="RL202" s="32"/>
      <c r="RM202" s="32"/>
      <c r="RN202" s="32"/>
      <c r="RO202" s="32"/>
      <c r="RP202" s="32"/>
      <c r="RQ202" s="32"/>
      <c r="RR202" s="32"/>
      <c r="RS202" s="32"/>
      <c r="RT202" s="32"/>
      <c r="RU202" s="32"/>
      <c r="RV202" s="32"/>
      <c r="RW202" s="32"/>
      <c r="RX202" s="32"/>
      <c r="RY202" s="32"/>
      <c r="RZ202" s="32"/>
      <c r="SA202" s="32"/>
      <c r="SB202" s="32"/>
      <c r="SC202" s="32"/>
      <c r="SD202" s="32"/>
      <c r="SE202" s="32"/>
      <c r="SF202" s="32"/>
      <c r="SG202" s="32"/>
      <c r="SH202" s="32"/>
      <c r="SI202" s="32"/>
      <c r="SJ202" s="32"/>
      <c r="SK202" s="32"/>
      <c r="SL202" s="32"/>
      <c r="SM202" s="32"/>
      <c r="SN202" s="32"/>
      <c r="SO202" s="32"/>
      <c r="SP202" s="32"/>
      <c r="SQ202" s="32"/>
      <c r="SR202" s="32"/>
      <c r="SS202" s="32"/>
      <c r="ST202" s="32"/>
      <c r="SU202" s="32"/>
      <c r="SV202" s="32"/>
      <c r="SW202" s="32"/>
      <c r="SX202" s="32"/>
      <c r="SY202" s="32"/>
      <c r="SZ202" s="32"/>
      <c r="TA202" s="32"/>
      <c r="TB202" s="32"/>
      <c r="TC202" s="32"/>
      <c r="TD202" s="32"/>
      <c r="TE202" s="32"/>
      <c r="TF202" s="32"/>
      <c r="TG202" s="32"/>
    </row>
    <row r="203" spans="1:527" s="34" customFormat="1" ht="36.75" customHeight="1" x14ac:dyDescent="0.25">
      <c r="A203" s="100" t="s">
        <v>197</v>
      </c>
      <c r="B203" s="113"/>
      <c r="C203" s="113"/>
      <c r="D203" s="81" t="s">
        <v>398</v>
      </c>
      <c r="E203" s="102">
        <f>E209+E210+E211+E212+E213+E214+E215+E216+E217+E218+E219+E220+E222+E221+E224+E229+E230+E231+E233+E236+E237+E223+E226+E235+E234</f>
        <v>293532890.13999999</v>
      </c>
      <c r="F203" s="102">
        <f t="shared" ref="F203:P203" si="89">F209+F210+F211+F212+F213+F214+F215+F216+F217+F218+F219+F220+F222+F221+F224+F229+F230+F231+F233+F236+F237+F223+F226+F235+F234</f>
        <v>260790931.66</v>
      </c>
      <c r="G203" s="102">
        <f t="shared" si="89"/>
        <v>11274000</v>
      </c>
      <c r="H203" s="102">
        <f t="shared" si="89"/>
        <v>33968060</v>
      </c>
      <c r="I203" s="102">
        <f t="shared" si="89"/>
        <v>32741958.48</v>
      </c>
      <c r="J203" s="102">
        <f t="shared" si="89"/>
        <v>171006188.72999996</v>
      </c>
      <c r="K203" s="102">
        <f t="shared" si="89"/>
        <v>164001022.15999997</v>
      </c>
      <c r="L203" s="102">
        <f t="shared" si="89"/>
        <v>1926086.57</v>
      </c>
      <c r="M203" s="102">
        <f t="shared" si="89"/>
        <v>0</v>
      </c>
      <c r="N203" s="102">
        <f t="shared" si="89"/>
        <v>0</v>
      </c>
      <c r="O203" s="102">
        <f t="shared" si="89"/>
        <v>169080102.15999997</v>
      </c>
      <c r="P203" s="102">
        <f t="shared" si="89"/>
        <v>464539078.87</v>
      </c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  <c r="IT203" s="33"/>
      <c r="IU203" s="33"/>
      <c r="IV203" s="33"/>
      <c r="IW203" s="33"/>
      <c r="IX203" s="33"/>
      <c r="IY203" s="33"/>
      <c r="IZ203" s="33"/>
      <c r="JA203" s="33"/>
      <c r="JB203" s="33"/>
      <c r="JC203" s="33"/>
      <c r="JD203" s="33"/>
      <c r="JE203" s="33"/>
      <c r="JF203" s="33"/>
      <c r="JG203" s="33"/>
      <c r="JH203" s="33"/>
      <c r="JI203" s="33"/>
      <c r="JJ203" s="33"/>
      <c r="JK203" s="33"/>
      <c r="JL203" s="33"/>
      <c r="JM203" s="33"/>
      <c r="JN203" s="33"/>
      <c r="JO203" s="33"/>
      <c r="JP203" s="33"/>
      <c r="JQ203" s="33"/>
      <c r="JR203" s="33"/>
      <c r="JS203" s="33"/>
      <c r="JT203" s="33"/>
      <c r="JU203" s="33"/>
      <c r="JV203" s="33"/>
      <c r="JW203" s="33"/>
      <c r="JX203" s="33"/>
      <c r="JY203" s="33"/>
      <c r="JZ203" s="33"/>
      <c r="KA203" s="33"/>
      <c r="KB203" s="33"/>
      <c r="KC203" s="33"/>
      <c r="KD203" s="33"/>
      <c r="KE203" s="33"/>
      <c r="KF203" s="33"/>
      <c r="KG203" s="33"/>
      <c r="KH203" s="33"/>
      <c r="KI203" s="33"/>
      <c r="KJ203" s="33"/>
      <c r="KK203" s="33"/>
      <c r="KL203" s="33"/>
      <c r="KM203" s="33"/>
      <c r="KN203" s="33"/>
      <c r="KO203" s="33"/>
      <c r="KP203" s="33"/>
      <c r="KQ203" s="33"/>
      <c r="KR203" s="33"/>
      <c r="KS203" s="33"/>
      <c r="KT203" s="33"/>
      <c r="KU203" s="33"/>
      <c r="KV203" s="33"/>
      <c r="KW203" s="33"/>
      <c r="KX203" s="33"/>
      <c r="KY203" s="33"/>
      <c r="KZ203" s="33"/>
      <c r="LA203" s="33"/>
      <c r="LB203" s="33"/>
      <c r="LC203" s="33"/>
      <c r="LD203" s="33"/>
      <c r="LE203" s="33"/>
      <c r="LF203" s="33"/>
      <c r="LG203" s="33"/>
      <c r="LH203" s="33"/>
      <c r="LI203" s="33"/>
      <c r="LJ203" s="33"/>
      <c r="LK203" s="33"/>
      <c r="LL203" s="33"/>
      <c r="LM203" s="33"/>
      <c r="LN203" s="33"/>
      <c r="LO203" s="33"/>
      <c r="LP203" s="33"/>
      <c r="LQ203" s="33"/>
      <c r="LR203" s="33"/>
      <c r="LS203" s="33"/>
      <c r="LT203" s="33"/>
      <c r="LU203" s="33"/>
      <c r="LV203" s="33"/>
      <c r="LW203" s="33"/>
      <c r="LX203" s="33"/>
      <c r="LY203" s="33"/>
      <c r="LZ203" s="33"/>
      <c r="MA203" s="33"/>
      <c r="MB203" s="33"/>
      <c r="MC203" s="33"/>
      <c r="MD203" s="33"/>
      <c r="ME203" s="33"/>
      <c r="MF203" s="33"/>
      <c r="MG203" s="33"/>
      <c r="MH203" s="33"/>
      <c r="MI203" s="33"/>
      <c r="MJ203" s="33"/>
      <c r="MK203" s="33"/>
      <c r="ML203" s="33"/>
      <c r="MM203" s="33"/>
      <c r="MN203" s="33"/>
      <c r="MO203" s="33"/>
      <c r="MP203" s="33"/>
      <c r="MQ203" s="33"/>
      <c r="MR203" s="33"/>
      <c r="MS203" s="33"/>
      <c r="MT203" s="33"/>
      <c r="MU203" s="33"/>
      <c r="MV203" s="33"/>
      <c r="MW203" s="33"/>
      <c r="MX203" s="33"/>
      <c r="MY203" s="33"/>
      <c r="MZ203" s="33"/>
      <c r="NA203" s="33"/>
      <c r="NB203" s="33"/>
      <c r="NC203" s="33"/>
      <c r="ND203" s="33"/>
      <c r="NE203" s="33"/>
      <c r="NF203" s="33"/>
      <c r="NG203" s="33"/>
      <c r="NH203" s="33"/>
      <c r="NI203" s="33"/>
      <c r="NJ203" s="33"/>
      <c r="NK203" s="33"/>
      <c r="NL203" s="33"/>
      <c r="NM203" s="33"/>
      <c r="NN203" s="33"/>
      <c r="NO203" s="33"/>
      <c r="NP203" s="33"/>
      <c r="NQ203" s="33"/>
      <c r="NR203" s="33"/>
      <c r="NS203" s="33"/>
      <c r="NT203" s="33"/>
      <c r="NU203" s="33"/>
      <c r="NV203" s="33"/>
      <c r="NW203" s="33"/>
      <c r="NX203" s="33"/>
      <c r="NY203" s="33"/>
      <c r="NZ203" s="33"/>
      <c r="OA203" s="33"/>
      <c r="OB203" s="33"/>
      <c r="OC203" s="33"/>
      <c r="OD203" s="33"/>
      <c r="OE203" s="33"/>
      <c r="OF203" s="33"/>
      <c r="OG203" s="33"/>
      <c r="OH203" s="33"/>
      <c r="OI203" s="33"/>
      <c r="OJ203" s="33"/>
      <c r="OK203" s="33"/>
      <c r="OL203" s="33"/>
      <c r="OM203" s="33"/>
      <c r="ON203" s="33"/>
      <c r="OO203" s="33"/>
      <c r="OP203" s="33"/>
      <c r="OQ203" s="33"/>
      <c r="OR203" s="33"/>
      <c r="OS203" s="33"/>
      <c r="OT203" s="33"/>
      <c r="OU203" s="33"/>
      <c r="OV203" s="33"/>
      <c r="OW203" s="33"/>
      <c r="OX203" s="33"/>
      <c r="OY203" s="33"/>
      <c r="OZ203" s="33"/>
      <c r="PA203" s="33"/>
      <c r="PB203" s="33"/>
      <c r="PC203" s="33"/>
      <c r="PD203" s="33"/>
      <c r="PE203" s="33"/>
      <c r="PF203" s="33"/>
      <c r="PG203" s="33"/>
      <c r="PH203" s="33"/>
      <c r="PI203" s="33"/>
      <c r="PJ203" s="33"/>
      <c r="PK203" s="33"/>
      <c r="PL203" s="33"/>
      <c r="PM203" s="33"/>
      <c r="PN203" s="33"/>
      <c r="PO203" s="33"/>
      <c r="PP203" s="33"/>
      <c r="PQ203" s="33"/>
      <c r="PR203" s="33"/>
      <c r="PS203" s="33"/>
      <c r="PT203" s="33"/>
      <c r="PU203" s="33"/>
      <c r="PV203" s="33"/>
      <c r="PW203" s="33"/>
      <c r="PX203" s="33"/>
      <c r="PY203" s="33"/>
      <c r="PZ203" s="33"/>
      <c r="QA203" s="33"/>
      <c r="QB203" s="33"/>
      <c r="QC203" s="33"/>
      <c r="QD203" s="33"/>
      <c r="QE203" s="33"/>
      <c r="QF203" s="33"/>
      <c r="QG203" s="33"/>
      <c r="QH203" s="33"/>
      <c r="QI203" s="33"/>
      <c r="QJ203" s="33"/>
      <c r="QK203" s="33"/>
      <c r="QL203" s="33"/>
      <c r="QM203" s="33"/>
      <c r="QN203" s="33"/>
      <c r="QO203" s="33"/>
      <c r="QP203" s="33"/>
      <c r="QQ203" s="33"/>
      <c r="QR203" s="33"/>
      <c r="QS203" s="33"/>
      <c r="QT203" s="33"/>
      <c r="QU203" s="33"/>
      <c r="QV203" s="33"/>
      <c r="QW203" s="33"/>
      <c r="QX203" s="33"/>
      <c r="QY203" s="33"/>
      <c r="QZ203" s="33"/>
      <c r="RA203" s="33"/>
      <c r="RB203" s="33"/>
      <c r="RC203" s="33"/>
      <c r="RD203" s="33"/>
      <c r="RE203" s="33"/>
      <c r="RF203" s="33"/>
      <c r="RG203" s="33"/>
      <c r="RH203" s="33"/>
      <c r="RI203" s="33"/>
      <c r="RJ203" s="33"/>
      <c r="RK203" s="33"/>
      <c r="RL203" s="33"/>
      <c r="RM203" s="33"/>
      <c r="RN203" s="33"/>
      <c r="RO203" s="33"/>
      <c r="RP203" s="33"/>
      <c r="RQ203" s="33"/>
      <c r="RR203" s="33"/>
      <c r="RS203" s="33"/>
      <c r="RT203" s="33"/>
      <c r="RU203" s="33"/>
      <c r="RV203" s="33"/>
      <c r="RW203" s="33"/>
      <c r="RX203" s="33"/>
      <c r="RY203" s="33"/>
      <c r="RZ203" s="33"/>
      <c r="SA203" s="33"/>
      <c r="SB203" s="33"/>
      <c r="SC203" s="33"/>
      <c r="SD203" s="33"/>
      <c r="SE203" s="33"/>
      <c r="SF203" s="33"/>
      <c r="SG203" s="33"/>
      <c r="SH203" s="33"/>
      <c r="SI203" s="33"/>
      <c r="SJ203" s="33"/>
      <c r="SK203" s="33"/>
      <c r="SL203" s="33"/>
      <c r="SM203" s="33"/>
      <c r="SN203" s="33"/>
      <c r="SO203" s="33"/>
      <c r="SP203" s="33"/>
      <c r="SQ203" s="33"/>
      <c r="SR203" s="33"/>
      <c r="SS203" s="33"/>
      <c r="ST203" s="33"/>
      <c r="SU203" s="33"/>
      <c r="SV203" s="33"/>
      <c r="SW203" s="33"/>
      <c r="SX203" s="33"/>
      <c r="SY203" s="33"/>
      <c r="SZ203" s="33"/>
      <c r="TA203" s="33"/>
      <c r="TB203" s="33"/>
      <c r="TC203" s="33"/>
      <c r="TD203" s="33"/>
      <c r="TE203" s="33"/>
      <c r="TF203" s="33"/>
      <c r="TG203" s="33"/>
    </row>
    <row r="204" spans="1:527" s="34" customFormat="1" ht="45" hidden="1" customHeight="1" x14ac:dyDescent="0.25">
      <c r="A204" s="100"/>
      <c r="B204" s="113"/>
      <c r="C204" s="113"/>
      <c r="D204" s="81" t="s">
        <v>390</v>
      </c>
      <c r="E204" s="102">
        <f>E225</f>
        <v>0</v>
      </c>
      <c r="F204" s="102">
        <f t="shared" ref="F204:P204" si="90">F225</f>
        <v>0</v>
      </c>
      <c r="G204" s="102">
        <f t="shared" si="90"/>
        <v>0</v>
      </c>
      <c r="H204" s="102">
        <f t="shared" si="90"/>
        <v>0</v>
      </c>
      <c r="I204" s="102">
        <f t="shared" si="90"/>
        <v>0</v>
      </c>
      <c r="J204" s="102">
        <f t="shared" si="90"/>
        <v>5000000</v>
      </c>
      <c r="K204" s="102">
        <f t="shared" si="90"/>
        <v>5000000</v>
      </c>
      <c r="L204" s="102">
        <f t="shared" si="90"/>
        <v>0</v>
      </c>
      <c r="M204" s="102">
        <f t="shared" si="90"/>
        <v>0</v>
      </c>
      <c r="N204" s="102">
        <f t="shared" si="90"/>
        <v>0</v>
      </c>
      <c r="O204" s="102">
        <f t="shared" si="90"/>
        <v>5000000</v>
      </c>
      <c r="P204" s="102">
        <f t="shared" si="90"/>
        <v>5000000</v>
      </c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  <c r="IU204" s="33"/>
      <c r="IV204" s="33"/>
      <c r="IW204" s="33"/>
      <c r="IX204" s="33"/>
      <c r="IY204" s="33"/>
      <c r="IZ204" s="33"/>
      <c r="JA204" s="33"/>
      <c r="JB204" s="33"/>
      <c r="JC204" s="33"/>
      <c r="JD204" s="33"/>
      <c r="JE204" s="33"/>
      <c r="JF204" s="33"/>
      <c r="JG204" s="33"/>
      <c r="JH204" s="33"/>
      <c r="JI204" s="33"/>
      <c r="JJ204" s="33"/>
      <c r="JK204" s="33"/>
      <c r="JL204" s="33"/>
      <c r="JM204" s="33"/>
      <c r="JN204" s="33"/>
      <c r="JO204" s="33"/>
      <c r="JP204" s="33"/>
      <c r="JQ204" s="33"/>
      <c r="JR204" s="33"/>
      <c r="JS204" s="33"/>
      <c r="JT204" s="33"/>
      <c r="JU204" s="33"/>
      <c r="JV204" s="33"/>
      <c r="JW204" s="33"/>
      <c r="JX204" s="33"/>
      <c r="JY204" s="33"/>
      <c r="JZ204" s="33"/>
      <c r="KA204" s="33"/>
      <c r="KB204" s="33"/>
      <c r="KC204" s="33"/>
      <c r="KD204" s="33"/>
      <c r="KE204" s="33"/>
      <c r="KF204" s="33"/>
      <c r="KG204" s="33"/>
      <c r="KH204" s="33"/>
      <c r="KI204" s="33"/>
      <c r="KJ204" s="33"/>
      <c r="KK204" s="33"/>
      <c r="KL204" s="33"/>
      <c r="KM204" s="33"/>
      <c r="KN204" s="33"/>
      <c r="KO204" s="33"/>
      <c r="KP204" s="33"/>
      <c r="KQ204" s="33"/>
      <c r="KR204" s="33"/>
      <c r="KS204" s="33"/>
      <c r="KT204" s="33"/>
      <c r="KU204" s="33"/>
      <c r="KV204" s="33"/>
      <c r="KW204" s="33"/>
      <c r="KX204" s="33"/>
      <c r="KY204" s="33"/>
      <c r="KZ204" s="33"/>
      <c r="LA204" s="33"/>
      <c r="LB204" s="33"/>
      <c r="LC204" s="33"/>
      <c r="LD204" s="33"/>
      <c r="LE204" s="33"/>
      <c r="LF204" s="33"/>
      <c r="LG204" s="33"/>
      <c r="LH204" s="33"/>
      <c r="LI204" s="33"/>
      <c r="LJ204" s="33"/>
      <c r="LK204" s="33"/>
      <c r="LL204" s="33"/>
      <c r="LM204" s="33"/>
      <c r="LN204" s="33"/>
      <c r="LO204" s="33"/>
      <c r="LP204" s="33"/>
      <c r="LQ204" s="33"/>
      <c r="LR204" s="33"/>
      <c r="LS204" s="33"/>
      <c r="LT204" s="33"/>
      <c r="LU204" s="33"/>
      <c r="LV204" s="33"/>
      <c r="LW204" s="33"/>
      <c r="LX204" s="33"/>
      <c r="LY204" s="33"/>
      <c r="LZ204" s="33"/>
      <c r="MA204" s="33"/>
      <c r="MB204" s="33"/>
      <c r="MC204" s="33"/>
      <c r="MD204" s="33"/>
      <c r="ME204" s="33"/>
      <c r="MF204" s="33"/>
      <c r="MG204" s="33"/>
      <c r="MH204" s="33"/>
      <c r="MI204" s="33"/>
      <c r="MJ204" s="33"/>
      <c r="MK204" s="33"/>
      <c r="ML204" s="33"/>
      <c r="MM204" s="33"/>
      <c r="MN204" s="33"/>
      <c r="MO204" s="33"/>
      <c r="MP204" s="33"/>
      <c r="MQ204" s="33"/>
      <c r="MR204" s="33"/>
      <c r="MS204" s="33"/>
      <c r="MT204" s="33"/>
      <c r="MU204" s="33"/>
      <c r="MV204" s="33"/>
      <c r="MW204" s="33"/>
      <c r="MX204" s="33"/>
      <c r="MY204" s="33"/>
      <c r="MZ204" s="33"/>
      <c r="NA204" s="33"/>
      <c r="NB204" s="33"/>
      <c r="NC204" s="33"/>
      <c r="ND204" s="33"/>
      <c r="NE204" s="33"/>
      <c r="NF204" s="33"/>
      <c r="NG204" s="33"/>
      <c r="NH204" s="33"/>
      <c r="NI204" s="33"/>
      <c r="NJ204" s="33"/>
      <c r="NK204" s="33"/>
      <c r="NL204" s="33"/>
      <c r="NM204" s="33"/>
      <c r="NN204" s="33"/>
      <c r="NO204" s="33"/>
      <c r="NP204" s="33"/>
      <c r="NQ204" s="33"/>
      <c r="NR204" s="33"/>
      <c r="NS204" s="33"/>
      <c r="NT204" s="33"/>
      <c r="NU204" s="33"/>
      <c r="NV204" s="33"/>
      <c r="NW204" s="33"/>
      <c r="NX204" s="33"/>
      <c r="NY204" s="33"/>
      <c r="NZ204" s="33"/>
      <c r="OA204" s="33"/>
      <c r="OB204" s="33"/>
      <c r="OC204" s="33"/>
      <c r="OD204" s="33"/>
      <c r="OE204" s="33"/>
      <c r="OF204" s="33"/>
      <c r="OG204" s="33"/>
      <c r="OH204" s="33"/>
      <c r="OI204" s="33"/>
      <c r="OJ204" s="33"/>
      <c r="OK204" s="33"/>
      <c r="OL204" s="33"/>
      <c r="OM204" s="33"/>
      <c r="ON204" s="33"/>
      <c r="OO204" s="33"/>
      <c r="OP204" s="33"/>
      <c r="OQ204" s="33"/>
      <c r="OR204" s="33"/>
      <c r="OS204" s="33"/>
      <c r="OT204" s="33"/>
      <c r="OU204" s="33"/>
      <c r="OV204" s="33"/>
      <c r="OW204" s="33"/>
      <c r="OX204" s="33"/>
      <c r="OY204" s="33"/>
      <c r="OZ204" s="33"/>
      <c r="PA204" s="33"/>
      <c r="PB204" s="33"/>
      <c r="PC204" s="33"/>
      <c r="PD204" s="33"/>
      <c r="PE204" s="33"/>
      <c r="PF204" s="33"/>
      <c r="PG204" s="33"/>
      <c r="PH204" s="33"/>
      <c r="PI204" s="33"/>
      <c r="PJ204" s="33"/>
      <c r="PK204" s="33"/>
      <c r="PL204" s="33"/>
      <c r="PM204" s="33"/>
      <c r="PN204" s="33"/>
      <c r="PO204" s="33"/>
      <c r="PP204" s="33"/>
      <c r="PQ204" s="33"/>
      <c r="PR204" s="33"/>
      <c r="PS204" s="33"/>
      <c r="PT204" s="33"/>
      <c r="PU204" s="33"/>
      <c r="PV204" s="33"/>
      <c r="PW204" s="33"/>
      <c r="PX204" s="33"/>
      <c r="PY204" s="33"/>
      <c r="PZ204" s="33"/>
      <c r="QA204" s="33"/>
      <c r="QB204" s="33"/>
      <c r="QC204" s="33"/>
      <c r="QD204" s="33"/>
      <c r="QE204" s="33"/>
      <c r="QF204" s="33"/>
      <c r="QG204" s="33"/>
      <c r="QH204" s="33"/>
      <c r="QI204" s="33"/>
      <c r="QJ204" s="33"/>
      <c r="QK204" s="33"/>
      <c r="QL204" s="33"/>
      <c r="QM204" s="33"/>
      <c r="QN204" s="33"/>
      <c r="QO204" s="33"/>
      <c r="QP204" s="33"/>
      <c r="QQ204" s="33"/>
      <c r="QR204" s="33"/>
      <c r="QS204" s="33"/>
      <c r="QT204" s="33"/>
      <c r="QU204" s="33"/>
      <c r="QV204" s="33"/>
      <c r="QW204" s="33"/>
      <c r="QX204" s="33"/>
      <c r="QY204" s="33"/>
      <c r="QZ204" s="33"/>
      <c r="RA204" s="33"/>
      <c r="RB204" s="33"/>
      <c r="RC204" s="33"/>
      <c r="RD204" s="33"/>
      <c r="RE204" s="33"/>
      <c r="RF204" s="33"/>
      <c r="RG204" s="33"/>
      <c r="RH204" s="33"/>
      <c r="RI204" s="33"/>
      <c r="RJ204" s="33"/>
      <c r="RK204" s="33"/>
      <c r="RL204" s="33"/>
      <c r="RM204" s="33"/>
      <c r="RN204" s="33"/>
      <c r="RO204" s="33"/>
      <c r="RP204" s="33"/>
      <c r="RQ204" s="33"/>
      <c r="RR204" s="33"/>
      <c r="RS204" s="33"/>
      <c r="RT204" s="33"/>
      <c r="RU204" s="33"/>
      <c r="RV204" s="33"/>
      <c r="RW204" s="33"/>
      <c r="RX204" s="33"/>
      <c r="RY204" s="33"/>
      <c r="RZ204" s="33"/>
      <c r="SA204" s="33"/>
      <c r="SB204" s="33"/>
      <c r="SC204" s="33"/>
      <c r="SD204" s="33"/>
      <c r="SE204" s="33"/>
      <c r="SF204" s="33"/>
      <c r="SG204" s="33"/>
      <c r="SH204" s="33"/>
      <c r="SI204" s="33"/>
      <c r="SJ204" s="33"/>
      <c r="SK204" s="33"/>
      <c r="SL204" s="33"/>
      <c r="SM204" s="33"/>
      <c r="SN204" s="33"/>
      <c r="SO204" s="33"/>
      <c r="SP204" s="33"/>
      <c r="SQ204" s="33"/>
      <c r="SR204" s="33"/>
      <c r="SS204" s="33"/>
      <c r="ST204" s="33"/>
      <c r="SU204" s="33"/>
      <c r="SV204" s="33"/>
      <c r="SW204" s="33"/>
      <c r="SX204" s="33"/>
      <c r="SY204" s="33"/>
      <c r="SZ204" s="33"/>
      <c r="TA204" s="33"/>
      <c r="TB204" s="33"/>
      <c r="TC204" s="33"/>
      <c r="TD204" s="33"/>
      <c r="TE204" s="33"/>
      <c r="TF204" s="33"/>
      <c r="TG204" s="33"/>
    </row>
    <row r="205" spans="1:527" s="34" customFormat="1" ht="96.75" hidden="1" customHeight="1" x14ac:dyDescent="0.25">
      <c r="A205" s="100"/>
      <c r="B205" s="113"/>
      <c r="C205" s="113"/>
      <c r="D205" s="81" t="s">
        <v>399</v>
      </c>
      <c r="E205" s="102">
        <f>E227</f>
        <v>0</v>
      </c>
      <c r="F205" s="102">
        <f t="shared" ref="F205:P205" si="91">F227</f>
        <v>0</v>
      </c>
      <c r="G205" s="102">
        <f t="shared" si="91"/>
        <v>0</v>
      </c>
      <c r="H205" s="102">
        <f t="shared" si="91"/>
        <v>0</v>
      </c>
      <c r="I205" s="102">
        <f t="shared" si="91"/>
        <v>0</v>
      </c>
      <c r="J205" s="102">
        <f t="shared" si="91"/>
        <v>0</v>
      </c>
      <c r="K205" s="102">
        <f t="shared" si="91"/>
        <v>0</v>
      </c>
      <c r="L205" s="102">
        <f t="shared" si="91"/>
        <v>0</v>
      </c>
      <c r="M205" s="102">
        <f t="shared" si="91"/>
        <v>0</v>
      </c>
      <c r="N205" s="102">
        <f t="shared" si="91"/>
        <v>0</v>
      </c>
      <c r="O205" s="102">
        <f t="shared" si="91"/>
        <v>0</v>
      </c>
      <c r="P205" s="102">
        <f t="shared" si="91"/>
        <v>0</v>
      </c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  <c r="IU205" s="33"/>
      <c r="IV205" s="33"/>
      <c r="IW205" s="33"/>
      <c r="IX205" s="33"/>
      <c r="IY205" s="33"/>
      <c r="IZ205" s="33"/>
      <c r="JA205" s="33"/>
      <c r="JB205" s="33"/>
      <c r="JC205" s="33"/>
      <c r="JD205" s="33"/>
      <c r="JE205" s="33"/>
      <c r="JF205" s="33"/>
      <c r="JG205" s="33"/>
      <c r="JH205" s="33"/>
      <c r="JI205" s="33"/>
      <c r="JJ205" s="33"/>
      <c r="JK205" s="33"/>
      <c r="JL205" s="33"/>
      <c r="JM205" s="33"/>
      <c r="JN205" s="33"/>
      <c r="JO205" s="33"/>
      <c r="JP205" s="33"/>
      <c r="JQ205" s="33"/>
      <c r="JR205" s="33"/>
      <c r="JS205" s="33"/>
      <c r="JT205" s="33"/>
      <c r="JU205" s="33"/>
      <c r="JV205" s="33"/>
      <c r="JW205" s="33"/>
      <c r="JX205" s="33"/>
      <c r="JY205" s="33"/>
      <c r="JZ205" s="33"/>
      <c r="KA205" s="33"/>
      <c r="KB205" s="33"/>
      <c r="KC205" s="33"/>
      <c r="KD205" s="33"/>
      <c r="KE205" s="33"/>
      <c r="KF205" s="33"/>
      <c r="KG205" s="33"/>
      <c r="KH205" s="33"/>
      <c r="KI205" s="33"/>
      <c r="KJ205" s="33"/>
      <c r="KK205" s="33"/>
      <c r="KL205" s="33"/>
      <c r="KM205" s="33"/>
      <c r="KN205" s="33"/>
      <c r="KO205" s="33"/>
      <c r="KP205" s="33"/>
      <c r="KQ205" s="33"/>
      <c r="KR205" s="33"/>
      <c r="KS205" s="33"/>
      <c r="KT205" s="33"/>
      <c r="KU205" s="33"/>
      <c r="KV205" s="33"/>
      <c r="KW205" s="33"/>
      <c r="KX205" s="33"/>
      <c r="KY205" s="33"/>
      <c r="KZ205" s="33"/>
      <c r="LA205" s="33"/>
      <c r="LB205" s="33"/>
      <c r="LC205" s="33"/>
      <c r="LD205" s="33"/>
      <c r="LE205" s="33"/>
      <c r="LF205" s="33"/>
      <c r="LG205" s="33"/>
      <c r="LH205" s="33"/>
      <c r="LI205" s="33"/>
      <c r="LJ205" s="33"/>
      <c r="LK205" s="33"/>
      <c r="LL205" s="33"/>
      <c r="LM205" s="33"/>
      <c r="LN205" s="33"/>
      <c r="LO205" s="33"/>
      <c r="LP205" s="33"/>
      <c r="LQ205" s="33"/>
      <c r="LR205" s="33"/>
      <c r="LS205" s="33"/>
      <c r="LT205" s="33"/>
      <c r="LU205" s="33"/>
      <c r="LV205" s="33"/>
      <c r="LW205" s="33"/>
      <c r="LX205" s="33"/>
      <c r="LY205" s="33"/>
      <c r="LZ205" s="33"/>
      <c r="MA205" s="33"/>
      <c r="MB205" s="33"/>
      <c r="MC205" s="33"/>
      <c r="MD205" s="33"/>
      <c r="ME205" s="33"/>
      <c r="MF205" s="33"/>
      <c r="MG205" s="33"/>
      <c r="MH205" s="33"/>
      <c r="MI205" s="33"/>
      <c r="MJ205" s="33"/>
      <c r="MK205" s="33"/>
      <c r="ML205" s="33"/>
      <c r="MM205" s="33"/>
      <c r="MN205" s="33"/>
      <c r="MO205" s="33"/>
      <c r="MP205" s="33"/>
      <c r="MQ205" s="33"/>
      <c r="MR205" s="33"/>
      <c r="MS205" s="33"/>
      <c r="MT205" s="33"/>
      <c r="MU205" s="33"/>
      <c r="MV205" s="33"/>
      <c r="MW205" s="33"/>
      <c r="MX205" s="33"/>
      <c r="MY205" s="33"/>
      <c r="MZ205" s="33"/>
      <c r="NA205" s="33"/>
      <c r="NB205" s="33"/>
      <c r="NC205" s="33"/>
      <c r="ND205" s="33"/>
      <c r="NE205" s="33"/>
      <c r="NF205" s="33"/>
      <c r="NG205" s="33"/>
      <c r="NH205" s="33"/>
      <c r="NI205" s="33"/>
      <c r="NJ205" s="33"/>
      <c r="NK205" s="33"/>
      <c r="NL205" s="33"/>
      <c r="NM205" s="33"/>
      <c r="NN205" s="33"/>
      <c r="NO205" s="33"/>
      <c r="NP205" s="33"/>
      <c r="NQ205" s="33"/>
      <c r="NR205" s="33"/>
      <c r="NS205" s="33"/>
      <c r="NT205" s="33"/>
      <c r="NU205" s="33"/>
      <c r="NV205" s="33"/>
      <c r="NW205" s="33"/>
      <c r="NX205" s="33"/>
      <c r="NY205" s="33"/>
      <c r="NZ205" s="33"/>
      <c r="OA205" s="33"/>
      <c r="OB205" s="33"/>
      <c r="OC205" s="33"/>
      <c r="OD205" s="33"/>
      <c r="OE205" s="33"/>
      <c r="OF205" s="33"/>
      <c r="OG205" s="33"/>
      <c r="OH205" s="33"/>
      <c r="OI205" s="33"/>
      <c r="OJ205" s="33"/>
      <c r="OK205" s="33"/>
      <c r="OL205" s="33"/>
      <c r="OM205" s="33"/>
      <c r="ON205" s="33"/>
      <c r="OO205" s="33"/>
      <c r="OP205" s="33"/>
      <c r="OQ205" s="33"/>
      <c r="OR205" s="33"/>
      <c r="OS205" s="33"/>
      <c r="OT205" s="33"/>
      <c r="OU205" s="33"/>
      <c r="OV205" s="33"/>
      <c r="OW205" s="33"/>
      <c r="OX205" s="33"/>
      <c r="OY205" s="33"/>
      <c r="OZ205" s="33"/>
      <c r="PA205" s="33"/>
      <c r="PB205" s="33"/>
      <c r="PC205" s="33"/>
      <c r="PD205" s="33"/>
      <c r="PE205" s="33"/>
      <c r="PF205" s="33"/>
      <c r="PG205" s="33"/>
      <c r="PH205" s="33"/>
      <c r="PI205" s="33"/>
      <c r="PJ205" s="33"/>
      <c r="PK205" s="33"/>
      <c r="PL205" s="33"/>
      <c r="PM205" s="33"/>
      <c r="PN205" s="33"/>
      <c r="PO205" s="33"/>
      <c r="PP205" s="33"/>
      <c r="PQ205" s="33"/>
      <c r="PR205" s="33"/>
      <c r="PS205" s="33"/>
      <c r="PT205" s="33"/>
      <c r="PU205" s="33"/>
      <c r="PV205" s="33"/>
      <c r="PW205" s="33"/>
      <c r="PX205" s="33"/>
      <c r="PY205" s="33"/>
      <c r="PZ205" s="33"/>
      <c r="QA205" s="33"/>
      <c r="QB205" s="33"/>
      <c r="QC205" s="33"/>
      <c r="QD205" s="33"/>
      <c r="QE205" s="33"/>
      <c r="QF205" s="33"/>
      <c r="QG205" s="33"/>
      <c r="QH205" s="33"/>
      <c r="QI205" s="33"/>
      <c r="QJ205" s="33"/>
      <c r="QK205" s="33"/>
      <c r="QL205" s="33"/>
      <c r="QM205" s="33"/>
      <c r="QN205" s="33"/>
      <c r="QO205" s="33"/>
      <c r="QP205" s="33"/>
      <c r="QQ205" s="33"/>
      <c r="QR205" s="33"/>
      <c r="QS205" s="33"/>
      <c r="QT205" s="33"/>
      <c r="QU205" s="33"/>
      <c r="QV205" s="33"/>
      <c r="QW205" s="33"/>
      <c r="QX205" s="33"/>
      <c r="QY205" s="33"/>
      <c r="QZ205" s="33"/>
      <c r="RA205" s="33"/>
      <c r="RB205" s="33"/>
      <c r="RC205" s="33"/>
      <c r="RD205" s="33"/>
      <c r="RE205" s="33"/>
      <c r="RF205" s="33"/>
      <c r="RG205" s="33"/>
      <c r="RH205" s="33"/>
      <c r="RI205" s="33"/>
      <c r="RJ205" s="33"/>
      <c r="RK205" s="33"/>
      <c r="RL205" s="33"/>
      <c r="RM205" s="33"/>
      <c r="RN205" s="33"/>
      <c r="RO205" s="33"/>
      <c r="RP205" s="33"/>
      <c r="RQ205" s="33"/>
      <c r="RR205" s="33"/>
      <c r="RS205" s="33"/>
      <c r="RT205" s="33"/>
      <c r="RU205" s="33"/>
      <c r="RV205" s="33"/>
      <c r="RW205" s="33"/>
      <c r="RX205" s="33"/>
      <c r="RY205" s="33"/>
      <c r="RZ205" s="33"/>
      <c r="SA205" s="33"/>
      <c r="SB205" s="33"/>
      <c r="SC205" s="33"/>
      <c r="SD205" s="33"/>
      <c r="SE205" s="33"/>
      <c r="SF205" s="33"/>
      <c r="SG205" s="33"/>
      <c r="SH205" s="33"/>
      <c r="SI205" s="33"/>
      <c r="SJ205" s="33"/>
      <c r="SK205" s="33"/>
      <c r="SL205" s="33"/>
      <c r="SM205" s="33"/>
      <c r="SN205" s="33"/>
      <c r="SO205" s="33"/>
      <c r="SP205" s="33"/>
      <c r="SQ205" s="33"/>
      <c r="SR205" s="33"/>
      <c r="SS205" s="33"/>
      <c r="ST205" s="33"/>
      <c r="SU205" s="33"/>
      <c r="SV205" s="33"/>
      <c r="SW205" s="33"/>
      <c r="SX205" s="33"/>
      <c r="SY205" s="33"/>
      <c r="SZ205" s="33"/>
      <c r="TA205" s="33"/>
      <c r="TB205" s="33"/>
      <c r="TC205" s="33"/>
      <c r="TD205" s="33"/>
      <c r="TE205" s="33"/>
      <c r="TF205" s="33"/>
      <c r="TG205" s="33"/>
    </row>
    <row r="206" spans="1:527" s="34" customFormat="1" ht="81.75" customHeight="1" x14ac:dyDescent="0.25">
      <c r="A206" s="100"/>
      <c r="B206" s="113"/>
      <c r="C206" s="113"/>
      <c r="D206" s="81" t="s">
        <v>561</v>
      </c>
      <c r="E206" s="102">
        <f>E228</f>
        <v>1527346</v>
      </c>
      <c r="F206" s="102">
        <f t="shared" ref="F206:P206" si="92">F228</f>
        <v>1527346</v>
      </c>
      <c r="G206" s="102">
        <f t="shared" si="92"/>
        <v>0</v>
      </c>
      <c r="H206" s="102">
        <f t="shared" si="92"/>
        <v>0</v>
      </c>
      <c r="I206" s="102">
        <f t="shared" si="92"/>
        <v>0</v>
      </c>
      <c r="J206" s="102">
        <f t="shared" si="92"/>
        <v>0</v>
      </c>
      <c r="K206" s="102">
        <f t="shared" si="92"/>
        <v>0</v>
      </c>
      <c r="L206" s="102">
        <f t="shared" si="92"/>
        <v>0</v>
      </c>
      <c r="M206" s="102">
        <f t="shared" si="92"/>
        <v>0</v>
      </c>
      <c r="N206" s="102">
        <f t="shared" si="92"/>
        <v>0</v>
      </c>
      <c r="O206" s="102">
        <f t="shared" si="92"/>
        <v>0</v>
      </c>
      <c r="P206" s="102">
        <f t="shared" si="92"/>
        <v>1527346</v>
      </c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  <c r="IW206" s="33"/>
      <c r="IX206" s="33"/>
      <c r="IY206" s="33"/>
      <c r="IZ206" s="33"/>
      <c r="JA206" s="33"/>
      <c r="JB206" s="33"/>
      <c r="JC206" s="33"/>
      <c r="JD206" s="33"/>
      <c r="JE206" s="33"/>
      <c r="JF206" s="33"/>
      <c r="JG206" s="33"/>
      <c r="JH206" s="33"/>
      <c r="JI206" s="33"/>
      <c r="JJ206" s="33"/>
      <c r="JK206" s="33"/>
      <c r="JL206" s="33"/>
      <c r="JM206" s="33"/>
      <c r="JN206" s="33"/>
      <c r="JO206" s="33"/>
      <c r="JP206" s="33"/>
      <c r="JQ206" s="33"/>
      <c r="JR206" s="33"/>
      <c r="JS206" s="33"/>
      <c r="JT206" s="33"/>
      <c r="JU206" s="33"/>
      <c r="JV206" s="33"/>
      <c r="JW206" s="33"/>
      <c r="JX206" s="33"/>
      <c r="JY206" s="33"/>
      <c r="JZ206" s="33"/>
      <c r="KA206" s="33"/>
      <c r="KB206" s="33"/>
      <c r="KC206" s="33"/>
      <c r="KD206" s="33"/>
      <c r="KE206" s="33"/>
      <c r="KF206" s="33"/>
      <c r="KG206" s="33"/>
      <c r="KH206" s="33"/>
      <c r="KI206" s="33"/>
      <c r="KJ206" s="33"/>
      <c r="KK206" s="33"/>
      <c r="KL206" s="33"/>
      <c r="KM206" s="33"/>
      <c r="KN206" s="33"/>
      <c r="KO206" s="33"/>
      <c r="KP206" s="33"/>
      <c r="KQ206" s="33"/>
      <c r="KR206" s="33"/>
      <c r="KS206" s="33"/>
      <c r="KT206" s="33"/>
      <c r="KU206" s="33"/>
      <c r="KV206" s="33"/>
      <c r="KW206" s="33"/>
      <c r="KX206" s="33"/>
      <c r="KY206" s="33"/>
      <c r="KZ206" s="33"/>
      <c r="LA206" s="33"/>
      <c r="LB206" s="33"/>
      <c r="LC206" s="33"/>
      <c r="LD206" s="33"/>
      <c r="LE206" s="33"/>
      <c r="LF206" s="33"/>
      <c r="LG206" s="33"/>
      <c r="LH206" s="33"/>
      <c r="LI206" s="33"/>
      <c r="LJ206" s="33"/>
      <c r="LK206" s="33"/>
      <c r="LL206" s="33"/>
      <c r="LM206" s="33"/>
      <c r="LN206" s="33"/>
      <c r="LO206" s="33"/>
      <c r="LP206" s="33"/>
      <c r="LQ206" s="33"/>
      <c r="LR206" s="33"/>
      <c r="LS206" s="33"/>
      <c r="LT206" s="33"/>
      <c r="LU206" s="33"/>
      <c r="LV206" s="33"/>
      <c r="LW206" s="33"/>
      <c r="LX206" s="33"/>
      <c r="LY206" s="33"/>
      <c r="LZ206" s="33"/>
      <c r="MA206" s="33"/>
      <c r="MB206" s="33"/>
      <c r="MC206" s="33"/>
      <c r="MD206" s="33"/>
      <c r="ME206" s="33"/>
      <c r="MF206" s="33"/>
      <c r="MG206" s="33"/>
      <c r="MH206" s="33"/>
      <c r="MI206" s="33"/>
      <c r="MJ206" s="33"/>
      <c r="MK206" s="33"/>
      <c r="ML206" s="33"/>
      <c r="MM206" s="33"/>
      <c r="MN206" s="33"/>
      <c r="MO206" s="33"/>
      <c r="MP206" s="33"/>
      <c r="MQ206" s="33"/>
      <c r="MR206" s="33"/>
      <c r="MS206" s="33"/>
      <c r="MT206" s="33"/>
      <c r="MU206" s="33"/>
      <c r="MV206" s="33"/>
      <c r="MW206" s="33"/>
      <c r="MX206" s="33"/>
      <c r="MY206" s="33"/>
      <c r="MZ206" s="33"/>
      <c r="NA206" s="33"/>
      <c r="NB206" s="33"/>
      <c r="NC206" s="33"/>
      <c r="ND206" s="33"/>
      <c r="NE206" s="33"/>
      <c r="NF206" s="33"/>
      <c r="NG206" s="33"/>
      <c r="NH206" s="33"/>
      <c r="NI206" s="33"/>
      <c r="NJ206" s="33"/>
      <c r="NK206" s="33"/>
      <c r="NL206" s="33"/>
      <c r="NM206" s="33"/>
      <c r="NN206" s="33"/>
      <c r="NO206" s="33"/>
      <c r="NP206" s="33"/>
      <c r="NQ206" s="33"/>
      <c r="NR206" s="33"/>
      <c r="NS206" s="33"/>
      <c r="NT206" s="33"/>
      <c r="NU206" s="33"/>
      <c r="NV206" s="33"/>
      <c r="NW206" s="33"/>
      <c r="NX206" s="33"/>
      <c r="NY206" s="33"/>
      <c r="NZ206" s="33"/>
      <c r="OA206" s="33"/>
      <c r="OB206" s="33"/>
      <c r="OC206" s="33"/>
      <c r="OD206" s="33"/>
      <c r="OE206" s="33"/>
      <c r="OF206" s="33"/>
      <c r="OG206" s="33"/>
      <c r="OH206" s="33"/>
      <c r="OI206" s="33"/>
      <c r="OJ206" s="33"/>
      <c r="OK206" s="33"/>
      <c r="OL206" s="33"/>
      <c r="OM206" s="33"/>
      <c r="ON206" s="33"/>
      <c r="OO206" s="33"/>
      <c r="OP206" s="33"/>
      <c r="OQ206" s="33"/>
      <c r="OR206" s="33"/>
      <c r="OS206" s="33"/>
      <c r="OT206" s="33"/>
      <c r="OU206" s="33"/>
      <c r="OV206" s="33"/>
      <c r="OW206" s="33"/>
      <c r="OX206" s="33"/>
      <c r="OY206" s="33"/>
      <c r="OZ206" s="33"/>
      <c r="PA206" s="33"/>
      <c r="PB206" s="33"/>
      <c r="PC206" s="33"/>
      <c r="PD206" s="33"/>
      <c r="PE206" s="33"/>
      <c r="PF206" s="33"/>
      <c r="PG206" s="33"/>
      <c r="PH206" s="33"/>
      <c r="PI206" s="33"/>
      <c r="PJ206" s="33"/>
      <c r="PK206" s="33"/>
      <c r="PL206" s="33"/>
      <c r="PM206" s="33"/>
      <c r="PN206" s="33"/>
      <c r="PO206" s="33"/>
      <c r="PP206" s="33"/>
      <c r="PQ206" s="33"/>
      <c r="PR206" s="33"/>
      <c r="PS206" s="33"/>
      <c r="PT206" s="33"/>
      <c r="PU206" s="33"/>
      <c r="PV206" s="33"/>
      <c r="PW206" s="33"/>
      <c r="PX206" s="33"/>
      <c r="PY206" s="33"/>
      <c r="PZ206" s="33"/>
      <c r="QA206" s="33"/>
      <c r="QB206" s="33"/>
      <c r="QC206" s="33"/>
      <c r="QD206" s="33"/>
      <c r="QE206" s="33"/>
      <c r="QF206" s="33"/>
      <c r="QG206" s="33"/>
      <c r="QH206" s="33"/>
      <c r="QI206" s="33"/>
      <c r="QJ206" s="33"/>
      <c r="QK206" s="33"/>
      <c r="QL206" s="33"/>
      <c r="QM206" s="33"/>
      <c r="QN206" s="33"/>
      <c r="QO206" s="33"/>
      <c r="QP206" s="33"/>
      <c r="QQ206" s="33"/>
      <c r="QR206" s="33"/>
      <c r="QS206" s="33"/>
      <c r="QT206" s="33"/>
      <c r="QU206" s="33"/>
      <c r="QV206" s="33"/>
      <c r="QW206" s="33"/>
      <c r="QX206" s="33"/>
      <c r="QY206" s="33"/>
      <c r="QZ206" s="33"/>
      <c r="RA206" s="33"/>
      <c r="RB206" s="33"/>
      <c r="RC206" s="33"/>
      <c r="RD206" s="33"/>
      <c r="RE206" s="33"/>
      <c r="RF206" s="33"/>
      <c r="RG206" s="33"/>
      <c r="RH206" s="33"/>
      <c r="RI206" s="33"/>
      <c r="RJ206" s="33"/>
      <c r="RK206" s="33"/>
      <c r="RL206" s="33"/>
      <c r="RM206" s="33"/>
      <c r="RN206" s="33"/>
      <c r="RO206" s="33"/>
      <c r="RP206" s="33"/>
      <c r="RQ206" s="33"/>
      <c r="RR206" s="33"/>
      <c r="RS206" s="33"/>
      <c r="RT206" s="33"/>
      <c r="RU206" s="33"/>
      <c r="RV206" s="33"/>
      <c r="RW206" s="33"/>
      <c r="RX206" s="33"/>
      <c r="RY206" s="33"/>
      <c r="RZ206" s="33"/>
      <c r="SA206" s="33"/>
      <c r="SB206" s="33"/>
      <c r="SC206" s="33"/>
      <c r="SD206" s="33"/>
      <c r="SE206" s="33"/>
      <c r="SF206" s="33"/>
      <c r="SG206" s="33"/>
      <c r="SH206" s="33"/>
      <c r="SI206" s="33"/>
      <c r="SJ206" s="33"/>
      <c r="SK206" s="33"/>
      <c r="SL206" s="33"/>
      <c r="SM206" s="33"/>
      <c r="SN206" s="33"/>
      <c r="SO206" s="33"/>
      <c r="SP206" s="33"/>
      <c r="SQ206" s="33"/>
      <c r="SR206" s="33"/>
      <c r="SS206" s="33"/>
      <c r="ST206" s="33"/>
      <c r="SU206" s="33"/>
      <c r="SV206" s="33"/>
      <c r="SW206" s="33"/>
      <c r="SX206" s="33"/>
      <c r="SY206" s="33"/>
      <c r="SZ206" s="33"/>
      <c r="TA206" s="33"/>
      <c r="TB206" s="33"/>
      <c r="TC206" s="33"/>
      <c r="TD206" s="33"/>
      <c r="TE206" s="33"/>
      <c r="TF206" s="33"/>
      <c r="TG206" s="33"/>
    </row>
    <row r="207" spans="1:527" s="34" customFormat="1" ht="69" customHeight="1" x14ac:dyDescent="0.25">
      <c r="A207" s="100"/>
      <c r="B207" s="113"/>
      <c r="C207" s="113"/>
      <c r="D207" s="81" t="s">
        <v>577</v>
      </c>
      <c r="E207" s="102">
        <f>E225</f>
        <v>0</v>
      </c>
      <c r="F207" s="102">
        <f t="shared" ref="F207:P207" si="93">F225</f>
        <v>0</v>
      </c>
      <c r="G207" s="102">
        <f t="shared" si="93"/>
        <v>0</v>
      </c>
      <c r="H207" s="102">
        <f t="shared" si="93"/>
        <v>0</v>
      </c>
      <c r="I207" s="102">
        <f t="shared" si="93"/>
        <v>0</v>
      </c>
      <c r="J207" s="102">
        <f t="shared" si="93"/>
        <v>5000000</v>
      </c>
      <c r="K207" s="102">
        <f t="shared" si="93"/>
        <v>5000000</v>
      </c>
      <c r="L207" s="102">
        <f t="shared" si="93"/>
        <v>0</v>
      </c>
      <c r="M207" s="102">
        <f t="shared" si="93"/>
        <v>0</v>
      </c>
      <c r="N207" s="102">
        <f t="shared" si="93"/>
        <v>0</v>
      </c>
      <c r="O207" s="102">
        <f t="shared" si="93"/>
        <v>5000000</v>
      </c>
      <c r="P207" s="102">
        <f t="shared" si="93"/>
        <v>5000000</v>
      </c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3"/>
      <c r="LC207" s="33"/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3"/>
      <c r="LO207" s="33"/>
      <c r="LP207" s="33"/>
      <c r="LQ207" s="33"/>
      <c r="LR207" s="33"/>
      <c r="LS207" s="33"/>
      <c r="LT207" s="33"/>
      <c r="LU207" s="33"/>
      <c r="LV207" s="33"/>
      <c r="LW207" s="33"/>
      <c r="LX207" s="33"/>
      <c r="LY207" s="33"/>
      <c r="LZ207" s="33"/>
      <c r="MA207" s="33"/>
      <c r="MB207" s="33"/>
      <c r="MC207" s="33"/>
      <c r="MD207" s="33"/>
      <c r="ME207" s="33"/>
      <c r="MF207" s="33"/>
      <c r="MG207" s="33"/>
      <c r="MH207" s="33"/>
      <c r="MI207" s="33"/>
      <c r="MJ207" s="33"/>
      <c r="MK207" s="33"/>
      <c r="ML207" s="33"/>
      <c r="MM207" s="33"/>
      <c r="MN207" s="33"/>
      <c r="MO207" s="33"/>
      <c r="MP207" s="33"/>
      <c r="MQ207" s="33"/>
      <c r="MR207" s="33"/>
      <c r="MS207" s="33"/>
      <c r="MT207" s="33"/>
      <c r="MU207" s="33"/>
      <c r="MV207" s="33"/>
      <c r="MW207" s="33"/>
      <c r="MX207" s="33"/>
      <c r="MY207" s="33"/>
      <c r="MZ207" s="33"/>
      <c r="NA207" s="33"/>
      <c r="NB207" s="33"/>
      <c r="NC207" s="33"/>
      <c r="ND207" s="33"/>
      <c r="NE207" s="33"/>
      <c r="NF207" s="33"/>
      <c r="NG207" s="33"/>
      <c r="NH207" s="33"/>
      <c r="NI207" s="33"/>
      <c r="NJ207" s="33"/>
      <c r="NK207" s="33"/>
      <c r="NL207" s="33"/>
      <c r="NM207" s="33"/>
      <c r="NN207" s="33"/>
      <c r="NO207" s="33"/>
      <c r="NP207" s="33"/>
      <c r="NQ207" s="33"/>
      <c r="NR207" s="33"/>
      <c r="NS207" s="33"/>
      <c r="NT207" s="33"/>
      <c r="NU207" s="33"/>
      <c r="NV207" s="33"/>
      <c r="NW207" s="33"/>
      <c r="NX207" s="33"/>
      <c r="NY207" s="33"/>
      <c r="NZ207" s="33"/>
      <c r="OA207" s="33"/>
      <c r="OB207" s="33"/>
      <c r="OC207" s="33"/>
      <c r="OD207" s="33"/>
      <c r="OE207" s="33"/>
      <c r="OF207" s="33"/>
      <c r="OG207" s="33"/>
      <c r="OH207" s="33"/>
      <c r="OI207" s="33"/>
      <c r="OJ207" s="33"/>
      <c r="OK207" s="33"/>
      <c r="OL207" s="33"/>
      <c r="OM207" s="33"/>
      <c r="ON207" s="33"/>
      <c r="OO207" s="33"/>
      <c r="OP207" s="33"/>
      <c r="OQ207" s="33"/>
      <c r="OR207" s="33"/>
      <c r="OS207" s="33"/>
      <c r="OT207" s="33"/>
      <c r="OU207" s="33"/>
      <c r="OV207" s="33"/>
      <c r="OW207" s="33"/>
      <c r="OX207" s="33"/>
      <c r="OY207" s="33"/>
      <c r="OZ207" s="33"/>
      <c r="PA207" s="33"/>
      <c r="PB207" s="33"/>
      <c r="PC207" s="33"/>
      <c r="PD207" s="33"/>
      <c r="PE207" s="33"/>
      <c r="PF207" s="33"/>
      <c r="PG207" s="33"/>
      <c r="PH207" s="33"/>
      <c r="PI207" s="33"/>
      <c r="PJ207" s="33"/>
      <c r="PK207" s="33"/>
      <c r="PL207" s="33"/>
      <c r="PM207" s="33"/>
      <c r="PN207" s="33"/>
      <c r="PO207" s="33"/>
      <c r="PP207" s="33"/>
      <c r="PQ207" s="33"/>
      <c r="PR207" s="33"/>
      <c r="PS207" s="33"/>
      <c r="PT207" s="33"/>
      <c r="PU207" s="33"/>
      <c r="PV207" s="33"/>
      <c r="PW207" s="33"/>
      <c r="PX207" s="33"/>
      <c r="PY207" s="33"/>
      <c r="PZ207" s="33"/>
      <c r="QA207" s="33"/>
      <c r="QB207" s="33"/>
      <c r="QC207" s="33"/>
      <c r="QD207" s="33"/>
      <c r="QE207" s="33"/>
      <c r="QF207" s="33"/>
      <c r="QG207" s="33"/>
      <c r="QH207" s="33"/>
      <c r="QI207" s="33"/>
      <c r="QJ207" s="33"/>
      <c r="QK207" s="33"/>
      <c r="QL207" s="33"/>
      <c r="QM207" s="33"/>
      <c r="QN207" s="33"/>
      <c r="QO207" s="33"/>
      <c r="QP207" s="33"/>
      <c r="QQ207" s="33"/>
      <c r="QR207" s="33"/>
      <c r="QS207" s="33"/>
      <c r="QT207" s="33"/>
      <c r="QU207" s="33"/>
      <c r="QV207" s="33"/>
      <c r="QW207" s="33"/>
      <c r="QX207" s="33"/>
      <c r="QY207" s="33"/>
      <c r="QZ207" s="33"/>
      <c r="RA207" s="33"/>
      <c r="RB207" s="33"/>
      <c r="RC207" s="33"/>
      <c r="RD207" s="33"/>
      <c r="RE207" s="33"/>
      <c r="RF207" s="33"/>
      <c r="RG207" s="33"/>
      <c r="RH207" s="33"/>
      <c r="RI207" s="33"/>
      <c r="RJ207" s="33"/>
      <c r="RK207" s="33"/>
      <c r="RL207" s="33"/>
      <c r="RM207" s="33"/>
      <c r="RN207" s="33"/>
      <c r="RO207" s="33"/>
      <c r="RP207" s="33"/>
      <c r="RQ207" s="33"/>
      <c r="RR207" s="33"/>
      <c r="RS207" s="33"/>
      <c r="RT207" s="33"/>
      <c r="RU207" s="33"/>
      <c r="RV207" s="33"/>
      <c r="RW207" s="33"/>
      <c r="RX207" s="33"/>
      <c r="RY207" s="33"/>
      <c r="RZ207" s="33"/>
      <c r="SA207" s="33"/>
      <c r="SB207" s="33"/>
      <c r="SC207" s="33"/>
      <c r="SD207" s="33"/>
      <c r="SE207" s="33"/>
      <c r="SF207" s="33"/>
      <c r="SG207" s="33"/>
      <c r="SH207" s="33"/>
      <c r="SI207" s="33"/>
      <c r="SJ207" s="33"/>
      <c r="SK207" s="33"/>
      <c r="SL207" s="33"/>
      <c r="SM207" s="33"/>
      <c r="SN207" s="33"/>
      <c r="SO207" s="33"/>
      <c r="SP207" s="33"/>
      <c r="SQ207" s="33"/>
      <c r="SR207" s="33"/>
      <c r="SS207" s="33"/>
      <c r="ST207" s="33"/>
      <c r="SU207" s="33"/>
      <c r="SV207" s="33"/>
      <c r="SW207" s="33"/>
      <c r="SX207" s="33"/>
      <c r="SY207" s="33"/>
      <c r="SZ207" s="33"/>
      <c r="TA207" s="33"/>
      <c r="TB207" s="33"/>
      <c r="TC207" s="33"/>
      <c r="TD207" s="33"/>
      <c r="TE207" s="33"/>
      <c r="TF207" s="33"/>
      <c r="TG207" s="33"/>
    </row>
    <row r="208" spans="1:527" s="34" customFormat="1" ht="15.75" x14ac:dyDescent="0.25">
      <c r="A208" s="100"/>
      <c r="B208" s="113"/>
      <c r="C208" s="113"/>
      <c r="D208" s="87" t="s">
        <v>421</v>
      </c>
      <c r="E208" s="102">
        <f>E232</f>
        <v>0</v>
      </c>
      <c r="F208" s="102">
        <f t="shared" ref="F208:P208" si="94">F232</f>
        <v>0</v>
      </c>
      <c r="G208" s="102">
        <f t="shared" si="94"/>
        <v>0</v>
      </c>
      <c r="H208" s="102">
        <f t="shared" si="94"/>
        <v>0</v>
      </c>
      <c r="I208" s="102">
        <f t="shared" si="94"/>
        <v>0</v>
      </c>
      <c r="J208" s="102">
        <f t="shared" si="94"/>
        <v>26250000</v>
      </c>
      <c r="K208" s="102">
        <f t="shared" si="94"/>
        <v>26250000</v>
      </c>
      <c r="L208" s="102">
        <f t="shared" si="94"/>
        <v>0</v>
      </c>
      <c r="M208" s="102">
        <f t="shared" si="94"/>
        <v>0</v>
      </c>
      <c r="N208" s="102">
        <f t="shared" si="94"/>
        <v>0</v>
      </c>
      <c r="O208" s="102">
        <f t="shared" si="94"/>
        <v>26250000</v>
      </c>
      <c r="P208" s="102">
        <f t="shared" si="94"/>
        <v>26250000</v>
      </c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  <c r="IW208" s="33"/>
      <c r="IX208" s="33"/>
      <c r="IY208" s="33"/>
      <c r="IZ208" s="33"/>
      <c r="JA208" s="33"/>
      <c r="JB208" s="33"/>
      <c r="JC208" s="33"/>
      <c r="JD208" s="33"/>
      <c r="JE208" s="33"/>
      <c r="JF208" s="33"/>
      <c r="JG208" s="33"/>
      <c r="JH208" s="33"/>
      <c r="JI208" s="33"/>
      <c r="JJ208" s="33"/>
      <c r="JK208" s="33"/>
      <c r="JL208" s="33"/>
      <c r="JM208" s="33"/>
      <c r="JN208" s="33"/>
      <c r="JO208" s="33"/>
      <c r="JP208" s="33"/>
      <c r="JQ208" s="33"/>
      <c r="JR208" s="33"/>
      <c r="JS208" s="33"/>
      <c r="JT208" s="33"/>
      <c r="JU208" s="33"/>
      <c r="JV208" s="33"/>
      <c r="JW208" s="33"/>
      <c r="JX208" s="33"/>
      <c r="JY208" s="33"/>
      <c r="JZ208" s="33"/>
      <c r="KA208" s="33"/>
      <c r="KB208" s="33"/>
      <c r="KC208" s="33"/>
      <c r="KD208" s="33"/>
      <c r="KE208" s="33"/>
      <c r="KF208" s="33"/>
      <c r="KG208" s="33"/>
      <c r="KH208" s="33"/>
      <c r="KI208" s="33"/>
      <c r="KJ208" s="33"/>
      <c r="KK208" s="33"/>
      <c r="KL208" s="33"/>
      <c r="KM208" s="33"/>
      <c r="KN208" s="33"/>
      <c r="KO208" s="33"/>
      <c r="KP208" s="33"/>
      <c r="KQ208" s="33"/>
      <c r="KR208" s="33"/>
      <c r="KS208" s="33"/>
      <c r="KT208" s="33"/>
      <c r="KU208" s="33"/>
      <c r="KV208" s="33"/>
      <c r="KW208" s="33"/>
      <c r="KX208" s="33"/>
      <c r="KY208" s="33"/>
      <c r="KZ208" s="33"/>
      <c r="LA208" s="33"/>
      <c r="LB208" s="33"/>
      <c r="LC208" s="33"/>
      <c r="LD208" s="33"/>
      <c r="LE208" s="33"/>
      <c r="LF208" s="33"/>
      <c r="LG208" s="33"/>
      <c r="LH208" s="33"/>
      <c r="LI208" s="33"/>
      <c r="LJ208" s="33"/>
      <c r="LK208" s="33"/>
      <c r="LL208" s="33"/>
      <c r="LM208" s="33"/>
      <c r="LN208" s="33"/>
      <c r="LO208" s="33"/>
      <c r="LP208" s="33"/>
      <c r="LQ208" s="33"/>
      <c r="LR208" s="33"/>
      <c r="LS208" s="33"/>
      <c r="LT208" s="33"/>
      <c r="LU208" s="33"/>
      <c r="LV208" s="33"/>
      <c r="LW208" s="33"/>
      <c r="LX208" s="33"/>
      <c r="LY208" s="33"/>
      <c r="LZ208" s="33"/>
      <c r="MA208" s="33"/>
      <c r="MB208" s="33"/>
      <c r="MC208" s="33"/>
      <c r="MD208" s="33"/>
      <c r="ME208" s="33"/>
      <c r="MF208" s="33"/>
      <c r="MG208" s="33"/>
      <c r="MH208" s="33"/>
      <c r="MI208" s="33"/>
      <c r="MJ208" s="33"/>
      <c r="MK208" s="33"/>
      <c r="ML208" s="33"/>
      <c r="MM208" s="33"/>
      <c r="MN208" s="33"/>
      <c r="MO208" s="33"/>
      <c r="MP208" s="33"/>
      <c r="MQ208" s="33"/>
      <c r="MR208" s="33"/>
      <c r="MS208" s="33"/>
      <c r="MT208" s="33"/>
      <c r="MU208" s="33"/>
      <c r="MV208" s="33"/>
      <c r="MW208" s="33"/>
      <c r="MX208" s="33"/>
      <c r="MY208" s="33"/>
      <c r="MZ208" s="33"/>
      <c r="NA208" s="33"/>
      <c r="NB208" s="33"/>
      <c r="NC208" s="33"/>
      <c r="ND208" s="33"/>
      <c r="NE208" s="33"/>
      <c r="NF208" s="33"/>
      <c r="NG208" s="33"/>
      <c r="NH208" s="33"/>
      <c r="NI208" s="33"/>
      <c r="NJ208" s="33"/>
      <c r="NK208" s="33"/>
      <c r="NL208" s="33"/>
      <c r="NM208" s="33"/>
      <c r="NN208" s="33"/>
      <c r="NO208" s="33"/>
      <c r="NP208" s="33"/>
      <c r="NQ208" s="33"/>
      <c r="NR208" s="33"/>
      <c r="NS208" s="33"/>
      <c r="NT208" s="33"/>
      <c r="NU208" s="33"/>
      <c r="NV208" s="33"/>
      <c r="NW208" s="33"/>
      <c r="NX208" s="33"/>
      <c r="NY208" s="33"/>
      <c r="NZ208" s="33"/>
      <c r="OA208" s="33"/>
      <c r="OB208" s="33"/>
      <c r="OC208" s="33"/>
      <c r="OD208" s="33"/>
      <c r="OE208" s="33"/>
      <c r="OF208" s="33"/>
      <c r="OG208" s="33"/>
      <c r="OH208" s="33"/>
      <c r="OI208" s="33"/>
      <c r="OJ208" s="33"/>
      <c r="OK208" s="33"/>
      <c r="OL208" s="33"/>
      <c r="OM208" s="33"/>
      <c r="ON208" s="33"/>
      <c r="OO208" s="33"/>
      <c r="OP208" s="33"/>
      <c r="OQ208" s="33"/>
      <c r="OR208" s="33"/>
      <c r="OS208" s="33"/>
      <c r="OT208" s="33"/>
      <c r="OU208" s="33"/>
      <c r="OV208" s="33"/>
      <c r="OW208" s="33"/>
      <c r="OX208" s="33"/>
      <c r="OY208" s="33"/>
      <c r="OZ208" s="33"/>
      <c r="PA208" s="33"/>
      <c r="PB208" s="33"/>
      <c r="PC208" s="33"/>
      <c r="PD208" s="33"/>
      <c r="PE208" s="33"/>
      <c r="PF208" s="33"/>
      <c r="PG208" s="33"/>
      <c r="PH208" s="33"/>
      <c r="PI208" s="33"/>
      <c r="PJ208" s="33"/>
      <c r="PK208" s="33"/>
      <c r="PL208" s="33"/>
      <c r="PM208" s="33"/>
      <c r="PN208" s="33"/>
      <c r="PO208" s="33"/>
      <c r="PP208" s="33"/>
      <c r="PQ208" s="33"/>
      <c r="PR208" s="33"/>
      <c r="PS208" s="33"/>
      <c r="PT208" s="33"/>
      <c r="PU208" s="33"/>
      <c r="PV208" s="33"/>
      <c r="PW208" s="33"/>
      <c r="PX208" s="33"/>
      <c r="PY208" s="33"/>
      <c r="PZ208" s="33"/>
      <c r="QA208" s="33"/>
      <c r="QB208" s="33"/>
      <c r="QC208" s="33"/>
      <c r="QD208" s="33"/>
      <c r="QE208" s="33"/>
      <c r="QF208" s="33"/>
      <c r="QG208" s="33"/>
      <c r="QH208" s="33"/>
      <c r="QI208" s="33"/>
      <c r="QJ208" s="33"/>
      <c r="QK208" s="33"/>
      <c r="QL208" s="33"/>
      <c r="QM208" s="33"/>
      <c r="QN208" s="33"/>
      <c r="QO208" s="33"/>
      <c r="QP208" s="33"/>
      <c r="QQ208" s="33"/>
      <c r="QR208" s="33"/>
      <c r="QS208" s="33"/>
      <c r="QT208" s="33"/>
      <c r="QU208" s="33"/>
      <c r="QV208" s="33"/>
      <c r="QW208" s="33"/>
      <c r="QX208" s="33"/>
      <c r="QY208" s="33"/>
      <c r="QZ208" s="33"/>
      <c r="RA208" s="33"/>
      <c r="RB208" s="33"/>
      <c r="RC208" s="33"/>
      <c r="RD208" s="33"/>
      <c r="RE208" s="33"/>
      <c r="RF208" s="33"/>
      <c r="RG208" s="33"/>
      <c r="RH208" s="33"/>
      <c r="RI208" s="33"/>
      <c r="RJ208" s="33"/>
      <c r="RK208" s="33"/>
      <c r="RL208" s="33"/>
      <c r="RM208" s="33"/>
      <c r="RN208" s="33"/>
      <c r="RO208" s="33"/>
      <c r="RP208" s="33"/>
      <c r="RQ208" s="33"/>
      <c r="RR208" s="33"/>
      <c r="RS208" s="33"/>
      <c r="RT208" s="33"/>
      <c r="RU208" s="33"/>
      <c r="RV208" s="33"/>
      <c r="RW208" s="33"/>
      <c r="RX208" s="33"/>
      <c r="RY208" s="33"/>
      <c r="RZ208" s="33"/>
      <c r="SA208" s="33"/>
      <c r="SB208" s="33"/>
      <c r="SC208" s="33"/>
      <c r="SD208" s="33"/>
      <c r="SE208" s="33"/>
      <c r="SF208" s="33"/>
      <c r="SG208" s="33"/>
      <c r="SH208" s="33"/>
      <c r="SI208" s="33"/>
      <c r="SJ208" s="33"/>
      <c r="SK208" s="33"/>
      <c r="SL208" s="33"/>
      <c r="SM208" s="33"/>
      <c r="SN208" s="33"/>
      <c r="SO208" s="33"/>
      <c r="SP208" s="33"/>
      <c r="SQ208" s="33"/>
      <c r="SR208" s="33"/>
      <c r="SS208" s="33"/>
      <c r="ST208" s="33"/>
      <c r="SU208" s="33"/>
      <c r="SV208" s="33"/>
      <c r="SW208" s="33"/>
      <c r="SX208" s="33"/>
      <c r="SY208" s="33"/>
      <c r="SZ208" s="33"/>
      <c r="TA208" s="33"/>
      <c r="TB208" s="33"/>
      <c r="TC208" s="33"/>
      <c r="TD208" s="33"/>
      <c r="TE208" s="33"/>
      <c r="TF208" s="33"/>
      <c r="TG208" s="33"/>
    </row>
    <row r="209" spans="1:527" s="22" customFormat="1" ht="47.25" x14ac:dyDescent="0.25">
      <c r="A209" s="60" t="s">
        <v>198</v>
      </c>
      <c r="B209" s="60" t="str">
        <f>'дод 8'!A19</f>
        <v>0160</v>
      </c>
      <c r="C209" s="60" t="str">
        <f>'дод 8'!B19</f>
        <v>0111</v>
      </c>
      <c r="D209" s="98" t="s">
        <v>504</v>
      </c>
      <c r="E209" s="103">
        <f t="shared" ref="E209:E237" si="95">F209+I209</f>
        <v>14436900</v>
      </c>
      <c r="F209" s="103">
        <v>14436900</v>
      </c>
      <c r="G209" s="103">
        <v>11274000</v>
      </c>
      <c r="H209" s="103">
        <v>203100</v>
      </c>
      <c r="I209" s="103"/>
      <c r="J209" s="103">
        <f>L209+O209</f>
        <v>0</v>
      </c>
      <c r="K209" s="103"/>
      <c r="L209" s="103"/>
      <c r="M209" s="103"/>
      <c r="N209" s="103"/>
      <c r="O209" s="103"/>
      <c r="P209" s="103">
        <f t="shared" ref="P209:P237" si="96">E209+J209</f>
        <v>14436900</v>
      </c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  <c r="TF209" s="23"/>
      <c r="TG209" s="23"/>
    </row>
    <row r="210" spans="1:527" s="22" customFormat="1" ht="15.75" x14ac:dyDescent="0.25">
      <c r="A210" s="60" t="s">
        <v>564</v>
      </c>
      <c r="B210" s="60" t="s">
        <v>46</v>
      </c>
      <c r="C210" s="60" t="s">
        <v>95</v>
      </c>
      <c r="D210" s="98" t="s">
        <v>244</v>
      </c>
      <c r="E210" s="103">
        <f t="shared" si="95"/>
        <v>1000000</v>
      </c>
      <c r="F210" s="103">
        <v>1000000</v>
      </c>
      <c r="G210" s="103"/>
      <c r="H210" s="103"/>
      <c r="I210" s="103"/>
      <c r="J210" s="103">
        <f>L210+O210</f>
        <v>0</v>
      </c>
      <c r="K210" s="103"/>
      <c r="L210" s="103"/>
      <c r="M210" s="103"/>
      <c r="N210" s="103"/>
      <c r="O210" s="103"/>
      <c r="P210" s="103">
        <f t="shared" si="96"/>
        <v>1000000</v>
      </c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  <c r="TG210" s="23"/>
    </row>
    <row r="211" spans="1:527" s="22" customFormat="1" ht="19.5" customHeight="1" x14ac:dyDescent="0.25">
      <c r="A211" s="107" t="s">
        <v>304</v>
      </c>
      <c r="B211" s="42" t="str">
        <f>'дод 8'!A116</f>
        <v>3210</v>
      </c>
      <c r="C211" s="42" t="str">
        <f>'дод 8'!B116</f>
        <v>1050</v>
      </c>
      <c r="D211" s="36" t="str">
        <f>'дод 8'!C116</f>
        <v>Організація та проведення громадських робіт</v>
      </c>
      <c r="E211" s="103">
        <f t="shared" si="95"/>
        <v>160000</v>
      </c>
      <c r="F211" s="103">
        <f>200000-40000</f>
        <v>160000</v>
      </c>
      <c r="G211" s="103"/>
      <c r="H211" s="103"/>
      <c r="I211" s="103"/>
      <c r="J211" s="103">
        <f t="shared" ref="J211:J237" si="97">L211+O211</f>
        <v>0</v>
      </c>
      <c r="K211" s="103"/>
      <c r="L211" s="103"/>
      <c r="M211" s="103"/>
      <c r="N211" s="103"/>
      <c r="O211" s="103"/>
      <c r="P211" s="103">
        <f t="shared" si="96"/>
        <v>160000</v>
      </c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</row>
    <row r="212" spans="1:527" s="22" customFormat="1" ht="33.75" customHeight="1" x14ac:dyDescent="0.25">
      <c r="A212" s="60" t="s">
        <v>199</v>
      </c>
      <c r="B212" s="97" t="str">
        <f>'дод 8'!A138</f>
        <v>6011</v>
      </c>
      <c r="C212" s="97" t="str">
        <f>'дод 8'!B138</f>
        <v>0610</v>
      </c>
      <c r="D212" s="61" t="str">
        <f>'дод 8'!C138</f>
        <v>Експлуатація та технічне обслуговування житлового фонду</v>
      </c>
      <c r="E212" s="103">
        <f t="shared" si="95"/>
        <v>0</v>
      </c>
      <c r="F212" s="103"/>
      <c r="G212" s="103"/>
      <c r="H212" s="103"/>
      <c r="I212" s="103"/>
      <c r="J212" s="103">
        <f t="shared" si="97"/>
        <v>8540296</v>
      </c>
      <c r="K212" s="103">
        <f>7054092-807126.65+807126.65+172300+40000+154400+169950+593700+23900-19300+37614+100560+126700+49900</f>
        <v>8503816</v>
      </c>
      <c r="L212" s="103"/>
      <c r="M212" s="103"/>
      <c r="N212" s="103"/>
      <c r="O212" s="103">
        <f>7090572-807126.65+807126.65+172300+40000+154400+169950+593700+23900-19300+37614+100560+126700+49900</f>
        <v>8540296</v>
      </c>
      <c r="P212" s="103">
        <f t="shared" si="96"/>
        <v>8540296</v>
      </c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  <c r="SQ212" s="23"/>
      <c r="SR212" s="23"/>
      <c r="SS212" s="23"/>
      <c r="ST212" s="23"/>
      <c r="SU212" s="23"/>
      <c r="SV212" s="23"/>
      <c r="SW212" s="23"/>
      <c r="SX212" s="23"/>
      <c r="SY212" s="23"/>
      <c r="SZ212" s="23"/>
      <c r="TA212" s="23"/>
      <c r="TB212" s="23"/>
      <c r="TC212" s="23"/>
      <c r="TD212" s="23"/>
      <c r="TE212" s="23"/>
      <c r="TF212" s="23"/>
      <c r="TG212" s="23"/>
    </row>
    <row r="213" spans="1:527" s="22" customFormat="1" ht="31.5" x14ac:dyDescent="0.25">
      <c r="A213" s="60" t="s">
        <v>200</v>
      </c>
      <c r="B213" s="97" t="str">
        <f>'дод 8'!A139</f>
        <v>6013</v>
      </c>
      <c r="C213" s="97" t="str">
        <f>'дод 8'!B139</f>
        <v>0620</v>
      </c>
      <c r="D213" s="61" t="str">
        <f>'дод 8'!C139</f>
        <v>Забезпечення діяльності водопровідно-каналізаційного господарства</v>
      </c>
      <c r="E213" s="103">
        <f t="shared" si="95"/>
        <v>29344040</v>
      </c>
      <c r="F213" s="103">
        <f>3610000-3000000+164040+30000+40000</f>
        <v>844040</v>
      </c>
      <c r="G213" s="103"/>
      <c r="H213" s="103"/>
      <c r="I213" s="103">
        <f>25250000-100000+3350000</f>
        <v>28500000</v>
      </c>
      <c r="J213" s="103">
        <f t="shared" si="97"/>
        <v>200000</v>
      </c>
      <c r="K213" s="103">
        <f>230000-30000</f>
        <v>200000</v>
      </c>
      <c r="L213" s="103"/>
      <c r="M213" s="103"/>
      <c r="N213" s="103"/>
      <c r="O213" s="103">
        <f>230000-30000</f>
        <v>200000</v>
      </c>
      <c r="P213" s="103">
        <f t="shared" si="96"/>
        <v>29544040</v>
      </c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  <c r="TG213" s="23"/>
    </row>
    <row r="214" spans="1:527" s="22" customFormat="1" ht="30" customHeight="1" x14ac:dyDescent="0.25">
      <c r="A214" s="60" t="s">
        <v>261</v>
      </c>
      <c r="B214" s="97" t="str">
        <f>'дод 8'!A140</f>
        <v>6015</v>
      </c>
      <c r="C214" s="97" t="str">
        <f>'дод 8'!B140</f>
        <v>0620</v>
      </c>
      <c r="D214" s="61" t="str">
        <f>'дод 8'!C140</f>
        <v>Забезпечення надійної та безперебійної експлуатації ліфтів</v>
      </c>
      <c r="E214" s="103">
        <f t="shared" si="95"/>
        <v>115980</v>
      </c>
      <c r="F214" s="103">
        <f>99980+8000+16000+8000-16000</f>
        <v>115980</v>
      </c>
      <c r="G214" s="103"/>
      <c r="H214" s="103"/>
      <c r="I214" s="103"/>
      <c r="J214" s="103">
        <f t="shared" si="97"/>
        <v>14717600</v>
      </c>
      <c r="K214" s="103">
        <f>6600000-96212+96212+4439600+1450000+700000+590000+232000-200000-200000+50000+318000+80000+592000+16000</f>
        <v>14667600</v>
      </c>
      <c r="L214" s="103"/>
      <c r="M214" s="103"/>
      <c r="N214" s="103"/>
      <c r="O214" s="103">
        <f>6650000-96212+96212+4439600+1450000+700000+590000+232000-200000-200000+50000+318000+80000+592000+16000</f>
        <v>14717600</v>
      </c>
      <c r="P214" s="103">
        <f t="shared" si="96"/>
        <v>14833580</v>
      </c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  <c r="TF214" s="23"/>
      <c r="TG214" s="23"/>
    </row>
    <row r="215" spans="1:527" s="22" customFormat="1" ht="32.25" customHeight="1" x14ac:dyDescent="0.25">
      <c r="A215" s="60" t="s">
        <v>264</v>
      </c>
      <c r="B215" s="97" t="str">
        <f>'дод 8'!A141</f>
        <v>6017</v>
      </c>
      <c r="C215" s="97" t="str">
        <f>'дод 8'!B141</f>
        <v>0620</v>
      </c>
      <c r="D215" s="61" t="str">
        <f>'дод 8'!C141</f>
        <v>Інша діяльність, пов’язана з експлуатацією об’єктів житлово-комунального господарства</v>
      </c>
      <c r="E215" s="103">
        <f t="shared" si="95"/>
        <v>100000</v>
      </c>
      <c r="F215" s="103">
        <v>100000</v>
      </c>
      <c r="G215" s="103"/>
      <c r="H215" s="103"/>
      <c r="I215" s="103"/>
      <c r="J215" s="103">
        <f t="shared" si="97"/>
        <v>0</v>
      </c>
      <c r="K215" s="103"/>
      <c r="L215" s="103"/>
      <c r="M215" s="103"/>
      <c r="N215" s="103"/>
      <c r="O215" s="103"/>
      <c r="P215" s="103">
        <f t="shared" si="96"/>
        <v>100000</v>
      </c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  <c r="TF215" s="23"/>
      <c r="TG215" s="23"/>
    </row>
    <row r="216" spans="1:527" s="22" customFormat="1" ht="47.25" x14ac:dyDescent="0.25">
      <c r="A216" s="60" t="s">
        <v>201</v>
      </c>
      <c r="B216" s="97" t="str">
        <f>'дод 8'!A142</f>
        <v>6020</v>
      </c>
      <c r="C216" s="97" t="str">
        <f>'дод 8'!B142</f>
        <v>0620</v>
      </c>
      <c r="D216" s="61" t="str">
        <f>'дод 8'!C142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16" s="103">
        <f t="shared" si="95"/>
        <v>1871258.48</v>
      </c>
      <c r="F216" s="103">
        <f>29300</f>
        <v>29300</v>
      </c>
      <c r="G216" s="103"/>
      <c r="H216" s="103"/>
      <c r="I216" s="103">
        <f>300000+1541958.48</f>
        <v>1841958.48</v>
      </c>
      <c r="J216" s="103">
        <f t="shared" si="97"/>
        <v>0</v>
      </c>
      <c r="K216" s="103"/>
      <c r="L216" s="103"/>
      <c r="M216" s="103"/>
      <c r="N216" s="103"/>
      <c r="O216" s="103"/>
      <c r="P216" s="103">
        <f t="shared" si="96"/>
        <v>1871258.48</v>
      </c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  <c r="TF216" s="23"/>
      <c r="TG216" s="23"/>
    </row>
    <row r="217" spans="1:527" s="22" customFormat="1" ht="35.25" customHeight="1" x14ac:dyDescent="0.25">
      <c r="A217" s="60" t="s">
        <v>202</v>
      </c>
      <c r="B217" s="97" t="str">
        <f>'дод 8'!A143</f>
        <v>6030</v>
      </c>
      <c r="C217" s="97" t="str">
        <f>'дод 8'!B143</f>
        <v>0620</v>
      </c>
      <c r="D217" s="61" t="str">
        <f>'дод 8'!C143</f>
        <v>Організація благоустрою населених пунктів</v>
      </c>
      <c r="E217" s="103">
        <f t="shared" si="95"/>
        <v>223325375.50999999</v>
      </c>
      <c r="F217" s="103">
        <f>220864874.13-7011318-49900-211983.47+990000+100000+72800+872900-100000-18473.69+60000-45080.64-164040+1592924+340394+200000-50500+299310+199600+1500000+98000+310136+40000+1000000+129000-29300+1012980+853612.73-90000+87900+371540.45</f>
        <v>223225375.50999999</v>
      </c>
      <c r="G217" s="103"/>
      <c r="H217" s="103">
        <f>34504500-600000-164040</f>
        <v>33740460</v>
      </c>
      <c r="I217" s="103">
        <v>100000</v>
      </c>
      <c r="J217" s="103">
        <f t="shared" si="97"/>
        <v>34099884.579999991</v>
      </c>
      <c r="K217" s="103">
        <f>28422020-300000+7011318-1359437.09+1978809.98+72800-72800+129900+18473.69-60000+170000+50000-1500000+49900+49900-2800000-1150000+250000-2000000+5000000+49000+90000</f>
        <v>34099884.579999991</v>
      </c>
      <c r="L217" s="117"/>
      <c r="M217" s="103"/>
      <c r="N217" s="103"/>
      <c r="O217" s="103">
        <f>28422020-300000+7011318-1359437.09+1978809.98+72800-72800+129900+18473.69-60000+170000+50000-1500000+49900+49900-2800000-1150000+250000-2000000+5000000+49000+90000</f>
        <v>34099884.579999991</v>
      </c>
      <c r="P217" s="103">
        <f t="shared" si="96"/>
        <v>257425260.08999997</v>
      </c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  <c r="TF217" s="23"/>
      <c r="TG217" s="23"/>
    </row>
    <row r="218" spans="1:527" s="22" customFormat="1" ht="31.5" customHeight="1" x14ac:dyDescent="0.25">
      <c r="A218" s="60" t="s">
        <v>254</v>
      </c>
      <c r="B218" s="97" t="str">
        <f>'дод 8'!A147</f>
        <v>6090</v>
      </c>
      <c r="C218" s="97" t="str">
        <f>'дод 8'!B147</f>
        <v>0640</v>
      </c>
      <c r="D218" s="61" t="str">
        <f>'дод 8'!C147</f>
        <v>Інша діяльність у сфері житлово-комунального господарства</v>
      </c>
      <c r="E218" s="103">
        <f t="shared" si="95"/>
        <v>18274496.280000001</v>
      </c>
      <c r="F218" s="103">
        <f>47773888-76000+38050-9241451.18+49000-200000-6163260-25000-20000+45080.64-300000-4102174-1899640+200000+19300+50500-101200-418760+20000-263600-25000-184814-1453016-25000-78100-179000-2382803-1663012.73-1050451+2500-371540.45</f>
        <v>17974496.280000001</v>
      </c>
      <c r="G218" s="103"/>
      <c r="H218" s="103">
        <v>24500</v>
      </c>
      <c r="I218" s="103">
        <v>300000</v>
      </c>
      <c r="J218" s="103">
        <f t="shared" si="97"/>
        <v>1785000</v>
      </c>
      <c r="K218" s="103"/>
      <c r="L218" s="103"/>
      <c r="M218" s="103"/>
      <c r="N218" s="103"/>
      <c r="O218" s="103">
        <v>1785000</v>
      </c>
      <c r="P218" s="103">
        <f t="shared" si="96"/>
        <v>20059496.280000001</v>
      </c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  <c r="TF218" s="23"/>
      <c r="TG218" s="23"/>
    </row>
    <row r="219" spans="1:527" s="22" customFormat="1" ht="34.5" x14ac:dyDescent="0.25">
      <c r="A219" s="60" t="s">
        <v>273</v>
      </c>
      <c r="B219" s="97" t="str">
        <f>'дод 8'!A156</f>
        <v>7310</v>
      </c>
      <c r="C219" s="97" t="str">
        <f>'дод 8'!B156</f>
        <v>0443</v>
      </c>
      <c r="D219" s="6" t="s">
        <v>573</v>
      </c>
      <c r="E219" s="103">
        <f t="shared" si="95"/>
        <v>0</v>
      </c>
      <c r="F219" s="103"/>
      <c r="G219" s="103"/>
      <c r="H219" s="103"/>
      <c r="I219" s="103"/>
      <c r="J219" s="103">
        <f t="shared" si="97"/>
        <v>20128613</v>
      </c>
      <c r="K219" s="103">
        <f>19836513+300000-38050+50000+200000-169950-49900-49900+49900</f>
        <v>20128613</v>
      </c>
      <c r="L219" s="103"/>
      <c r="M219" s="103"/>
      <c r="N219" s="103"/>
      <c r="O219" s="103">
        <f>19836513+300000-38050+50000+200000-169950-49900-49900+49900</f>
        <v>20128613</v>
      </c>
      <c r="P219" s="103">
        <f t="shared" si="96"/>
        <v>20128613</v>
      </c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  <c r="SQ219" s="23"/>
      <c r="SR219" s="23"/>
      <c r="SS219" s="23"/>
      <c r="ST219" s="23"/>
      <c r="SU219" s="23"/>
      <c r="SV219" s="23"/>
      <c r="SW219" s="23"/>
      <c r="SX219" s="23"/>
      <c r="SY219" s="23"/>
      <c r="SZ219" s="23"/>
      <c r="TA219" s="23"/>
      <c r="TB219" s="23"/>
      <c r="TC219" s="23"/>
      <c r="TD219" s="23"/>
      <c r="TE219" s="23"/>
      <c r="TF219" s="23"/>
      <c r="TG219" s="23"/>
    </row>
    <row r="220" spans="1:527" s="22" customFormat="1" ht="21" customHeight="1" x14ac:dyDescent="0.25">
      <c r="A220" s="60" t="s">
        <v>275</v>
      </c>
      <c r="B220" s="97" t="str">
        <f>'дод 8'!A162</f>
        <v>7330</v>
      </c>
      <c r="C220" s="97" t="str">
        <f>'дод 8'!B162</f>
        <v>0443</v>
      </c>
      <c r="D220" s="6" t="s">
        <v>568</v>
      </c>
      <c r="E220" s="103">
        <f t="shared" si="95"/>
        <v>0</v>
      </c>
      <c r="F220" s="103"/>
      <c r="G220" s="103"/>
      <c r="H220" s="103"/>
      <c r="I220" s="103"/>
      <c r="J220" s="103">
        <f t="shared" si="97"/>
        <v>21561108.579999998</v>
      </c>
      <c r="K220" s="103">
        <f>22088598+49900-407389.42-200000+3500000-4000000+500000+30000</f>
        <v>21561108.579999998</v>
      </c>
      <c r="L220" s="103"/>
      <c r="M220" s="103"/>
      <c r="N220" s="103"/>
      <c r="O220" s="103">
        <f>22088598+49900-407389.42-200000+3500000-4000000+500000+30000</f>
        <v>21561108.579999998</v>
      </c>
      <c r="P220" s="103">
        <f t="shared" si="96"/>
        <v>21561108.579999998</v>
      </c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  <c r="OX220" s="23"/>
      <c r="OY220" s="23"/>
      <c r="OZ220" s="23"/>
      <c r="PA220" s="23"/>
      <c r="PB220" s="23"/>
      <c r="PC220" s="23"/>
      <c r="PD220" s="23"/>
      <c r="PE220" s="23"/>
      <c r="PF220" s="23"/>
      <c r="PG220" s="23"/>
      <c r="PH220" s="23"/>
      <c r="PI220" s="23"/>
      <c r="PJ220" s="23"/>
      <c r="PK220" s="23"/>
      <c r="PL220" s="23"/>
      <c r="PM220" s="23"/>
      <c r="PN220" s="23"/>
      <c r="PO220" s="23"/>
      <c r="PP220" s="23"/>
      <c r="PQ220" s="23"/>
      <c r="PR220" s="23"/>
      <c r="PS220" s="23"/>
      <c r="PT220" s="23"/>
      <c r="PU220" s="23"/>
      <c r="PV220" s="23"/>
      <c r="PW220" s="23"/>
      <c r="PX220" s="23"/>
      <c r="PY220" s="23"/>
      <c r="PZ220" s="23"/>
      <c r="QA220" s="23"/>
      <c r="QB220" s="23"/>
      <c r="QC220" s="23"/>
      <c r="QD220" s="23"/>
      <c r="QE220" s="23"/>
      <c r="QF220" s="23"/>
      <c r="QG220" s="23"/>
      <c r="QH220" s="23"/>
      <c r="QI220" s="23"/>
      <c r="QJ220" s="23"/>
      <c r="QK220" s="23"/>
      <c r="QL220" s="23"/>
      <c r="QM220" s="23"/>
      <c r="QN220" s="23"/>
      <c r="QO220" s="23"/>
      <c r="QP220" s="23"/>
      <c r="QQ220" s="23"/>
      <c r="QR220" s="23"/>
      <c r="QS220" s="23"/>
      <c r="QT220" s="23"/>
      <c r="QU220" s="23"/>
      <c r="QV220" s="23"/>
      <c r="QW220" s="23"/>
      <c r="QX220" s="23"/>
      <c r="QY220" s="23"/>
      <c r="QZ220" s="23"/>
      <c r="RA220" s="23"/>
      <c r="RB220" s="23"/>
      <c r="RC220" s="23"/>
      <c r="RD220" s="23"/>
      <c r="RE220" s="23"/>
      <c r="RF220" s="23"/>
      <c r="RG220" s="23"/>
      <c r="RH220" s="23"/>
      <c r="RI220" s="23"/>
      <c r="RJ220" s="23"/>
      <c r="RK220" s="23"/>
      <c r="RL220" s="23"/>
      <c r="RM220" s="23"/>
      <c r="RN220" s="23"/>
      <c r="RO220" s="23"/>
      <c r="RP220" s="23"/>
      <c r="RQ220" s="23"/>
      <c r="RR220" s="23"/>
      <c r="RS220" s="23"/>
      <c r="RT220" s="23"/>
      <c r="RU220" s="23"/>
      <c r="RV220" s="23"/>
      <c r="RW220" s="23"/>
      <c r="RX220" s="23"/>
      <c r="RY220" s="23"/>
      <c r="RZ220" s="23"/>
      <c r="SA220" s="23"/>
      <c r="SB220" s="23"/>
      <c r="SC220" s="23"/>
      <c r="SD220" s="23"/>
      <c r="SE220" s="23"/>
      <c r="SF220" s="23"/>
      <c r="SG220" s="23"/>
      <c r="SH220" s="23"/>
      <c r="SI220" s="23"/>
      <c r="SJ220" s="23"/>
      <c r="SK220" s="23"/>
      <c r="SL220" s="23"/>
      <c r="SM220" s="23"/>
      <c r="SN220" s="23"/>
      <c r="SO220" s="23"/>
      <c r="SP220" s="23"/>
      <c r="SQ220" s="23"/>
      <c r="SR220" s="23"/>
      <c r="SS220" s="23"/>
      <c r="ST220" s="23"/>
      <c r="SU220" s="23"/>
      <c r="SV220" s="23"/>
      <c r="SW220" s="23"/>
      <c r="SX220" s="23"/>
      <c r="SY220" s="23"/>
      <c r="SZ220" s="23"/>
      <c r="TA220" s="23"/>
      <c r="TB220" s="23"/>
      <c r="TC220" s="23"/>
      <c r="TD220" s="23"/>
      <c r="TE220" s="23"/>
      <c r="TF220" s="23"/>
      <c r="TG220" s="23"/>
    </row>
    <row r="221" spans="1:527" s="22" customFormat="1" ht="33" customHeight="1" x14ac:dyDescent="0.25">
      <c r="A221" s="60" t="s">
        <v>203</v>
      </c>
      <c r="B221" s="97">
        <v>7340</v>
      </c>
      <c r="C221" s="97" t="str">
        <f>'дод 8'!B161</f>
        <v>0443</v>
      </c>
      <c r="D221" s="61" t="str">
        <f>'дод 8'!C163</f>
        <v>Проектування, реставрація та охорона пам'яток архітектури</v>
      </c>
      <c r="E221" s="103">
        <f t="shared" ref="E221" si="98">F221+I221</f>
        <v>0</v>
      </c>
      <c r="F221" s="103"/>
      <c r="G221" s="103"/>
      <c r="H221" s="103"/>
      <c r="I221" s="103"/>
      <c r="J221" s="103">
        <f t="shared" ref="J221" si="99">L221+O221</f>
        <v>3250000</v>
      </c>
      <c r="K221" s="103">
        <f>3250000</f>
        <v>3250000</v>
      </c>
      <c r="L221" s="103"/>
      <c r="M221" s="103"/>
      <c r="N221" s="103"/>
      <c r="O221" s="103">
        <f>3250000</f>
        <v>3250000</v>
      </c>
      <c r="P221" s="103">
        <f t="shared" ref="P221" si="100">E221+J221</f>
        <v>3250000</v>
      </c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  <c r="OX221" s="23"/>
      <c r="OY221" s="23"/>
      <c r="OZ221" s="23"/>
      <c r="PA221" s="23"/>
      <c r="PB221" s="23"/>
      <c r="PC221" s="23"/>
      <c r="PD221" s="23"/>
      <c r="PE221" s="23"/>
      <c r="PF221" s="23"/>
      <c r="PG221" s="23"/>
      <c r="PH221" s="23"/>
      <c r="PI221" s="23"/>
      <c r="PJ221" s="23"/>
      <c r="PK221" s="23"/>
      <c r="PL221" s="23"/>
      <c r="PM221" s="23"/>
      <c r="PN221" s="23"/>
      <c r="PO221" s="23"/>
      <c r="PP221" s="23"/>
      <c r="PQ221" s="23"/>
      <c r="PR221" s="23"/>
      <c r="PS221" s="23"/>
      <c r="PT221" s="23"/>
      <c r="PU221" s="23"/>
      <c r="PV221" s="23"/>
      <c r="PW221" s="23"/>
      <c r="PX221" s="23"/>
      <c r="PY221" s="23"/>
      <c r="PZ221" s="23"/>
      <c r="QA221" s="23"/>
      <c r="QB221" s="23"/>
      <c r="QC221" s="23"/>
      <c r="QD221" s="23"/>
      <c r="QE221" s="23"/>
      <c r="QF221" s="23"/>
      <c r="QG221" s="23"/>
      <c r="QH221" s="23"/>
      <c r="QI221" s="23"/>
      <c r="QJ221" s="23"/>
      <c r="QK221" s="23"/>
      <c r="QL221" s="23"/>
      <c r="QM221" s="23"/>
      <c r="QN221" s="23"/>
      <c r="QO221" s="23"/>
      <c r="QP221" s="23"/>
      <c r="QQ221" s="23"/>
      <c r="QR221" s="23"/>
      <c r="QS221" s="23"/>
      <c r="QT221" s="23"/>
      <c r="QU221" s="23"/>
      <c r="QV221" s="23"/>
      <c r="QW221" s="23"/>
      <c r="QX221" s="23"/>
      <c r="QY221" s="23"/>
      <c r="QZ221" s="23"/>
      <c r="RA221" s="23"/>
      <c r="RB221" s="23"/>
      <c r="RC221" s="23"/>
      <c r="RD221" s="23"/>
      <c r="RE221" s="23"/>
      <c r="RF221" s="23"/>
      <c r="RG221" s="23"/>
      <c r="RH221" s="23"/>
      <c r="RI221" s="23"/>
      <c r="RJ221" s="23"/>
      <c r="RK221" s="23"/>
      <c r="RL221" s="23"/>
      <c r="RM221" s="23"/>
      <c r="RN221" s="23"/>
      <c r="RO221" s="23"/>
      <c r="RP221" s="23"/>
      <c r="RQ221" s="23"/>
      <c r="RR221" s="23"/>
      <c r="RS221" s="23"/>
      <c r="RT221" s="23"/>
      <c r="RU221" s="23"/>
      <c r="RV221" s="23"/>
      <c r="RW221" s="23"/>
      <c r="RX221" s="23"/>
      <c r="RY221" s="23"/>
      <c r="RZ221" s="23"/>
      <c r="SA221" s="23"/>
      <c r="SB221" s="23"/>
      <c r="SC221" s="23"/>
      <c r="SD221" s="23"/>
      <c r="SE221" s="23"/>
      <c r="SF221" s="23"/>
      <c r="SG221" s="23"/>
      <c r="SH221" s="23"/>
      <c r="SI221" s="23"/>
      <c r="SJ221" s="23"/>
      <c r="SK221" s="23"/>
      <c r="SL221" s="23"/>
      <c r="SM221" s="23"/>
      <c r="SN221" s="23"/>
      <c r="SO221" s="23"/>
      <c r="SP221" s="23"/>
      <c r="SQ221" s="23"/>
      <c r="SR221" s="23"/>
      <c r="SS221" s="23"/>
      <c r="ST221" s="23"/>
      <c r="SU221" s="23"/>
      <c r="SV221" s="23"/>
      <c r="SW221" s="23"/>
      <c r="SX221" s="23"/>
      <c r="SY221" s="23"/>
      <c r="SZ221" s="23"/>
      <c r="TA221" s="23"/>
      <c r="TB221" s="23"/>
      <c r="TC221" s="23"/>
      <c r="TD221" s="23"/>
      <c r="TE221" s="23"/>
      <c r="TF221" s="23"/>
      <c r="TG221" s="23"/>
    </row>
    <row r="222" spans="1:527" s="22" customFormat="1" ht="49.5" hidden="1" customHeight="1" x14ac:dyDescent="0.25">
      <c r="A222" s="60" t="s">
        <v>372</v>
      </c>
      <c r="B222" s="97">
        <f>'дод 8'!A165</f>
        <v>7361</v>
      </c>
      <c r="C222" s="97" t="str">
        <f>'дод 8'!B165</f>
        <v>0490</v>
      </c>
      <c r="D222" s="61" t="str">
        <f>'дод 8'!C165</f>
        <v>Співфінансування інвестиційних проектів, що реалізуються за рахунок коштів державного фонду регіонального розвитку</v>
      </c>
      <c r="E222" s="103">
        <f t="shared" si="95"/>
        <v>0</v>
      </c>
      <c r="F222" s="103"/>
      <c r="G222" s="103"/>
      <c r="H222" s="103"/>
      <c r="I222" s="103"/>
      <c r="J222" s="103">
        <f t="shared" si="97"/>
        <v>0</v>
      </c>
      <c r="K222" s="103"/>
      <c r="L222" s="103"/>
      <c r="M222" s="103"/>
      <c r="N222" s="103"/>
      <c r="O222" s="103"/>
      <c r="P222" s="103">
        <f t="shared" si="96"/>
        <v>0</v>
      </c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  <c r="TF222" s="23"/>
      <c r="TG222" s="23"/>
    </row>
    <row r="223" spans="1:527" s="22" customFormat="1" ht="30" hidden="1" customHeight="1" x14ac:dyDescent="0.25">
      <c r="A223" s="60">
        <v>1217362</v>
      </c>
      <c r="B223" s="97">
        <f>'дод 8'!A166</f>
        <v>7362</v>
      </c>
      <c r="C223" s="97" t="str">
        <f>'дод 8'!B166</f>
        <v>0490</v>
      </c>
      <c r="D223" s="61" t="str">
        <f>'дод 8'!C166</f>
        <v>Виконання інвестиційних проектів в рамках підтримки розвитку об'єднаних територіальних громад</v>
      </c>
      <c r="E223" s="103">
        <f t="shared" si="95"/>
        <v>0</v>
      </c>
      <c r="F223" s="103"/>
      <c r="G223" s="103"/>
      <c r="H223" s="103"/>
      <c r="I223" s="103"/>
      <c r="J223" s="103">
        <f t="shared" si="97"/>
        <v>0</v>
      </c>
      <c r="K223" s="103"/>
      <c r="L223" s="103"/>
      <c r="M223" s="103"/>
      <c r="N223" s="103"/>
      <c r="O223" s="103"/>
      <c r="P223" s="103">
        <f t="shared" si="96"/>
        <v>0</v>
      </c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  <c r="SQ223" s="23"/>
      <c r="SR223" s="23"/>
      <c r="SS223" s="23"/>
      <c r="ST223" s="23"/>
      <c r="SU223" s="23"/>
      <c r="SV223" s="23"/>
      <c r="SW223" s="23"/>
      <c r="SX223" s="23"/>
      <c r="SY223" s="23"/>
      <c r="SZ223" s="23"/>
      <c r="TA223" s="23"/>
      <c r="TB223" s="23"/>
      <c r="TC223" s="23"/>
      <c r="TD223" s="23"/>
      <c r="TE223" s="23"/>
      <c r="TF223" s="23"/>
      <c r="TG223" s="23"/>
    </row>
    <row r="224" spans="1:527" s="22" customFormat="1" ht="47.25" x14ac:dyDescent="0.25">
      <c r="A224" s="60" t="s">
        <v>370</v>
      </c>
      <c r="B224" s="97">
        <v>7363</v>
      </c>
      <c r="C224" s="37" t="s">
        <v>84</v>
      </c>
      <c r="D224" s="36" t="s">
        <v>400</v>
      </c>
      <c r="E224" s="103">
        <f t="shared" si="95"/>
        <v>0</v>
      </c>
      <c r="F224" s="103"/>
      <c r="G224" s="103"/>
      <c r="H224" s="103"/>
      <c r="I224" s="103"/>
      <c r="J224" s="103">
        <f t="shared" si="97"/>
        <v>7800000</v>
      </c>
      <c r="K224" s="103">
        <f>2800000+5000000</f>
        <v>7800000</v>
      </c>
      <c r="L224" s="103"/>
      <c r="M224" s="103"/>
      <c r="N224" s="103"/>
      <c r="O224" s="103">
        <f>2800000+5000000</f>
        <v>7800000</v>
      </c>
      <c r="P224" s="103">
        <f t="shared" si="96"/>
        <v>7800000</v>
      </c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  <c r="SQ224" s="23"/>
      <c r="SR224" s="23"/>
      <c r="SS224" s="23"/>
      <c r="ST224" s="23"/>
      <c r="SU224" s="23"/>
      <c r="SV224" s="23"/>
      <c r="SW224" s="23"/>
      <c r="SX224" s="23"/>
      <c r="SY224" s="23"/>
      <c r="SZ224" s="23"/>
      <c r="TA224" s="23"/>
      <c r="TB224" s="23"/>
      <c r="TC224" s="23"/>
      <c r="TD224" s="23"/>
      <c r="TE224" s="23"/>
      <c r="TF224" s="23"/>
      <c r="TG224" s="23"/>
    </row>
    <row r="225" spans="1:527" s="24" customFormat="1" ht="50.25" customHeight="1" x14ac:dyDescent="0.25">
      <c r="A225" s="88"/>
      <c r="B225" s="115"/>
      <c r="C225" s="115"/>
      <c r="D225" s="91" t="s">
        <v>577</v>
      </c>
      <c r="E225" s="105">
        <f t="shared" si="95"/>
        <v>0</v>
      </c>
      <c r="F225" s="105"/>
      <c r="G225" s="105"/>
      <c r="H225" s="105"/>
      <c r="I225" s="105"/>
      <c r="J225" s="105">
        <f t="shared" si="97"/>
        <v>5000000</v>
      </c>
      <c r="K225" s="105">
        <v>5000000</v>
      </c>
      <c r="L225" s="105"/>
      <c r="M225" s="105"/>
      <c r="N225" s="105"/>
      <c r="O225" s="105">
        <v>5000000</v>
      </c>
      <c r="P225" s="105">
        <f t="shared" si="96"/>
        <v>5000000</v>
      </c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  <c r="IV225" s="30"/>
      <c r="IW225" s="30"/>
      <c r="IX225" s="30"/>
      <c r="IY225" s="30"/>
      <c r="IZ225" s="30"/>
      <c r="JA225" s="30"/>
      <c r="JB225" s="30"/>
      <c r="JC225" s="30"/>
      <c r="JD225" s="30"/>
      <c r="JE225" s="30"/>
      <c r="JF225" s="30"/>
      <c r="JG225" s="30"/>
      <c r="JH225" s="30"/>
      <c r="JI225" s="30"/>
      <c r="JJ225" s="30"/>
      <c r="JK225" s="30"/>
      <c r="JL225" s="30"/>
      <c r="JM225" s="30"/>
      <c r="JN225" s="30"/>
      <c r="JO225" s="30"/>
      <c r="JP225" s="30"/>
      <c r="JQ225" s="30"/>
      <c r="JR225" s="30"/>
      <c r="JS225" s="30"/>
      <c r="JT225" s="30"/>
      <c r="JU225" s="30"/>
      <c r="JV225" s="30"/>
      <c r="JW225" s="30"/>
      <c r="JX225" s="30"/>
      <c r="JY225" s="30"/>
      <c r="JZ225" s="30"/>
      <c r="KA225" s="30"/>
      <c r="KB225" s="30"/>
      <c r="KC225" s="30"/>
      <c r="KD225" s="30"/>
      <c r="KE225" s="30"/>
      <c r="KF225" s="30"/>
      <c r="KG225" s="30"/>
      <c r="KH225" s="30"/>
      <c r="KI225" s="30"/>
      <c r="KJ225" s="30"/>
      <c r="KK225" s="30"/>
      <c r="KL225" s="30"/>
      <c r="KM225" s="30"/>
      <c r="KN225" s="30"/>
      <c r="KO225" s="30"/>
      <c r="KP225" s="30"/>
      <c r="KQ225" s="30"/>
      <c r="KR225" s="30"/>
      <c r="KS225" s="30"/>
      <c r="KT225" s="30"/>
      <c r="KU225" s="30"/>
      <c r="KV225" s="30"/>
      <c r="KW225" s="30"/>
      <c r="KX225" s="30"/>
      <c r="KY225" s="30"/>
      <c r="KZ225" s="30"/>
      <c r="LA225" s="30"/>
      <c r="LB225" s="30"/>
      <c r="LC225" s="30"/>
      <c r="LD225" s="30"/>
      <c r="LE225" s="30"/>
      <c r="LF225" s="30"/>
      <c r="LG225" s="30"/>
      <c r="LH225" s="30"/>
      <c r="LI225" s="30"/>
      <c r="LJ225" s="30"/>
      <c r="LK225" s="30"/>
      <c r="LL225" s="30"/>
      <c r="LM225" s="30"/>
      <c r="LN225" s="30"/>
      <c r="LO225" s="30"/>
      <c r="LP225" s="30"/>
      <c r="LQ225" s="30"/>
      <c r="LR225" s="30"/>
      <c r="LS225" s="30"/>
      <c r="LT225" s="30"/>
      <c r="LU225" s="30"/>
      <c r="LV225" s="30"/>
      <c r="LW225" s="30"/>
      <c r="LX225" s="30"/>
      <c r="LY225" s="30"/>
      <c r="LZ225" s="30"/>
      <c r="MA225" s="30"/>
      <c r="MB225" s="30"/>
      <c r="MC225" s="30"/>
      <c r="MD225" s="30"/>
      <c r="ME225" s="30"/>
      <c r="MF225" s="30"/>
      <c r="MG225" s="30"/>
      <c r="MH225" s="30"/>
      <c r="MI225" s="30"/>
      <c r="MJ225" s="30"/>
      <c r="MK225" s="30"/>
      <c r="ML225" s="30"/>
      <c r="MM225" s="30"/>
      <c r="MN225" s="30"/>
      <c r="MO225" s="30"/>
      <c r="MP225" s="30"/>
      <c r="MQ225" s="30"/>
      <c r="MR225" s="30"/>
      <c r="MS225" s="30"/>
      <c r="MT225" s="30"/>
      <c r="MU225" s="30"/>
      <c r="MV225" s="30"/>
      <c r="MW225" s="30"/>
      <c r="MX225" s="30"/>
      <c r="MY225" s="30"/>
      <c r="MZ225" s="30"/>
      <c r="NA225" s="30"/>
      <c r="NB225" s="30"/>
      <c r="NC225" s="30"/>
      <c r="ND225" s="30"/>
      <c r="NE225" s="30"/>
      <c r="NF225" s="30"/>
      <c r="NG225" s="30"/>
      <c r="NH225" s="30"/>
      <c r="NI225" s="30"/>
      <c r="NJ225" s="30"/>
      <c r="NK225" s="30"/>
      <c r="NL225" s="30"/>
      <c r="NM225" s="30"/>
      <c r="NN225" s="30"/>
      <c r="NO225" s="30"/>
      <c r="NP225" s="30"/>
      <c r="NQ225" s="30"/>
      <c r="NR225" s="30"/>
      <c r="NS225" s="30"/>
      <c r="NT225" s="30"/>
      <c r="NU225" s="30"/>
      <c r="NV225" s="30"/>
      <c r="NW225" s="30"/>
      <c r="NX225" s="30"/>
      <c r="NY225" s="30"/>
      <c r="NZ225" s="30"/>
      <c r="OA225" s="30"/>
      <c r="OB225" s="30"/>
      <c r="OC225" s="30"/>
      <c r="OD225" s="30"/>
      <c r="OE225" s="30"/>
      <c r="OF225" s="30"/>
      <c r="OG225" s="30"/>
      <c r="OH225" s="30"/>
      <c r="OI225" s="30"/>
      <c r="OJ225" s="30"/>
      <c r="OK225" s="30"/>
      <c r="OL225" s="30"/>
      <c r="OM225" s="30"/>
      <c r="ON225" s="30"/>
      <c r="OO225" s="30"/>
      <c r="OP225" s="30"/>
      <c r="OQ225" s="30"/>
      <c r="OR225" s="30"/>
      <c r="OS225" s="30"/>
      <c r="OT225" s="30"/>
      <c r="OU225" s="30"/>
      <c r="OV225" s="30"/>
      <c r="OW225" s="30"/>
      <c r="OX225" s="30"/>
      <c r="OY225" s="30"/>
      <c r="OZ225" s="30"/>
      <c r="PA225" s="30"/>
      <c r="PB225" s="30"/>
      <c r="PC225" s="30"/>
      <c r="PD225" s="30"/>
      <c r="PE225" s="30"/>
      <c r="PF225" s="30"/>
      <c r="PG225" s="30"/>
      <c r="PH225" s="30"/>
      <c r="PI225" s="30"/>
      <c r="PJ225" s="30"/>
      <c r="PK225" s="30"/>
      <c r="PL225" s="30"/>
      <c r="PM225" s="30"/>
      <c r="PN225" s="30"/>
      <c r="PO225" s="30"/>
      <c r="PP225" s="30"/>
      <c r="PQ225" s="30"/>
      <c r="PR225" s="30"/>
      <c r="PS225" s="30"/>
      <c r="PT225" s="30"/>
      <c r="PU225" s="30"/>
      <c r="PV225" s="30"/>
      <c r="PW225" s="30"/>
      <c r="PX225" s="30"/>
      <c r="PY225" s="30"/>
      <c r="PZ225" s="30"/>
      <c r="QA225" s="30"/>
      <c r="QB225" s="30"/>
      <c r="QC225" s="30"/>
      <c r="QD225" s="30"/>
      <c r="QE225" s="30"/>
      <c r="QF225" s="30"/>
      <c r="QG225" s="30"/>
      <c r="QH225" s="30"/>
      <c r="QI225" s="30"/>
      <c r="QJ225" s="30"/>
      <c r="QK225" s="30"/>
      <c r="QL225" s="30"/>
      <c r="QM225" s="30"/>
      <c r="QN225" s="30"/>
      <c r="QO225" s="30"/>
      <c r="QP225" s="30"/>
      <c r="QQ225" s="30"/>
      <c r="QR225" s="30"/>
      <c r="QS225" s="30"/>
      <c r="QT225" s="30"/>
      <c r="QU225" s="30"/>
      <c r="QV225" s="30"/>
      <c r="QW225" s="30"/>
      <c r="QX225" s="30"/>
      <c r="QY225" s="30"/>
      <c r="QZ225" s="30"/>
      <c r="RA225" s="30"/>
      <c r="RB225" s="30"/>
      <c r="RC225" s="30"/>
      <c r="RD225" s="30"/>
      <c r="RE225" s="30"/>
      <c r="RF225" s="30"/>
      <c r="RG225" s="30"/>
      <c r="RH225" s="30"/>
      <c r="RI225" s="30"/>
      <c r="RJ225" s="30"/>
      <c r="RK225" s="30"/>
      <c r="RL225" s="30"/>
      <c r="RM225" s="30"/>
      <c r="RN225" s="30"/>
      <c r="RO225" s="30"/>
      <c r="RP225" s="30"/>
      <c r="RQ225" s="30"/>
      <c r="RR225" s="30"/>
      <c r="RS225" s="30"/>
      <c r="RT225" s="30"/>
      <c r="RU225" s="30"/>
      <c r="RV225" s="30"/>
      <c r="RW225" s="30"/>
      <c r="RX225" s="30"/>
      <c r="RY225" s="30"/>
      <c r="RZ225" s="30"/>
      <c r="SA225" s="30"/>
      <c r="SB225" s="30"/>
      <c r="SC225" s="30"/>
      <c r="SD225" s="30"/>
      <c r="SE225" s="30"/>
      <c r="SF225" s="30"/>
      <c r="SG225" s="30"/>
      <c r="SH225" s="30"/>
      <c r="SI225" s="30"/>
      <c r="SJ225" s="30"/>
      <c r="SK225" s="30"/>
      <c r="SL225" s="30"/>
      <c r="SM225" s="30"/>
      <c r="SN225" s="30"/>
      <c r="SO225" s="30"/>
      <c r="SP225" s="30"/>
      <c r="SQ225" s="30"/>
      <c r="SR225" s="30"/>
      <c r="SS225" s="30"/>
      <c r="ST225" s="30"/>
      <c r="SU225" s="30"/>
      <c r="SV225" s="30"/>
      <c r="SW225" s="30"/>
      <c r="SX225" s="30"/>
      <c r="SY225" s="30"/>
      <c r="SZ225" s="30"/>
      <c r="TA225" s="30"/>
      <c r="TB225" s="30"/>
      <c r="TC225" s="30"/>
      <c r="TD225" s="30"/>
      <c r="TE225" s="30"/>
      <c r="TF225" s="30"/>
      <c r="TG225" s="30"/>
    </row>
    <row r="226" spans="1:527" s="22" customFormat="1" ht="47.25" x14ac:dyDescent="0.25">
      <c r="A226" s="60" t="s">
        <v>376</v>
      </c>
      <c r="B226" s="97">
        <f>'дод 8'!A176</f>
        <v>7462</v>
      </c>
      <c r="C226" s="60" t="s">
        <v>402</v>
      </c>
      <c r="D226" s="122" t="s">
        <v>401</v>
      </c>
      <c r="E226" s="103">
        <f t="shared" ref="E226:E229" si="101">F226+I226</f>
        <v>1527346</v>
      </c>
      <c r="F226" s="103">
        <v>1527346</v>
      </c>
      <c r="G226" s="103"/>
      <c r="H226" s="103"/>
      <c r="I226" s="103"/>
      <c r="J226" s="103">
        <f t="shared" ref="J226:J229" si="102">L226+O226</f>
        <v>0</v>
      </c>
      <c r="K226" s="103"/>
      <c r="L226" s="103"/>
      <c r="M226" s="103"/>
      <c r="N226" s="103"/>
      <c r="O226" s="103"/>
      <c r="P226" s="103">
        <f t="shared" ref="P226:P229" si="103">E226+J226</f>
        <v>1527346</v>
      </c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  <c r="OX226" s="23"/>
      <c r="OY226" s="23"/>
      <c r="OZ226" s="23"/>
      <c r="PA226" s="23"/>
      <c r="PB226" s="23"/>
      <c r="PC226" s="23"/>
      <c r="PD226" s="23"/>
      <c r="PE226" s="23"/>
      <c r="PF226" s="23"/>
      <c r="PG226" s="23"/>
      <c r="PH226" s="23"/>
      <c r="PI226" s="23"/>
      <c r="PJ226" s="23"/>
      <c r="PK226" s="23"/>
      <c r="PL226" s="23"/>
      <c r="PM226" s="23"/>
      <c r="PN226" s="23"/>
      <c r="PO226" s="23"/>
      <c r="PP226" s="23"/>
      <c r="PQ226" s="23"/>
      <c r="PR226" s="23"/>
      <c r="PS226" s="23"/>
      <c r="PT226" s="23"/>
      <c r="PU226" s="23"/>
      <c r="PV226" s="23"/>
      <c r="PW226" s="23"/>
      <c r="PX226" s="23"/>
      <c r="PY226" s="23"/>
      <c r="PZ226" s="23"/>
      <c r="QA226" s="23"/>
      <c r="QB226" s="23"/>
      <c r="QC226" s="23"/>
      <c r="QD226" s="23"/>
      <c r="QE226" s="23"/>
      <c r="QF226" s="23"/>
      <c r="QG226" s="23"/>
      <c r="QH226" s="23"/>
      <c r="QI226" s="23"/>
      <c r="QJ226" s="23"/>
      <c r="QK226" s="23"/>
      <c r="QL226" s="23"/>
      <c r="QM226" s="23"/>
      <c r="QN226" s="23"/>
      <c r="QO226" s="23"/>
      <c r="QP226" s="23"/>
      <c r="QQ226" s="23"/>
      <c r="QR226" s="23"/>
      <c r="QS226" s="23"/>
      <c r="QT226" s="23"/>
      <c r="QU226" s="23"/>
      <c r="QV226" s="23"/>
      <c r="QW226" s="23"/>
      <c r="QX226" s="23"/>
      <c r="QY226" s="23"/>
      <c r="QZ226" s="23"/>
      <c r="RA226" s="23"/>
      <c r="RB226" s="23"/>
      <c r="RC226" s="23"/>
      <c r="RD226" s="23"/>
      <c r="RE226" s="23"/>
      <c r="RF226" s="23"/>
      <c r="RG226" s="23"/>
      <c r="RH226" s="23"/>
      <c r="RI226" s="23"/>
      <c r="RJ226" s="23"/>
      <c r="RK226" s="23"/>
      <c r="RL226" s="23"/>
      <c r="RM226" s="23"/>
      <c r="RN226" s="23"/>
      <c r="RO226" s="23"/>
      <c r="RP226" s="23"/>
      <c r="RQ226" s="23"/>
      <c r="RR226" s="23"/>
      <c r="RS226" s="23"/>
      <c r="RT226" s="23"/>
      <c r="RU226" s="23"/>
      <c r="RV226" s="23"/>
      <c r="RW226" s="23"/>
      <c r="RX226" s="23"/>
      <c r="RY226" s="23"/>
      <c r="RZ226" s="23"/>
      <c r="SA226" s="23"/>
      <c r="SB226" s="23"/>
      <c r="SC226" s="23"/>
      <c r="SD226" s="23"/>
      <c r="SE226" s="23"/>
      <c r="SF226" s="23"/>
      <c r="SG226" s="23"/>
      <c r="SH226" s="23"/>
      <c r="SI226" s="23"/>
      <c r="SJ226" s="23"/>
      <c r="SK226" s="23"/>
      <c r="SL226" s="23"/>
      <c r="SM226" s="23"/>
      <c r="SN226" s="23"/>
      <c r="SO226" s="23"/>
      <c r="SP226" s="23"/>
      <c r="SQ226" s="23"/>
      <c r="SR226" s="23"/>
      <c r="SS226" s="23"/>
      <c r="ST226" s="23"/>
      <c r="SU226" s="23"/>
      <c r="SV226" s="23"/>
      <c r="SW226" s="23"/>
      <c r="SX226" s="23"/>
      <c r="SY226" s="23"/>
      <c r="SZ226" s="23"/>
      <c r="TA226" s="23"/>
      <c r="TB226" s="23"/>
      <c r="TC226" s="23"/>
      <c r="TD226" s="23"/>
      <c r="TE226" s="23"/>
      <c r="TF226" s="23"/>
      <c r="TG226" s="23"/>
    </row>
    <row r="227" spans="1:527" s="24" customFormat="1" ht="110.25" hidden="1" customHeight="1" x14ac:dyDescent="0.25">
      <c r="A227" s="88"/>
      <c r="B227" s="115"/>
      <c r="C227" s="115"/>
      <c r="D227" s="91" t="s">
        <v>399</v>
      </c>
      <c r="E227" s="105">
        <f t="shared" si="101"/>
        <v>0</v>
      </c>
      <c r="F227" s="105"/>
      <c r="G227" s="105"/>
      <c r="H227" s="105"/>
      <c r="I227" s="105"/>
      <c r="J227" s="105">
        <f t="shared" si="102"/>
        <v>0</v>
      </c>
      <c r="K227" s="105"/>
      <c r="L227" s="105"/>
      <c r="M227" s="105"/>
      <c r="N227" s="105"/>
      <c r="O227" s="105"/>
      <c r="P227" s="105">
        <f t="shared" si="103"/>
        <v>0</v>
      </c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  <c r="IV227" s="30"/>
      <c r="IW227" s="30"/>
      <c r="IX227" s="30"/>
      <c r="IY227" s="30"/>
      <c r="IZ227" s="30"/>
      <c r="JA227" s="30"/>
      <c r="JB227" s="30"/>
      <c r="JC227" s="30"/>
      <c r="JD227" s="30"/>
      <c r="JE227" s="30"/>
      <c r="JF227" s="30"/>
      <c r="JG227" s="30"/>
      <c r="JH227" s="30"/>
      <c r="JI227" s="30"/>
      <c r="JJ227" s="30"/>
      <c r="JK227" s="30"/>
      <c r="JL227" s="30"/>
      <c r="JM227" s="30"/>
      <c r="JN227" s="30"/>
      <c r="JO227" s="30"/>
      <c r="JP227" s="30"/>
      <c r="JQ227" s="30"/>
      <c r="JR227" s="30"/>
      <c r="JS227" s="30"/>
      <c r="JT227" s="30"/>
      <c r="JU227" s="30"/>
      <c r="JV227" s="30"/>
      <c r="JW227" s="30"/>
      <c r="JX227" s="30"/>
      <c r="JY227" s="30"/>
      <c r="JZ227" s="30"/>
      <c r="KA227" s="30"/>
      <c r="KB227" s="30"/>
      <c r="KC227" s="30"/>
      <c r="KD227" s="30"/>
      <c r="KE227" s="30"/>
      <c r="KF227" s="30"/>
      <c r="KG227" s="30"/>
      <c r="KH227" s="30"/>
      <c r="KI227" s="30"/>
      <c r="KJ227" s="30"/>
      <c r="KK227" s="30"/>
      <c r="KL227" s="30"/>
      <c r="KM227" s="30"/>
      <c r="KN227" s="30"/>
      <c r="KO227" s="30"/>
      <c r="KP227" s="30"/>
      <c r="KQ227" s="30"/>
      <c r="KR227" s="30"/>
      <c r="KS227" s="30"/>
      <c r="KT227" s="30"/>
      <c r="KU227" s="30"/>
      <c r="KV227" s="30"/>
      <c r="KW227" s="30"/>
      <c r="KX227" s="30"/>
      <c r="KY227" s="30"/>
      <c r="KZ227" s="30"/>
      <c r="LA227" s="30"/>
      <c r="LB227" s="30"/>
      <c r="LC227" s="30"/>
      <c r="LD227" s="30"/>
      <c r="LE227" s="30"/>
      <c r="LF227" s="30"/>
      <c r="LG227" s="30"/>
      <c r="LH227" s="30"/>
      <c r="LI227" s="30"/>
      <c r="LJ227" s="30"/>
      <c r="LK227" s="30"/>
      <c r="LL227" s="30"/>
      <c r="LM227" s="30"/>
      <c r="LN227" s="30"/>
      <c r="LO227" s="30"/>
      <c r="LP227" s="30"/>
      <c r="LQ227" s="30"/>
      <c r="LR227" s="30"/>
      <c r="LS227" s="30"/>
      <c r="LT227" s="30"/>
      <c r="LU227" s="30"/>
      <c r="LV227" s="30"/>
      <c r="LW227" s="30"/>
      <c r="LX227" s="30"/>
      <c r="LY227" s="30"/>
      <c r="LZ227" s="30"/>
      <c r="MA227" s="30"/>
      <c r="MB227" s="30"/>
      <c r="MC227" s="30"/>
      <c r="MD227" s="30"/>
      <c r="ME227" s="30"/>
      <c r="MF227" s="30"/>
      <c r="MG227" s="30"/>
      <c r="MH227" s="30"/>
      <c r="MI227" s="30"/>
      <c r="MJ227" s="30"/>
      <c r="MK227" s="30"/>
      <c r="ML227" s="30"/>
      <c r="MM227" s="30"/>
      <c r="MN227" s="30"/>
      <c r="MO227" s="30"/>
      <c r="MP227" s="30"/>
      <c r="MQ227" s="30"/>
      <c r="MR227" s="30"/>
      <c r="MS227" s="30"/>
      <c r="MT227" s="30"/>
      <c r="MU227" s="30"/>
      <c r="MV227" s="30"/>
      <c r="MW227" s="30"/>
      <c r="MX227" s="30"/>
      <c r="MY227" s="30"/>
      <c r="MZ227" s="30"/>
      <c r="NA227" s="30"/>
      <c r="NB227" s="30"/>
      <c r="NC227" s="30"/>
      <c r="ND227" s="30"/>
      <c r="NE227" s="30"/>
      <c r="NF227" s="30"/>
      <c r="NG227" s="30"/>
      <c r="NH227" s="30"/>
      <c r="NI227" s="30"/>
      <c r="NJ227" s="30"/>
      <c r="NK227" s="30"/>
      <c r="NL227" s="30"/>
      <c r="NM227" s="30"/>
      <c r="NN227" s="30"/>
      <c r="NO227" s="30"/>
      <c r="NP227" s="30"/>
      <c r="NQ227" s="30"/>
      <c r="NR227" s="30"/>
      <c r="NS227" s="30"/>
      <c r="NT227" s="30"/>
      <c r="NU227" s="30"/>
      <c r="NV227" s="30"/>
      <c r="NW227" s="30"/>
      <c r="NX227" s="30"/>
      <c r="NY227" s="30"/>
      <c r="NZ227" s="30"/>
      <c r="OA227" s="30"/>
      <c r="OB227" s="30"/>
      <c r="OC227" s="30"/>
      <c r="OD227" s="30"/>
      <c r="OE227" s="30"/>
      <c r="OF227" s="30"/>
      <c r="OG227" s="30"/>
      <c r="OH227" s="30"/>
      <c r="OI227" s="30"/>
      <c r="OJ227" s="30"/>
      <c r="OK227" s="30"/>
      <c r="OL227" s="30"/>
      <c r="OM227" s="30"/>
      <c r="ON227" s="30"/>
      <c r="OO227" s="30"/>
      <c r="OP227" s="30"/>
      <c r="OQ227" s="30"/>
      <c r="OR227" s="30"/>
      <c r="OS227" s="30"/>
      <c r="OT227" s="30"/>
      <c r="OU227" s="30"/>
      <c r="OV227" s="30"/>
      <c r="OW227" s="30"/>
      <c r="OX227" s="30"/>
      <c r="OY227" s="30"/>
      <c r="OZ227" s="30"/>
      <c r="PA227" s="30"/>
      <c r="PB227" s="30"/>
      <c r="PC227" s="30"/>
      <c r="PD227" s="30"/>
      <c r="PE227" s="30"/>
      <c r="PF227" s="30"/>
      <c r="PG227" s="30"/>
      <c r="PH227" s="30"/>
      <c r="PI227" s="30"/>
      <c r="PJ227" s="30"/>
      <c r="PK227" s="30"/>
      <c r="PL227" s="30"/>
      <c r="PM227" s="30"/>
      <c r="PN227" s="30"/>
      <c r="PO227" s="30"/>
      <c r="PP227" s="30"/>
      <c r="PQ227" s="30"/>
      <c r="PR227" s="30"/>
      <c r="PS227" s="30"/>
      <c r="PT227" s="30"/>
      <c r="PU227" s="30"/>
      <c r="PV227" s="30"/>
      <c r="PW227" s="30"/>
      <c r="PX227" s="30"/>
      <c r="PY227" s="30"/>
      <c r="PZ227" s="30"/>
      <c r="QA227" s="30"/>
      <c r="QB227" s="30"/>
      <c r="QC227" s="30"/>
      <c r="QD227" s="30"/>
      <c r="QE227" s="30"/>
      <c r="QF227" s="30"/>
      <c r="QG227" s="30"/>
      <c r="QH227" s="30"/>
      <c r="QI227" s="30"/>
      <c r="QJ227" s="30"/>
      <c r="QK227" s="30"/>
      <c r="QL227" s="30"/>
      <c r="QM227" s="30"/>
      <c r="QN227" s="30"/>
      <c r="QO227" s="30"/>
      <c r="QP227" s="30"/>
      <c r="QQ227" s="30"/>
      <c r="QR227" s="30"/>
      <c r="QS227" s="30"/>
      <c r="QT227" s="30"/>
      <c r="QU227" s="30"/>
      <c r="QV227" s="30"/>
      <c r="QW227" s="30"/>
      <c r="QX227" s="30"/>
      <c r="QY227" s="30"/>
      <c r="QZ227" s="30"/>
      <c r="RA227" s="30"/>
      <c r="RB227" s="30"/>
      <c r="RC227" s="30"/>
      <c r="RD227" s="30"/>
      <c r="RE227" s="30"/>
      <c r="RF227" s="30"/>
      <c r="RG227" s="30"/>
      <c r="RH227" s="30"/>
      <c r="RI227" s="30"/>
      <c r="RJ227" s="30"/>
      <c r="RK227" s="30"/>
      <c r="RL227" s="30"/>
      <c r="RM227" s="30"/>
      <c r="RN227" s="30"/>
      <c r="RO227" s="30"/>
      <c r="RP227" s="30"/>
      <c r="RQ227" s="30"/>
      <c r="RR227" s="30"/>
      <c r="RS227" s="30"/>
      <c r="RT227" s="30"/>
      <c r="RU227" s="30"/>
      <c r="RV227" s="30"/>
      <c r="RW227" s="30"/>
      <c r="RX227" s="30"/>
      <c r="RY227" s="30"/>
      <c r="RZ227" s="30"/>
      <c r="SA227" s="30"/>
      <c r="SB227" s="30"/>
      <c r="SC227" s="30"/>
      <c r="SD227" s="30"/>
      <c r="SE227" s="30"/>
      <c r="SF227" s="30"/>
      <c r="SG227" s="30"/>
      <c r="SH227" s="30"/>
      <c r="SI227" s="30"/>
      <c r="SJ227" s="30"/>
      <c r="SK227" s="30"/>
      <c r="SL227" s="30"/>
      <c r="SM227" s="30"/>
      <c r="SN227" s="30"/>
      <c r="SO227" s="30"/>
      <c r="SP227" s="30"/>
      <c r="SQ227" s="30"/>
      <c r="SR227" s="30"/>
      <c r="SS227" s="30"/>
      <c r="ST227" s="30"/>
      <c r="SU227" s="30"/>
      <c r="SV227" s="30"/>
      <c r="SW227" s="30"/>
      <c r="SX227" s="30"/>
      <c r="SY227" s="30"/>
      <c r="SZ227" s="30"/>
      <c r="TA227" s="30"/>
      <c r="TB227" s="30"/>
      <c r="TC227" s="30"/>
      <c r="TD227" s="30"/>
      <c r="TE227" s="30"/>
      <c r="TF227" s="30"/>
      <c r="TG227" s="30"/>
    </row>
    <row r="228" spans="1:527" s="24" customFormat="1" ht="78.75" x14ac:dyDescent="0.25">
      <c r="A228" s="88"/>
      <c r="B228" s="115"/>
      <c r="C228" s="115"/>
      <c r="D228" s="91" t="s">
        <v>561</v>
      </c>
      <c r="E228" s="105">
        <f t="shared" si="101"/>
        <v>1527346</v>
      </c>
      <c r="F228" s="105">
        <v>1527346</v>
      </c>
      <c r="G228" s="105"/>
      <c r="H228" s="105"/>
      <c r="I228" s="105"/>
      <c r="J228" s="105">
        <f t="shared" si="102"/>
        <v>0</v>
      </c>
      <c r="K228" s="105"/>
      <c r="L228" s="105"/>
      <c r="M228" s="105"/>
      <c r="N228" s="105"/>
      <c r="O228" s="105"/>
      <c r="P228" s="105">
        <f t="shared" si="103"/>
        <v>1527346</v>
      </c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  <c r="IW228" s="30"/>
      <c r="IX228" s="30"/>
      <c r="IY228" s="30"/>
      <c r="IZ228" s="30"/>
      <c r="JA228" s="30"/>
      <c r="JB228" s="30"/>
      <c r="JC228" s="30"/>
      <c r="JD228" s="30"/>
      <c r="JE228" s="30"/>
      <c r="JF228" s="30"/>
      <c r="JG228" s="30"/>
      <c r="JH228" s="30"/>
      <c r="JI228" s="30"/>
      <c r="JJ228" s="30"/>
      <c r="JK228" s="30"/>
      <c r="JL228" s="30"/>
      <c r="JM228" s="30"/>
      <c r="JN228" s="30"/>
      <c r="JO228" s="30"/>
      <c r="JP228" s="30"/>
      <c r="JQ228" s="30"/>
      <c r="JR228" s="30"/>
      <c r="JS228" s="30"/>
      <c r="JT228" s="30"/>
      <c r="JU228" s="30"/>
      <c r="JV228" s="30"/>
      <c r="JW228" s="30"/>
      <c r="JX228" s="30"/>
      <c r="JY228" s="30"/>
      <c r="JZ228" s="30"/>
      <c r="KA228" s="30"/>
      <c r="KB228" s="30"/>
      <c r="KC228" s="30"/>
      <c r="KD228" s="30"/>
      <c r="KE228" s="30"/>
      <c r="KF228" s="30"/>
      <c r="KG228" s="30"/>
      <c r="KH228" s="30"/>
      <c r="KI228" s="30"/>
      <c r="KJ228" s="30"/>
      <c r="KK228" s="30"/>
      <c r="KL228" s="30"/>
      <c r="KM228" s="30"/>
      <c r="KN228" s="30"/>
      <c r="KO228" s="30"/>
      <c r="KP228" s="30"/>
      <c r="KQ228" s="30"/>
      <c r="KR228" s="30"/>
      <c r="KS228" s="30"/>
      <c r="KT228" s="30"/>
      <c r="KU228" s="30"/>
      <c r="KV228" s="30"/>
      <c r="KW228" s="30"/>
      <c r="KX228" s="30"/>
      <c r="KY228" s="30"/>
      <c r="KZ228" s="30"/>
      <c r="LA228" s="30"/>
      <c r="LB228" s="30"/>
      <c r="LC228" s="30"/>
      <c r="LD228" s="30"/>
      <c r="LE228" s="30"/>
      <c r="LF228" s="30"/>
      <c r="LG228" s="30"/>
      <c r="LH228" s="30"/>
      <c r="LI228" s="30"/>
      <c r="LJ228" s="30"/>
      <c r="LK228" s="30"/>
      <c r="LL228" s="30"/>
      <c r="LM228" s="30"/>
      <c r="LN228" s="30"/>
      <c r="LO228" s="30"/>
      <c r="LP228" s="30"/>
      <c r="LQ228" s="30"/>
      <c r="LR228" s="30"/>
      <c r="LS228" s="30"/>
      <c r="LT228" s="30"/>
      <c r="LU228" s="30"/>
      <c r="LV228" s="30"/>
      <c r="LW228" s="30"/>
      <c r="LX228" s="30"/>
      <c r="LY228" s="30"/>
      <c r="LZ228" s="30"/>
      <c r="MA228" s="30"/>
      <c r="MB228" s="30"/>
      <c r="MC228" s="30"/>
      <c r="MD228" s="30"/>
      <c r="ME228" s="30"/>
      <c r="MF228" s="30"/>
      <c r="MG228" s="30"/>
      <c r="MH228" s="30"/>
      <c r="MI228" s="30"/>
      <c r="MJ228" s="30"/>
      <c r="MK228" s="30"/>
      <c r="ML228" s="30"/>
      <c r="MM228" s="30"/>
      <c r="MN228" s="30"/>
      <c r="MO228" s="30"/>
      <c r="MP228" s="30"/>
      <c r="MQ228" s="30"/>
      <c r="MR228" s="30"/>
      <c r="MS228" s="30"/>
      <c r="MT228" s="30"/>
      <c r="MU228" s="30"/>
      <c r="MV228" s="30"/>
      <c r="MW228" s="30"/>
      <c r="MX228" s="30"/>
      <c r="MY228" s="30"/>
      <c r="MZ228" s="30"/>
      <c r="NA228" s="30"/>
      <c r="NB228" s="30"/>
      <c r="NC228" s="30"/>
      <c r="ND228" s="30"/>
      <c r="NE228" s="30"/>
      <c r="NF228" s="30"/>
      <c r="NG228" s="30"/>
      <c r="NH228" s="30"/>
      <c r="NI228" s="30"/>
      <c r="NJ228" s="30"/>
      <c r="NK228" s="30"/>
      <c r="NL228" s="30"/>
      <c r="NM228" s="30"/>
      <c r="NN228" s="30"/>
      <c r="NO228" s="30"/>
      <c r="NP228" s="30"/>
      <c r="NQ228" s="30"/>
      <c r="NR228" s="30"/>
      <c r="NS228" s="30"/>
      <c r="NT228" s="30"/>
      <c r="NU228" s="30"/>
      <c r="NV228" s="30"/>
      <c r="NW228" s="30"/>
      <c r="NX228" s="30"/>
      <c r="NY228" s="30"/>
      <c r="NZ228" s="30"/>
      <c r="OA228" s="30"/>
      <c r="OB228" s="30"/>
      <c r="OC228" s="30"/>
      <c r="OD228" s="30"/>
      <c r="OE228" s="30"/>
      <c r="OF228" s="30"/>
      <c r="OG228" s="30"/>
      <c r="OH228" s="30"/>
      <c r="OI228" s="30"/>
      <c r="OJ228" s="30"/>
      <c r="OK228" s="30"/>
      <c r="OL228" s="30"/>
      <c r="OM228" s="30"/>
      <c r="ON228" s="30"/>
      <c r="OO228" s="30"/>
      <c r="OP228" s="30"/>
      <c r="OQ228" s="30"/>
      <c r="OR228" s="30"/>
      <c r="OS228" s="30"/>
      <c r="OT228" s="30"/>
      <c r="OU228" s="30"/>
      <c r="OV228" s="30"/>
      <c r="OW228" s="30"/>
      <c r="OX228" s="30"/>
      <c r="OY228" s="30"/>
      <c r="OZ228" s="30"/>
      <c r="PA228" s="30"/>
      <c r="PB228" s="30"/>
      <c r="PC228" s="30"/>
      <c r="PD228" s="30"/>
      <c r="PE228" s="30"/>
      <c r="PF228" s="30"/>
      <c r="PG228" s="30"/>
      <c r="PH228" s="30"/>
      <c r="PI228" s="30"/>
      <c r="PJ228" s="30"/>
      <c r="PK228" s="30"/>
      <c r="PL228" s="30"/>
      <c r="PM228" s="30"/>
      <c r="PN228" s="30"/>
      <c r="PO228" s="30"/>
      <c r="PP228" s="30"/>
      <c r="PQ228" s="30"/>
      <c r="PR228" s="30"/>
      <c r="PS228" s="30"/>
      <c r="PT228" s="30"/>
      <c r="PU228" s="30"/>
      <c r="PV228" s="30"/>
      <c r="PW228" s="30"/>
      <c r="PX228" s="30"/>
      <c r="PY228" s="30"/>
      <c r="PZ228" s="30"/>
      <c r="QA228" s="30"/>
      <c r="QB228" s="30"/>
      <c r="QC228" s="30"/>
      <c r="QD228" s="30"/>
      <c r="QE228" s="30"/>
      <c r="QF228" s="30"/>
      <c r="QG228" s="30"/>
      <c r="QH228" s="30"/>
      <c r="QI228" s="30"/>
      <c r="QJ228" s="30"/>
      <c r="QK228" s="30"/>
      <c r="QL228" s="30"/>
      <c r="QM228" s="30"/>
      <c r="QN228" s="30"/>
      <c r="QO228" s="30"/>
      <c r="QP228" s="30"/>
      <c r="QQ228" s="30"/>
      <c r="QR228" s="30"/>
      <c r="QS228" s="30"/>
      <c r="QT228" s="30"/>
      <c r="QU228" s="30"/>
      <c r="QV228" s="30"/>
      <c r="QW228" s="30"/>
      <c r="QX228" s="30"/>
      <c r="QY228" s="30"/>
      <c r="QZ228" s="30"/>
      <c r="RA228" s="30"/>
      <c r="RB228" s="30"/>
      <c r="RC228" s="30"/>
      <c r="RD228" s="30"/>
      <c r="RE228" s="30"/>
      <c r="RF228" s="30"/>
      <c r="RG228" s="30"/>
      <c r="RH228" s="30"/>
      <c r="RI228" s="30"/>
      <c r="RJ228" s="30"/>
      <c r="RK228" s="30"/>
      <c r="RL228" s="30"/>
      <c r="RM228" s="30"/>
      <c r="RN228" s="30"/>
      <c r="RO228" s="30"/>
      <c r="RP228" s="30"/>
      <c r="RQ228" s="30"/>
      <c r="RR228" s="30"/>
      <c r="RS228" s="30"/>
      <c r="RT228" s="30"/>
      <c r="RU228" s="30"/>
      <c r="RV228" s="30"/>
      <c r="RW228" s="30"/>
      <c r="RX228" s="30"/>
      <c r="RY228" s="30"/>
      <c r="RZ228" s="30"/>
      <c r="SA228" s="30"/>
      <c r="SB228" s="30"/>
      <c r="SC228" s="30"/>
      <c r="SD228" s="30"/>
      <c r="SE228" s="30"/>
      <c r="SF228" s="30"/>
      <c r="SG228" s="30"/>
      <c r="SH228" s="30"/>
      <c r="SI228" s="30"/>
      <c r="SJ228" s="30"/>
      <c r="SK228" s="30"/>
      <c r="SL228" s="30"/>
      <c r="SM228" s="30"/>
      <c r="SN228" s="30"/>
      <c r="SO228" s="30"/>
      <c r="SP228" s="30"/>
      <c r="SQ228" s="30"/>
      <c r="SR228" s="30"/>
      <c r="SS228" s="30"/>
      <c r="ST228" s="30"/>
      <c r="SU228" s="30"/>
      <c r="SV228" s="30"/>
      <c r="SW228" s="30"/>
      <c r="SX228" s="30"/>
      <c r="SY228" s="30"/>
      <c r="SZ228" s="30"/>
      <c r="TA228" s="30"/>
      <c r="TB228" s="30"/>
      <c r="TC228" s="30"/>
      <c r="TD228" s="30"/>
      <c r="TE228" s="30"/>
      <c r="TF228" s="30"/>
      <c r="TG228" s="30"/>
    </row>
    <row r="229" spans="1:527" s="24" customFormat="1" ht="31.5" hidden="1" customHeight="1" x14ac:dyDescent="0.25">
      <c r="A229" s="60" t="s">
        <v>431</v>
      </c>
      <c r="B229" s="97">
        <v>7530</v>
      </c>
      <c r="C229" s="60" t="s">
        <v>238</v>
      </c>
      <c r="D229" s="98" t="s">
        <v>236</v>
      </c>
      <c r="E229" s="103">
        <f t="shared" si="101"/>
        <v>0</v>
      </c>
      <c r="F229" s="103"/>
      <c r="G229" s="105"/>
      <c r="H229" s="105"/>
      <c r="I229" s="105"/>
      <c r="J229" s="103">
        <f t="shared" si="102"/>
        <v>0</v>
      </c>
      <c r="K229" s="103"/>
      <c r="L229" s="103"/>
      <c r="M229" s="103"/>
      <c r="N229" s="103"/>
      <c r="O229" s="103"/>
      <c r="P229" s="103">
        <f t="shared" si="103"/>
        <v>0</v>
      </c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  <c r="IV229" s="30"/>
      <c r="IW229" s="30"/>
      <c r="IX229" s="30"/>
      <c r="IY229" s="30"/>
      <c r="IZ229" s="30"/>
      <c r="JA229" s="30"/>
      <c r="JB229" s="30"/>
      <c r="JC229" s="30"/>
      <c r="JD229" s="30"/>
      <c r="JE229" s="30"/>
      <c r="JF229" s="30"/>
      <c r="JG229" s="30"/>
      <c r="JH229" s="30"/>
      <c r="JI229" s="30"/>
      <c r="JJ229" s="30"/>
      <c r="JK229" s="30"/>
      <c r="JL229" s="30"/>
      <c r="JM229" s="30"/>
      <c r="JN229" s="30"/>
      <c r="JO229" s="30"/>
      <c r="JP229" s="30"/>
      <c r="JQ229" s="30"/>
      <c r="JR229" s="30"/>
      <c r="JS229" s="30"/>
      <c r="JT229" s="30"/>
      <c r="JU229" s="30"/>
      <c r="JV229" s="30"/>
      <c r="JW229" s="30"/>
      <c r="JX229" s="30"/>
      <c r="JY229" s="30"/>
      <c r="JZ229" s="30"/>
      <c r="KA229" s="30"/>
      <c r="KB229" s="30"/>
      <c r="KC229" s="30"/>
      <c r="KD229" s="30"/>
      <c r="KE229" s="30"/>
      <c r="KF229" s="30"/>
      <c r="KG229" s="30"/>
      <c r="KH229" s="30"/>
      <c r="KI229" s="30"/>
      <c r="KJ229" s="30"/>
      <c r="KK229" s="30"/>
      <c r="KL229" s="30"/>
      <c r="KM229" s="30"/>
      <c r="KN229" s="30"/>
      <c r="KO229" s="30"/>
      <c r="KP229" s="30"/>
      <c r="KQ229" s="30"/>
      <c r="KR229" s="30"/>
      <c r="KS229" s="30"/>
      <c r="KT229" s="30"/>
      <c r="KU229" s="30"/>
      <c r="KV229" s="30"/>
      <c r="KW229" s="30"/>
      <c r="KX229" s="30"/>
      <c r="KY229" s="30"/>
      <c r="KZ229" s="30"/>
      <c r="LA229" s="30"/>
      <c r="LB229" s="30"/>
      <c r="LC229" s="30"/>
      <c r="LD229" s="30"/>
      <c r="LE229" s="30"/>
      <c r="LF229" s="30"/>
      <c r="LG229" s="30"/>
      <c r="LH229" s="30"/>
      <c r="LI229" s="30"/>
      <c r="LJ229" s="30"/>
      <c r="LK229" s="30"/>
      <c r="LL229" s="30"/>
      <c r="LM229" s="30"/>
      <c r="LN229" s="30"/>
      <c r="LO229" s="30"/>
      <c r="LP229" s="30"/>
      <c r="LQ229" s="30"/>
      <c r="LR229" s="30"/>
      <c r="LS229" s="30"/>
      <c r="LT229" s="30"/>
      <c r="LU229" s="30"/>
      <c r="LV229" s="30"/>
      <c r="LW229" s="30"/>
      <c r="LX229" s="30"/>
      <c r="LY229" s="30"/>
      <c r="LZ229" s="30"/>
      <c r="MA229" s="30"/>
      <c r="MB229" s="30"/>
      <c r="MC229" s="30"/>
      <c r="MD229" s="30"/>
      <c r="ME229" s="30"/>
      <c r="MF229" s="30"/>
      <c r="MG229" s="30"/>
      <c r="MH229" s="30"/>
      <c r="MI229" s="30"/>
      <c r="MJ229" s="30"/>
      <c r="MK229" s="30"/>
      <c r="ML229" s="30"/>
      <c r="MM229" s="30"/>
      <c r="MN229" s="30"/>
      <c r="MO229" s="30"/>
      <c r="MP229" s="30"/>
      <c r="MQ229" s="30"/>
      <c r="MR229" s="30"/>
      <c r="MS229" s="30"/>
      <c r="MT229" s="30"/>
      <c r="MU229" s="30"/>
      <c r="MV229" s="30"/>
      <c r="MW229" s="30"/>
      <c r="MX229" s="30"/>
      <c r="MY229" s="30"/>
      <c r="MZ229" s="30"/>
      <c r="NA229" s="30"/>
      <c r="NB229" s="30"/>
      <c r="NC229" s="30"/>
      <c r="ND229" s="30"/>
      <c r="NE229" s="30"/>
      <c r="NF229" s="30"/>
      <c r="NG229" s="30"/>
      <c r="NH229" s="30"/>
      <c r="NI229" s="30"/>
      <c r="NJ229" s="30"/>
      <c r="NK229" s="30"/>
      <c r="NL229" s="30"/>
      <c r="NM229" s="30"/>
      <c r="NN229" s="30"/>
      <c r="NO229" s="30"/>
      <c r="NP229" s="30"/>
      <c r="NQ229" s="30"/>
      <c r="NR229" s="30"/>
      <c r="NS229" s="30"/>
      <c r="NT229" s="30"/>
      <c r="NU229" s="30"/>
      <c r="NV229" s="30"/>
      <c r="NW229" s="30"/>
      <c r="NX229" s="30"/>
      <c r="NY229" s="30"/>
      <c r="NZ229" s="30"/>
      <c r="OA229" s="30"/>
      <c r="OB229" s="30"/>
      <c r="OC229" s="30"/>
      <c r="OD229" s="30"/>
      <c r="OE229" s="30"/>
      <c r="OF229" s="30"/>
      <c r="OG229" s="30"/>
      <c r="OH229" s="30"/>
      <c r="OI229" s="30"/>
      <c r="OJ229" s="30"/>
      <c r="OK229" s="30"/>
      <c r="OL229" s="30"/>
      <c r="OM229" s="30"/>
      <c r="ON229" s="30"/>
      <c r="OO229" s="30"/>
      <c r="OP229" s="30"/>
      <c r="OQ229" s="30"/>
      <c r="OR229" s="30"/>
      <c r="OS229" s="30"/>
      <c r="OT229" s="30"/>
      <c r="OU229" s="30"/>
      <c r="OV229" s="30"/>
      <c r="OW229" s="30"/>
      <c r="OX229" s="30"/>
      <c r="OY229" s="30"/>
      <c r="OZ229" s="30"/>
      <c r="PA229" s="30"/>
      <c r="PB229" s="30"/>
      <c r="PC229" s="30"/>
      <c r="PD229" s="30"/>
      <c r="PE229" s="30"/>
      <c r="PF229" s="30"/>
      <c r="PG229" s="30"/>
      <c r="PH229" s="30"/>
      <c r="PI229" s="30"/>
      <c r="PJ229" s="30"/>
      <c r="PK229" s="30"/>
      <c r="PL229" s="30"/>
      <c r="PM229" s="30"/>
      <c r="PN229" s="30"/>
      <c r="PO229" s="30"/>
      <c r="PP229" s="30"/>
      <c r="PQ229" s="30"/>
      <c r="PR229" s="30"/>
      <c r="PS229" s="30"/>
      <c r="PT229" s="30"/>
      <c r="PU229" s="30"/>
      <c r="PV229" s="30"/>
      <c r="PW229" s="30"/>
      <c r="PX229" s="30"/>
      <c r="PY229" s="30"/>
      <c r="PZ229" s="30"/>
      <c r="QA229" s="30"/>
      <c r="QB229" s="30"/>
      <c r="QC229" s="30"/>
      <c r="QD229" s="30"/>
      <c r="QE229" s="30"/>
      <c r="QF229" s="30"/>
      <c r="QG229" s="30"/>
      <c r="QH229" s="30"/>
      <c r="QI229" s="30"/>
      <c r="QJ229" s="30"/>
      <c r="QK229" s="30"/>
      <c r="QL229" s="30"/>
      <c r="QM229" s="30"/>
      <c r="QN229" s="30"/>
      <c r="QO229" s="30"/>
      <c r="QP229" s="30"/>
      <c r="QQ229" s="30"/>
      <c r="QR229" s="30"/>
      <c r="QS229" s="30"/>
      <c r="QT229" s="30"/>
      <c r="QU229" s="30"/>
      <c r="QV229" s="30"/>
      <c r="QW229" s="30"/>
      <c r="QX229" s="30"/>
      <c r="QY229" s="30"/>
      <c r="QZ229" s="30"/>
      <c r="RA229" s="30"/>
      <c r="RB229" s="30"/>
      <c r="RC229" s="30"/>
      <c r="RD229" s="30"/>
      <c r="RE229" s="30"/>
      <c r="RF229" s="30"/>
      <c r="RG229" s="30"/>
      <c r="RH229" s="30"/>
      <c r="RI229" s="30"/>
      <c r="RJ229" s="30"/>
      <c r="RK229" s="30"/>
      <c r="RL229" s="30"/>
      <c r="RM229" s="30"/>
      <c r="RN229" s="30"/>
      <c r="RO229" s="30"/>
      <c r="RP229" s="30"/>
      <c r="RQ229" s="30"/>
      <c r="RR229" s="30"/>
      <c r="RS229" s="30"/>
      <c r="RT229" s="30"/>
      <c r="RU229" s="30"/>
      <c r="RV229" s="30"/>
      <c r="RW229" s="30"/>
      <c r="RX229" s="30"/>
      <c r="RY229" s="30"/>
      <c r="RZ229" s="30"/>
      <c r="SA229" s="30"/>
      <c r="SB229" s="30"/>
      <c r="SC229" s="30"/>
      <c r="SD229" s="30"/>
      <c r="SE229" s="30"/>
      <c r="SF229" s="30"/>
      <c r="SG229" s="30"/>
      <c r="SH229" s="30"/>
      <c r="SI229" s="30"/>
      <c r="SJ229" s="30"/>
      <c r="SK229" s="30"/>
      <c r="SL229" s="30"/>
      <c r="SM229" s="30"/>
      <c r="SN229" s="30"/>
      <c r="SO229" s="30"/>
      <c r="SP229" s="30"/>
      <c r="SQ229" s="30"/>
      <c r="SR229" s="30"/>
      <c r="SS229" s="30"/>
      <c r="ST229" s="30"/>
      <c r="SU229" s="30"/>
      <c r="SV229" s="30"/>
      <c r="SW229" s="30"/>
      <c r="SX229" s="30"/>
      <c r="SY229" s="30"/>
      <c r="SZ229" s="30"/>
      <c r="TA229" s="30"/>
      <c r="TB229" s="30"/>
      <c r="TC229" s="30"/>
      <c r="TD229" s="30"/>
      <c r="TE229" s="30"/>
      <c r="TF229" s="30"/>
      <c r="TG229" s="30"/>
    </row>
    <row r="230" spans="1:527" s="22" customFormat="1" ht="20.25" customHeight="1" x14ac:dyDescent="0.25">
      <c r="A230" s="60" t="s">
        <v>204</v>
      </c>
      <c r="B230" s="97" t="str">
        <f>'дод 8'!A187</f>
        <v>7640</v>
      </c>
      <c r="C230" s="97" t="str">
        <f>'дод 8'!B187</f>
        <v>0470</v>
      </c>
      <c r="D230" s="61" t="s">
        <v>424</v>
      </c>
      <c r="E230" s="103">
        <f t="shared" si="95"/>
        <v>2700000</v>
      </c>
      <c r="F230" s="103">
        <v>700000</v>
      </c>
      <c r="G230" s="103"/>
      <c r="H230" s="103"/>
      <c r="I230" s="103">
        <f>1500000+500000</f>
        <v>2000000</v>
      </c>
      <c r="J230" s="103">
        <f t="shared" si="97"/>
        <v>0</v>
      </c>
      <c r="K230" s="103"/>
      <c r="L230" s="103"/>
      <c r="M230" s="103"/>
      <c r="N230" s="103"/>
      <c r="O230" s="103"/>
      <c r="P230" s="103">
        <f t="shared" si="96"/>
        <v>2700000</v>
      </c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  <c r="TF230" s="23"/>
      <c r="TG230" s="23"/>
    </row>
    <row r="231" spans="1:527" s="22" customFormat="1" ht="30" customHeight="1" x14ac:dyDescent="0.25">
      <c r="A231" s="60" t="s">
        <v>333</v>
      </c>
      <c r="B231" s="97" t="str">
        <f>'дод 8'!A191</f>
        <v>7670</v>
      </c>
      <c r="C231" s="97" t="str">
        <f>'дод 8'!B191</f>
        <v>0490</v>
      </c>
      <c r="D231" s="61" t="str">
        <f>'дод 8'!C191</f>
        <v>Внески до статутного капіталу суб’єктів господарювання, у т. ч. за рахунок:</v>
      </c>
      <c r="E231" s="103">
        <f t="shared" si="95"/>
        <v>0</v>
      </c>
      <c r="F231" s="103"/>
      <c r="G231" s="103"/>
      <c r="H231" s="103"/>
      <c r="I231" s="103"/>
      <c r="J231" s="103">
        <f t="shared" si="97"/>
        <v>46790000</v>
      </c>
      <c r="K231" s="103">
        <v>46790000</v>
      </c>
      <c r="L231" s="103"/>
      <c r="M231" s="103"/>
      <c r="N231" s="103"/>
      <c r="O231" s="103">
        <v>46790000</v>
      </c>
      <c r="P231" s="103">
        <f t="shared" si="96"/>
        <v>46790000</v>
      </c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</row>
    <row r="232" spans="1:527" s="24" customFormat="1" ht="18.75" customHeight="1" x14ac:dyDescent="0.25">
      <c r="A232" s="88"/>
      <c r="B232" s="115"/>
      <c r="C232" s="115"/>
      <c r="D232" s="89" t="s">
        <v>421</v>
      </c>
      <c r="E232" s="105">
        <f t="shared" si="95"/>
        <v>0</v>
      </c>
      <c r="F232" s="105"/>
      <c r="G232" s="105"/>
      <c r="H232" s="105"/>
      <c r="I232" s="105"/>
      <c r="J232" s="105">
        <f t="shared" si="97"/>
        <v>26250000</v>
      </c>
      <c r="K232" s="105">
        <v>26250000</v>
      </c>
      <c r="L232" s="105"/>
      <c r="M232" s="105"/>
      <c r="N232" s="105"/>
      <c r="O232" s="105">
        <v>26250000</v>
      </c>
      <c r="P232" s="105">
        <f t="shared" si="96"/>
        <v>26250000</v>
      </c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  <c r="IU232" s="30"/>
      <c r="IV232" s="30"/>
      <c r="IW232" s="30"/>
      <c r="IX232" s="30"/>
      <c r="IY232" s="30"/>
      <c r="IZ232" s="30"/>
      <c r="JA232" s="30"/>
      <c r="JB232" s="30"/>
      <c r="JC232" s="30"/>
      <c r="JD232" s="30"/>
      <c r="JE232" s="30"/>
      <c r="JF232" s="30"/>
      <c r="JG232" s="30"/>
      <c r="JH232" s="30"/>
      <c r="JI232" s="30"/>
      <c r="JJ232" s="30"/>
      <c r="JK232" s="30"/>
      <c r="JL232" s="30"/>
      <c r="JM232" s="30"/>
      <c r="JN232" s="30"/>
      <c r="JO232" s="30"/>
      <c r="JP232" s="30"/>
      <c r="JQ232" s="30"/>
      <c r="JR232" s="30"/>
      <c r="JS232" s="30"/>
      <c r="JT232" s="30"/>
      <c r="JU232" s="30"/>
      <c r="JV232" s="30"/>
      <c r="JW232" s="30"/>
      <c r="JX232" s="30"/>
      <c r="JY232" s="30"/>
      <c r="JZ232" s="30"/>
      <c r="KA232" s="30"/>
      <c r="KB232" s="30"/>
      <c r="KC232" s="30"/>
      <c r="KD232" s="30"/>
      <c r="KE232" s="30"/>
      <c r="KF232" s="30"/>
      <c r="KG232" s="30"/>
      <c r="KH232" s="30"/>
      <c r="KI232" s="30"/>
      <c r="KJ232" s="30"/>
      <c r="KK232" s="30"/>
      <c r="KL232" s="30"/>
      <c r="KM232" s="30"/>
      <c r="KN232" s="30"/>
      <c r="KO232" s="30"/>
      <c r="KP232" s="30"/>
      <c r="KQ232" s="30"/>
      <c r="KR232" s="30"/>
      <c r="KS232" s="30"/>
      <c r="KT232" s="30"/>
      <c r="KU232" s="30"/>
      <c r="KV232" s="30"/>
      <c r="KW232" s="30"/>
      <c r="KX232" s="30"/>
      <c r="KY232" s="30"/>
      <c r="KZ232" s="30"/>
      <c r="LA232" s="30"/>
      <c r="LB232" s="30"/>
      <c r="LC232" s="30"/>
      <c r="LD232" s="30"/>
      <c r="LE232" s="30"/>
      <c r="LF232" s="30"/>
      <c r="LG232" s="30"/>
      <c r="LH232" s="30"/>
      <c r="LI232" s="30"/>
      <c r="LJ232" s="30"/>
      <c r="LK232" s="30"/>
      <c r="LL232" s="30"/>
      <c r="LM232" s="30"/>
      <c r="LN232" s="30"/>
      <c r="LO232" s="30"/>
      <c r="LP232" s="30"/>
      <c r="LQ232" s="30"/>
      <c r="LR232" s="30"/>
      <c r="LS232" s="30"/>
      <c r="LT232" s="30"/>
      <c r="LU232" s="30"/>
      <c r="LV232" s="30"/>
      <c r="LW232" s="30"/>
      <c r="LX232" s="30"/>
      <c r="LY232" s="30"/>
      <c r="LZ232" s="30"/>
      <c r="MA232" s="30"/>
      <c r="MB232" s="30"/>
      <c r="MC232" s="30"/>
      <c r="MD232" s="30"/>
      <c r="ME232" s="30"/>
      <c r="MF232" s="30"/>
      <c r="MG232" s="30"/>
      <c r="MH232" s="30"/>
      <c r="MI232" s="30"/>
      <c r="MJ232" s="30"/>
      <c r="MK232" s="30"/>
      <c r="ML232" s="30"/>
      <c r="MM232" s="30"/>
      <c r="MN232" s="30"/>
      <c r="MO232" s="30"/>
      <c r="MP232" s="30"/>
      <c r="MQ232" s="30"/>
      <c r="MR232" s="30"/>
      <c r="MS232" s="30"/>
      <c r="MT232" s="30"/>
      <c r="MU232" s="30"/>
      <c r="MV232" s="30"/>
      <c r="MW232" s="30"/>
      <c r="MX232" s="30"/>
      <c r="MY232" s="30"/>
      <c r="MZ232" s="30"/>
      <c r="NA232" s="30"/>
      <c r="NB232" s="30"/>
      <c r="NC232" s="30"/>
      <c r="ND232" s="30"/>
      <c r="NE232" s="30"/>
      <c r="NF232" s="30"/>
      <c r="NG232" s="30"/>
      <c r="NH232" s="30"/>
      <c r="NI232" s="30"/>
      <c r="NJ232" s="30"/>
      <c r="NK232" s="30"/>
      <c r="NL232" s="30"/>
      <c r="NM232" s="30"/>
      <c r="NN232" s="30"/>
      <c r="NO232" s="30"/>
      <c r="NP232" s="30"/>
      <c r="NQ232" s="30"/>
      <c r="NR232" s="30"/>
      <c r="NS232" s="30"/>
      <c r="NT232" s="30"/>
      <c r="NU232" s="30"/>
      <c r="NV232" s="30"/>
      <c r="NW232" s="30"/>
      <c r="NX232" s="30"/>
      <c r="NY232" s="30"/>
      <c r="NZ232" s="30"/>
      <c r="OA232" s="30"/>
      <c r="OB232" s="30"/>
      <c r="OC232" s="30"/>
      <c r="OD232" s="30"/>
      <c r="OE232" s="30"/>
      <c r="OF232" s="30"/>
      <c r="OG232" s="30"/>
      <c r="OH232" s="30"/>
      <c r="OI232" s="30"/>
      <c r="OJ232" s="30"/>
      <c r="OK232" s="30"/>
      <c r="OL232" s="30"/>
      <c r="OM232" s="30"/>
      <c r="ON232" s="30"/>
      <c r="OO232" s="30"/>
      <c r="OP232" s="30"/>
      <c r="OQ232" s="30"/>
      <c r="OR232" s="30"/>
      <c r="OS232" s="30"/>
      <c r="OT232" s="30"/>
      <c r="OU232" s="30"/>
      <c r="OV232" s="30"/>
      <c r="OW232" s="30"/>
      <c r="OX232" s="30"/>
      <c r="OY232" s="30"/>
      <c r="OZ232" s="30"/>
      <c r="PA232" s="30"/>
      <c r="PB232" s="30"/>
      <c r="PC232" s="30"/>
      <c r="PD232" s="30"/>
      <c r="PE232" s="30"/>
      <c r="PF232" s="30"/>
      <c r="PG232" s="30"/>
      <c r="PH232" s="30"/>
      <c r="PI232" s="30"/>
      <c r="PJ232" s="30"/>
      <c r="PK232" s="30"/>
      <c r="PL232" s="30"/>
      <c r="PM232" s="30"/>
      <c r="PN232" s="30"/>
      <c r="PO232" s="30"/>
      <c r="PP232" s="30"/>
      <c r="PQ232" s="30"/>
      <c r="PR232" s="30"/>
      <c r="PS232" s="30"/>
      <c r="PT232" s="30"/>
      <c r="PU232" s="30"/>
      <c r="PV232" s="30"/>
      <c r="PW232" s="30"/>
      <c r="PX232" s="30"/>
      <c r="PY232" s="30"/>
      <c r="PZ232" s="30"/>
      <c r="QA232" s="30"/>
      <c r="QB232" s="30"/>
      <c r="QC232" s="30"/>
      <c r="QD232" s="30"/>
      <c r="QE232" s="30"/>
      <c r="QF232" s="30"/>
      <c r="QG232" s="30"/>
      <c r="QH232" s="30"/>
      <c r="QI232" s="30"/>
      <c r="QJ232" s="30"/>
      <c r="QK232" s="30"/>
      <c r="QL232" s="30"/>
      <c r="QM232" s="30"/>
      <c r="QN232" s="30"/>
      <c r="QO232" s="30"/>
      <c r="QP232" s="30"/>
      <c r="QQ232" s="30"/>
      <c r="QR232" s="30"/>
      <c r="QS232" s="30"/>
      <c r="QT232" s="30"/>
      <c r="QU232" s="30"/>
      <c r="QV232" s="30"/>
      <c r="QW232" s="30"/>
      <c r="QX232" s="30"/>
      <c r="QY232" s="30"/>
      <c r="QZ232" s="30"/>
      <c r="RA232" s="30"/>
      <c r="RB232" s="30"/>
      <c r="RC232" s="30"/>
      <c r="RD232" s="30"/>
      <c r="RE232" s="30"/>
      <c r="RF232" s="30"/>
      <c r="RG232" s="30"/>
      <c r="RH232" s="30"/>
      <c r="RI232" s="30"/>
      <c r="RJ232" s="30"/>
      <c r="RK232" s="30"/>
      <c r="RL232" s="30"/>
      <c r="RM232" s="30"/>
      <c r="RN232" s="30"/>
      <c r="RO232" s="30"/>
      <c r="RP232" s="30"/>
      <c r="RQ232" s="30"/>
      <c r="RR232" s="30"/>
      <c r="RS232" s="30"/>
      <c r="RT232" s="30"/>
      <c r="RU232" s="30"/>
      <c r="RV232" s="30"/>
      <c r="RW232" s="30"/>
      <c r="RX232" s="30"/>
      <c r="RY232" s="30"/>
      <c r="RZ232" s="30"/>
      <c r="SA232" s="30"/>
      <c r="SB232" s="30"/>
      <c r="SC232" s="30"/>
      <c r="SD232" s="30"/>
      <c r="SE232" s="30"/>
      <c r="SF232" s="30"/>
      <c r="SG232" s="30"/>
      <c r="SH232" s="30"/>
      <c r="SI232" s="30"/>
      <c r="SJ232" s="30"/>
      <c r="SK232" s="30"/>
      <c r="SL232" s="30"/>
      <c r="SM232" s="30"/>
      <c r="SN232" s="30"/>
      <c r="SO232" s="30"/>
      <c r="SP232" s="30"/>
      <c r="SQ232" s="30"/>
      <c r="SR232" s="30"/>
      <c r="SS232" s="30"/>
      <c r="ST232" s="30"/>
      <c r="SU232" s="30"/>
      <c r="SV232" s="30"/>
      <c r="SW232" s="30"/>
      <c r="SX232" s="30"/>
      <c r="SY232" s="30"/>
      <c r="SZ232" s="30"/>
      <c r="TA232" s="30"/>
      <c r="TB232" s="30"/>
      <c r="TC232" s="30"/>
      <c r="TD232" s="30"/>
      <c r="TE232" s="30"/>
      <c r="TF232" s="30"/>
      <c r="TG232" s="30"/>
    </row>
    <row r="233" spans="1:527" s="22" customFormat="1" ht="115.5" customHeight="1" x14ac:dyDescent="0.25">
      <c r="A233" s="107" t="s">
        <v>302</v>
      </c>
      <c r="B233" s="42">
        <v>7691</v>
      </c>
      <c r="C233" s="42" t="s">
        <v>84</v>
      </c>
      <c r="D233" s="36" t="str">
        <f>'дод 8'!C194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33" s="103">
        <f t="shared" si="95"/>
        <v>0</v>
      </c>
      <c r="F233" s="103"/>
      <c r="G233" s="103"/>
      <c r="H233" s="103"/>
      <c r="I233" s="103"/>
      <c r="J233" s="103">
        <f t="shared" si="97"/>
        <v>2205686.5699999998</v>
      </c>
      <c r="K233" s="103"/>
      <c r="L233" s="103">
        <f>169598+128488.57</f>
        <v>298086.57</v>
      </c>
      <c r="M233" s="103"/>
      <c r="N233" s="103"/>
      <c r="O233" s="103">
        <f>1900000+7600</f>
        <v>1907600</v>
      </c>
      <c r="P233" s="103">
        <f t="shared" si="96"/>
        <v>2205686.5699999998</v>
      </c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  <c r="PA233" s="23"/>
      <c r="PB233" s="23"/>
      <c r="PC233" s="23"/>
      <c r="PD233" s="23"/>
      <c r="PE233" s="23"/>
      <c r="PF233" s="23"/>
      <c r="PG233" s="23"/>
      <c r="PH233" s="23"/>
      <c r="PI233" s="23"/>
      <c r="PJ233" s="23"/>
      <c r="PK233" s="23"/>
      <c r="PL233" s="23"/>
      <c r="PM233" s="23"/>
      <c r="PN233" s="23"/>
      <c r="PO233" s="23"/>
      <c r="PP233" s="23"/>
      <c r="PQ233" s="23"/>
      <c r="PR233" s="23"/>
      <c r="PS233" s="23"/>
      <c r="PT233" s="23"/>
      <c r="PU233" s="23"/>
      <c r="PV233" s="23"/>
      <c r="PW233" s="23"/>
      <c r="PX233" s="23"/>
      <c r="PY233" s="23"/>
      <c r="PZ233" s="23"/>
      <c r="QA233" s="23"/>
      <c r="QB233" s="23"/>
      <c r="QC233" s="23"/>
      <c r="QD233" s="23"/>
      <c r="QE233" s="23"/>
      <c r="QF233" s="23"/>
      <c r="QG233" s="23"/>
      <c r="QH233" s="23"/>
      <c r="QI233" s="23"/>
      <c r="QJ233" s="23"/>
      <c r="QK233" s="23"/>
      <c r="QL233" s="23"/>
      <c r="QM233" s="23"/>
      <c r="QN233" s="23"/>
      <c r="QO233" s="23"/>
      <c r="QP233" s="23"/>
      <c r="QQ233" s="23"/>
      <c r="QR233" s="23"/>
      <c r="QS233" s="23"/>
      <c r="QT233" s="23"/>
      <c r="QU233" s="23"/>
      <c r="QV233" s="23"/>
      <c r="QW233" s="23"/>
      <c r="QX233" s="23"/>
      <c r="QY233" s="23"/>
      <c r="QZ233" s="23"/>
      <c r="RA233" s="23"/>
      <c r="RB233" s="23"/>
      <c r="RC233" s="23"/>
      <c r="RD233" s="23"/>
      <c r="RE233" s="23"/>
      <c r="RF233" s="23"/>
      <c r="RG233" s="23"/>
      <c r="RH233" s="23"/>
      <c r="RI233" s="23"/>
      <c r="RJ233" s="23"/>
      <c r="RK233" s="23"/>
      <c r="RL233" s="23"/>
      <c r="RM233" s="23"/>
      <c r="RN233" s="23"/>
      <c r="RO233" s="23"/>
      <c r="RP233" s="23"/>
      <c r="RQ233" s="23"/>
      <c r="RR233" s="23"/>
      <c r="RS233" s="23"/>
      <c r="RT233" s="23"/>
      <c r="RU233" s="23"/>
      <c r="RV233" s="23"/>
      <c r="RW233" s="23"/>
      <c r="RX233" s="23"/>
      <c r="RY233" s="23"/>
      <c r="RZ233" s="23"/>
      <c r="SA233" s="23"/>
      <c r="SB233" s="23"/>
      <c r="SC233" s="23"/>
      <c r="SD233" s="23"/>
      <c r="SE233" s="23"/>
      <c r="SF233" s="23"/>
      <c r="SG233" s="23"/>
      <c r="SH233" s="23"/>
      <c r="SI233" s="23"/>
      <c r="SJ233" s="23"/>
      <c r="SK233" s="23"/>
      <c r="SL233" s="23"/>
      <c r="SM233" s="23"/>
      <c r="SN233" s="23"/>
      <c r="SO233" s="23"/>
      <c r="SP233" s="23"/>
      <c r="SQ233" s="23"/>
      <c r="SR233" s="23"/>
      <c r="SS233" s="23"/>
      <c r="ST233" s="23"/>
      <c r="SU233" s="23"/>
      <c r="SV233" s="23"/>
      <c r="SW233" s="23"/>
      <c r="SX233" s="23"/>
      <c r="SY233" s="23"/>
      <c r="SZ233" s="23"/>
      <c r="TA233" s="23"/>
      <c r="TB233" s="23"/>
      <c r="TC233" s="23"/>
      <c r="TD233" s="23"/>
      <c r="TE233" s="23"/>
      <c r="TF233" s="23"/>
      <c r="TG233" s="23"/>
    </row>
    <row r="234" spans="1:527" s="22" customFormat="1" ht="31.5" x14ac:dyDescent="0.25">
      <c r="A234" s="107" t="s">
        <v>382</v>
      </c>
      <c r="B234" s="42" t="str">
        <f>'дод 8'!A202</f>
        <v>8110</v>
      </c>
      <c r="C234" s="42" t="str">
        <f>'дод 8'!B202</f>
        <v>0320</v>
      </c>
      <c r="D234" s="108" t="str">
        <f>'дод 8'!C202</f>
        <v>Заходи із запобігання та ліквідації надзвичайних ситуацій та наслідків стихійного лиха</v>
      </c>
      <c r="E234" s="103">
        <f t="shared" ref="E234" si="104">F234+I234</f>
        <v>677493.87</v>
      </c>
      <c r="F234" s="103">
        <v>677493.87</v>
      </c>
      <c r="G234" s="103"/>
      <c r="H234" s="103"/>
      <c r="I234" s="103"/>
      <c r="J234" s="103">
        <f t="shared" ref="J234" si="105">L234+O234</f>
        <v>0</v>
      </c>
      <c r="K234" s="103"/>
      <c r="L234" s="103"/>
      <c r="M234" s="103"/>
      <c r="N234" s="103"/>
      <c r="O234" s="103"/>
      <c r="P234" s="103">
        <f t="shared" ref="P234" si="106">E234+J234</f>
        <v>677493.87</v>
      </c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</row>
    <row r="235" spans="1:527" s="22" customFormat="1" ht="15.75" hidden="1" customHeight="1" x14ac:dyDescent="0.25">
      <c r="A235" s="107" t="s">
        <v>381</v>
      </c>
      <c r="B235" s="42" t="str">
        <f>'дод 8'!A206</f>
        <v>8230</v>
      </c>
      <c r="C235" s="42" t="str">
        <f>'дод 8'!B206</f>
        <v>0380</v>
      </c>
      <c r="D235" s="108" t="str">
        <f>'дод 8'!C206</f>
        <v>Інші заходи громадського порядку та безпеки</v>
      </c>
      <c r="E235" s="103">
        <f t="shared" ref="E235" si="107">F235+I235</f>
        <v>0</v>
      </c>
      <c r="F235" s="103"/>
      <c r="G235" s="103"/>
      <c r="H235" s="103"/>
      <c r="I235" s="103"/>
      <c r="J235" s="103">
        <f t="shared" ref="J235" si="108">L235+O235</f>
        <v>0</v>
      </c>
      <c r="K235" s="103"/>
      <c r="L235" s="103"/>
      <c r="M235" s="103"/>
      <c r="N235" s="103"/>
      <c r="O235" s="103"/>
      <c r="P235" s="103">
        <f t="shared" ref="P235" si="109">E235+J235</f>
        <v>0</v>
      </c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</row>
    <row r="236" spans="1:527" s="22" customFormat="1" ht="18.75" customHeight="1" x14ac:dyDescent="0.25">
      <c r="A236" s="60" t="s">
        <v>205</v>
      </c>
      <c r="B236" s="97" t="str">
        <f>'дод 8'!A209</f>
        <v>8340</v>
      </c>
      <c r="C236" s="97" t="str">
        <f>'дод 8'!B209</f>
        <v>0540</v>
      </c>
      <c r="D236" s="61" t="str">
        <f>'дод 8'!C209</f>
        <v>Природоохоронні заходи за рахунок цільових фондів</v>
      </c>
      <c r="E236" s="103">
        <f t="shared" si="95"/>
        <v>0</v>
      </c>
      <c r="F236" s="103"/>
      <c r="G236" s="103"/>
      <c r="H236" s="103"/>
      <c r="I236" s="103"/>
      <c r="J236" s="103">
        <f t="shared" si="97"/>
        <v>2928000</v>
      </c>
      <c r="K236" s="103"/>
      <c r="L236" s="103">
        <f>1442000+186000</f>
        <v>1628000</v>
      </c>
      <c r="M236" s="103"/>
      <c r="N236" s="103"/>
      <c r="O236" s="103">
        <v>1300000</v>
      </c>
      <c r="P236" s="103">
        <f t="shared" si="96"/>
        <v>2928000</v>
      </c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</row>
    <row r="237" spans="1:527" s="22" customFormat="1" ht="20.25" customHeight="1" x14ac:dyDescent="0.25">
      <c r="A237" s="60" t="s">
        <v>206</v>
      </c>
      <c r="B237" s="97" t="str">
        <f>'дод 8'!A224</f>
        <v>9770</v>
      </c>
      <c r="C237" s="97" t="str">
        <f>'дод 8'!B224</f>
        <v>0180</v>
      </c>
      <c r="D237" s="61" t="str">
        <f>'дод 8'!C224</f>
        <v>Інші субвенції з місцевого бюджету</v>
      </c>
      <c r="E237" s="103">
        <f t="shared" si="95"/>
        <v>0</v>
      </c>
      <c r="F237" s="103"/>
      <c r="G237" s="103"/>
      <c r="H237" s="103"/>
      <c r="I237" s="103"/>
      <c r="J237" s="103">
        <f t="shared" si="97"/>
        <v>7000000</v>
      </c>
      <c r="K237" s="103">
        <v>7000000</v>
      </c>
      <c r="L237" s="103"/>
      <c r="M237" s="103"/>
      <c r="N237" s="103"/>
      <c r="O237" s="103">
        <v>7000000</v>
      </c>
      <c r="P237" s="103">
        <f t="shared" si="96"/>
        <v>7000000</v>
      </c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  <c r="TF237" s="23"/>
      <c r="TG237" s="23"/>
    </row>
    <row r="238" spans="1:527" s="27" customFormat="1" ht="33.75" customHeight="1" x14ac:dyDescent="0.25">
      <c r="A238" s="114" t="s">
        <v>28</v>
      </c>
      <c r="B238" s="116"/>
      <c r="C238" s="116"/>
      <c r="D238" s="111" t="s">
        <v>35</v>
      </c>
      <c r="E238" s="99">
        <f>E239</f>
        <v>6386200</v>
      </c>
      <c r="F238" s="99">
        <f t="shared" ref="F238:J239" si="110">F239</f>
        <v>6386200</v>
      </c>
      <c r="G238" s="99">
        <f t="shared" si="110"/>
        <v>5019800</v>
      </c>
      <c r="H238" s="99">
        <f t="shared" si="110"/>
        <v>75700</v>
      </c>
      <c r="I238" s="99">
        <f t="shared" si="110"/>
        <v>0</v>
      </c>
      <c r="J238" s="99">
        <f t="shared" si="110"/>
        <v>0</v>
      </c>
      <c r="K238" s="99">
        <f t="shared" ref="K238:K239" si="111">K239</f>
        <v>0</v>
      </c>
      <c r="L238" s="99">
        <f t="shared" ref="L238:L239" si="112">L239</f>
        <v>0</v>
      </c>
      <c r="M238" s="99">
        <f t="shared" ref="M238:M239" si="113">M239</f>
        <v>0</v>
      </c>
      <c r="N238" s="99">
        <f t="shared" ref="N238:N239" si="114">N239</f>
        <v>0</v>
      </c>
      <c r="O238" s="99">
        <f t="shared" ref="O238:P239" si="115">O239</f>
        <v>0</v>
      </c>
      <c r="P238" s="99">
        <f t="shared" si="115"/>
        <v>6386200</v>
      </c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  <c r="FK238" s="32"/>
      <c r="FL238" s="32"/>
      <c r="FM238" s="32"/>
      <c r="FN238" s="32"/>
      <c r="FO238" s="32"/>
      <c r="FP238" s="32"/>
      <c r="FQ238" s="32"/>
      <c r="FR238" s="32"/>
      <c r="FS238" s="32"/>
      <c r="FT238" s="32"/>
      <c r="FU238" s="32"/>
      <c r="FV238" s="32"/>
      <c r="FW238" s="32"/>
      <c r="FX238" s="32"/>
      <c r="FY238" s="32"/>
      <c r="FZ238" s="32"/>
      <c r="GA238" s="32"/>
      <c r="GB238" s="32"/>
      <c r="GC238" s="32"/>
      <c r="GD238" s="32"/>
      <c r="GE238" s="32"/>
      <c r="GF238" s="32"/>
      <c r="GG238" s="32"/>
      <c r="GH238" s="32"/>
      <c r="GI238" s="32"/>
      <c r="GJ238" s="32"/>
      <c r="GK238" s="32"/>
      <c r="GL238" s="32"/>
      <c r="GM238" s="32"/>
      <c r="GN238" s="32"/>
      <c r="GO238" s="32"/>
      <c r="GP238" s="32"/>
      <c r="GQ238" s="32"/>
      <c r="GR238" s="32"/>
      <c r="GS238" s="32"/>
      <c r="GT238" s="32"/>
      <c r="GU238" s="32"/>
      <c r="GV238" s="32"/>
      <c r="GW238" s="32"/>
      <c r="GX238" s="32"/>
      <c r="GY238" s="32"/>
      <c r="GZ238" s="32"/>
      <c r="HA238" s="32"/>
      <c r="HB238" s="32"/>
      <c r="HC238" s="32"/>
      <c r="HD238" s="32"/>
      <c r="HE238" s="32"/>
      <c r="HF238" s="32"/>
      <c r="HG238" s="32"/>
      <c r="HH238" s="32"/>
      <c r="HI238" s="32"/>
      <c r="HJ238" s="32"/>
      <c r="HK238" s="32"/>
      <c r="HL238" s="32"/>
      <c r="HM238" s="32"/>
      <c r="HN238" s="32"/>
      <c r="HO238" s="32"/>
      <c r="HP238" s="32"/>
      <c r="HQ238" s="32"/>
      <c r="HR238" s="32"/>
      <c r="HS238" s="32"/>
      <c r="HT238" s="32"/>
      <c r="HU238" s="32"/>
      <c r="HV238" s="32"/>
      <c r="HW238" s="32"/>
      <c r="HX238" s="32"/>
      <c r="HY238" s="32"/>
      <c r="HZ238" s="32"/>
      <c r="IA238" s="32"/>
      <c r="IB238" s="32"/>
      <c r="IC238" s="32"/>
      <c r="ID238" s="32"/>
      <c r="IE238" s="32"/>
      <c r="IF238" s="32"/>
      <c r="IG238" s="32"/>
      <c r="IH238" s="32"/>
      <c r="II238" s="32"/>
      <c r="IJ238" s="32"/>
      <c r="IK238" s="32"/>
      <c r="IL238" s="32"/>
      <c r="IM238" s="32"/>
      <c r="IN238" s="32"/>
      <c r="IO238" s="32"/>
      <c r="IP238" s="32"/>
      <c r="IQ238" s="32"/>
      <c r="IR238" s="32"/>
      <c r="IS238" s="32"/>
      <c r="IT238" s="32"/>
      <c r="IU238" s="32"/>
      <c r="IV238" s="32"/>
      <c r="IW238" s="32"/>
      <c r="IX238" s="32"/>
      <c r="IY238" s="32"/>
      <c r="IZ238" s="32"/>
      <c r="JA238" s="32"/>
      <c r="JB238" s="32"/>
      <c r="JC238" s="32"/>
      <c r="JD238" s="32"/>
      <c r="JE238" s="32"/>
      <c r="JF238" s="32"/>
      <c r="JG238" s="32"/>
      <c r="JH238" s="32"/>
      <c r="JI238" s="32"/>
      <c r="JJ238" s="32"/>
      <c r="JK238" s="32"/>
      <c r="JL238" s="32"/>
      <c r="JM238" s="32"/>
      <c r="JN238" s="32"/>
      <c r="JO238" s="32"/>
      <c r="JP238" s="32"/>
      <c r="JQ238" s="32"/>
      <c r="JR238" s="32"/>
      <c r="JS238" s="32"/>
      <c r="JT238" s="32"/>
      <c r="JU238" s="32"/>
      <c r="JV238" s="32"/>
      <c r="JW238" s="32"/>
      <c r="JX238" s="32"/>
      <c r="JY238" s="32"/>
      <c r="JZ238" s="32"/>
      <c r="KA238" s="32"/>
      <c r="KB238" s="32"/>
      <c r="KC238" s="32"/>
      <c r="KD238" s="32"/>
      <c r="KE238" s="32"/>
      <c r="KF238" s="32"/>
      <c r="KG238" s="32"/>
      <c r="KH238" s="32"/>
      <c r="KI238" s="32"/>
      <c r="KJ238" s="32"/>
      <c r="KK238" s="32"/>
      <c r="KL238" s="32"/>
      <c r="KM238" s="32"/>
      <c r="KN238" s="32"/>
      <c r="KO238" s="32"/>
      <c r="KP238" s="32"/>
      <c r="KQ238" s="32"/>
      <c r="KR238" s="32"/>
      <c r="KS238" s="32"/>
      <c r="KT238" s="32"/>
      <c r="KU238" s="32"/>
      <c r="KV238" s="32"/>
      <c r="KW238" s="32"/>
      <c r="KX238" s="32"/>
      <c r="KY238" s="32"/>
      <c r="KZ238" s="32"/>
      <c r="LA238" s="32"/>
      <c r="LB238" s="32"/>
      <c r="LC238" s="32"/>
      <c r="LD238" s="32"/>
      <c r="LE238" s="32"/>
      <c r="LF238" s="32"/>
      <c r="LG238" s="32"/>
      <c r="LH238" s="32"/>
      <c r="LI238" s="32"/>
      <c r="LJ238" s="32"/>
      <c r="LK238" s="32"/>
      <c r="LL238" s="32"/>
      <c r="LM238" s="32"/>
      <c r="LN238" s="32"/>
      <c r="LO238" s="32"/>
      <c r="LP238" s="32"/>
      <c r="LQ238" s="32"/>
      <c r="LR238" s="32"/>
      <c r="LS238" s="32"/>
      <c r="LT238" s="32"/>
      <c r="LU238" s="32"/>
      <c r="LV238" s="32"/>
      <c r="LW238" s="32"/>
      <c r="LX238" s="32"/>
      <c r="LY238" s="32"/>
      <c r="LZ238" s="32"/>
      <c r="MA238" s="32"/>
      <c r="MB238" s="32"/>
      <c r="MC238" s="32"/>
      <c r="MD238" s="32"/>
      <c r="ME238" s="32"/>
      <c r="MF238" s="32"/>
      <c r="MG238" s="32"/>
      <c r="MH238" s="32"/>
      <c r="MI238" s="32"/>
      <c r="MJ238" s="32"/>
      <c r="MK238" s="32"/>
      <c r="ML238" s="32"/>
      <c r="MM238" s="32"/>
      <c r="MN238" s="32"/>
      <c r="MO238" s="32"/>
      <c r="MP238" s="32"/>
      <c r="MQ238" s="32"/>
      <c r="MR238" s="32"/>
      <c r="MS238" s="32"/>
      <c r="MT238" s="32"/>
      <c r="MU238" s="32"/>
      <c r="MV238" s="32"/>
      <c r="MW238" s="32"/>
      <c r="MX238" s="32"/>
      <c r="MY238" s="32"/>
      <c r="MZ238" s="32"/>
      <c r="NA238" s="32"/>
      <c r="NB238" s="32"/>
      <c r="NC238" s="32"/>
      <c r="ND238" s="32"/>
      <c r="NE238" s="32"/>
      <c r="NF238" s="32"/>
      <c r="NG238" s="32"/>
      <c r="NH238" s="32"/>
      <c r="NI238" s="32"/>
      <c r="NJ238" s="32"/>
      <c r="NK238" s="32"/>
      <c r="NL238" s="32"/>
      <c r="NM238" s="32"/>
      <c r="NN238" s="32"/>
      <c r="NO238" s="32"/>
      <c r="NP238" s="32"/>
      <c r="NQ238" s="32"/>
      <c r="NR238" s="32"/>
      <c r="NS238" s="32"/>
      <c r="NT238" s="32"/>
      <c r="NU238" s="32"/>
      <c r="NV238" s="32"/>
      <c r="NW238" s="32"/>
      <c r="NX238" s="32"/>
      <c r="NY238" s="32"/>
      <c r="NZ238" s="32"/>
      <c r="OA238" s="32"/>
      <c r="OB238" s="32"/>
      <c r="OC238" s="32"/>
      <c r="OD238" s="32"/>
      <c r="OE238" s="32"/>
      <c r="OF238" s="32"/>
      <c r="OG238" s="32"/>
      <c r="OH238" s="32"/>
      <c r="OI238" s="32"/>
      <c r="OJ238" s="32"/>
      <c r="OK238" s="32"/>
      <c r="OL238" s="32"/>
      <c r="OM238" s="32"/>
      <c r="ON238" s="32"/>
      <c r="OO238" s="32"/>
      <c r="OP238" s="32"/>
      <c r="OQ238" s="32"/>
      <c r="OR238" s="32"/>
      <c r="OS238" s="32"/>
      <c r="OT238" s="32"/>
      <c r="OU238" s="32"/>
      <c r="OV238" s="32"/>
      <c r="OW238" s="32"/>
      <c r="OX238" s="32"/>
      <c r="OY238" s="32"/>
      <c r="OZ238" s="32"/>
      <c r="PA238" s="32"/>
      <c r="PB238" s="32"/>
      <c r="PC238" s="32"/>
      <c r="PD238" s="32"/>
      <c r="PE238" s="32"/>
      <c r="PF238" s="32"/>
      <c r="PG238" s="32"/>
      <c r="PH238" s="32"/>
      <c r="PI238" s="32"/>
      <c r="PJ238" s="32"/>
      <c r="PK238" s="32"/>
      <c r="PL238" s="32"/>
      <c r="PM238" s="32"/>
      <c r="PN238" s="32"/>
      <c r="PO238" s="32"/>
      <c r="PP238" s="32"/>
      <c r="PQ238" s="32"/>
      <c r="PR238" s="32"/>
      <c r="PS238" s="32"/>
      <c r="PT238" s="32"/>
      <c r="PU238" s="32"/>
      <c r="PV238" s="32"/>
      <c r="PW238" s="32"/>
      <c r="PX238" s="32"/>
      <c r="PY238" s="32"/>
      <c r="PZ238" s="32"/>
      <c r="QA238" s="32"/>
      <c r="QB238" s="32"/>
      <c r="QC238" s="32"/>
      <c r="QD238" s="32"/>
      <c r="QE238" s="32"/>
      <c r="QF238" s="32"/>
      <c r="QG238" s="32"/>
      <c r="QH238" s="32"/>
      <c r="QI238" s="32"/>
      <c r="QJ238" s="32"/>
      <c r="QK238" s="32"/>
      <c r="QL238" s="32"/>
      <c r="QM238" s="32"/>
      <c r="QN238" s="32"/>
      <c r="QO238" s="32"/>
      <c r="QP238" s="32"/>
      <c r="QQ238" s="32"/>
      <c r="QR238" s="32"/>
      <c r="QS238" s="32"/>
      <c r="QT238" s="32"/>
      <c r="QU238" s="32"/>
      <c r="QV238" s="32"/>
      <c r="QW238" s="32"/>
      <c r="QX238" s="32"/>
      <c r="QY238" s="32"/>
      <c r="QZ238" s="32"/>
      <c r="RA238" s="32"/>
      <c r="RB238" s="32"/>
      <c r="RC238" s="32"/>
      <c r="RD238" s="32"/>
      <c r="RE238" s="32"/>
      <c r="RF238" s="32"/>
      <c r="RG238" s="32"/>
      <c r="RH238" s="32"/>
      <c r="RI238" s="32"/>
      <c r="RJ238" s="32"/>
      <c r="RK238" s="32"/>
      <c r="RL238" s="32"/>
      <c r="RM238" s="32"/>
      <c r="RN238" s="32"/>
      <c r="RO238" s="32"/>
      <c r="RP238" s="32"/>
      <c r="RQ238" s="32"/>
      <c r="RR238" s="32"/>
      <c r="RS238" s="32"/>
      <c r="RT238" s="32"/>
      <c r="RU238" s="32"/>
      <c r="RV238" s="32"/>
      <c r="RW238" s="32"/>
      <c r="RX238" s="32"/>
      <c r="RY238" s="32"/>
      <c r="RZ238" s="32"/>
      <c r="SA238" s="32"/>
      <c r="SB238" s="32"/>
      <c r="SC238" s="32"/>
      <c r="SD238" s="32"/>
      <c r="SE238" s="32"/>
      <c r="SF238" s="32"/>
      <c r="SG238" s="32"/>
      <c r="SH238" s="32"/>
      <c r="SI238" s="32"/>
      <c r="SJ238" s="32"/>
      <c r="SK238" s="32"/>
      <c r="SL238" s="32"/>
      <c r="SM238" s="32"/>
      <c r="SN238" s="32"/>
      <c r="SO238" s="32"/>
      <c r="SP238" s="32"/>
      <c r="SQ238" s="32"/>
      <c r="SR238" s="32"/>
      <c r="SS238" s="32"/>
      <c r="ST238" s="32"/>
      <c r="SU238" s="32"/>
      <c r="SV238" s="32"/>
      <c r="SW238" s="32"/>
      <c r="SX238" s="32"/>
      <c r="SY238" s="32"/>
      <c r="SZ238" s="32"/>
      <c r="TA238" s="32"/>
      <c r="TB238" s="32"/>
      <c r="TC238" s="32"/>
      <c r="TD238" s="32"/>
      <c r="TE238" s="32"/>
      <c r="TF238" s="32"/>
      <c r="TG238" s="32"/>
    </row>
    <row r="239" spans="1:527" s="34" customFormat="1" ht="36.75" customHeight="1" x14ac:dyDescent="0.25">
      <c r="A239" s="100" t="s">
        <v>120</v>
      </c>
      <c r="B239" s="113"/>
      <c r="C239" s="113"/>
      <c r="D239" s="81" t="s">
        <v>35</v>
      </c>
      <c r="E239" s="102">
        <f>E240</f>
        <v>6386200</v>
      </c>
      <c r="F239" s="102">
        <f t="shared" si="110"/>
        <v>6386200</v>
      </c>
      <c r="G239" s="102">
        <f t="shared" si="110"/>
        <v>5019800</v>
      </c>
      <c r="H239" s="102">
        <f t="shared" si="110"/>
        <v>75700</v>
      </c>
      <c r="I239" s="102">
        <f t="shared" si="110"/>
        <v>0</v>
      </c>
      <c r="J239" s="102">
        <f t="shared" si="110"/>
        <v>0</v>
      </c>
      <c r="K239" s="102">
        <f t="shared" si="111"/>
        <v>0</v>
      </c>
      <c r="L239" s="102">
        <f t="shared" si="112"/>
        <v>0</v>
      </c>
      <c r="M239" s="102">
        <f t="shared" si="113"/>
        <v>0</v>
      </c>
      <c r="N239" s="102">
        <f t="shared" si="114"/>
        <v>0</v>
      </c>
      <c r="O239" s="102">
        <f t="shared" si="115"/>
        <v>0</v>
      </c>
      <c r="P239" s="102">
        <f t="shared" si="115"/>
        <v>6386200</v>
      </c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  <c r="HP239" s="33"/>
      <c r="HQ239" s="33"/>
      <c r="HR239" s="33"/>
      <c r="HS239" s="33"/>
      <c r="HT239" s="33"/>
      <c r="HU239" s="33"/>
      <c r="HV239" s="33"/>
      <c r="HW239" s="33"/>
      <c r="HX239" s="33"/>
      <c r="HY239" s="33"/>
      <c r="HZ239" s="33"/>
      <c r="IA239" s="33"/>
      <c r="IB239" s="33"/>
      <c r="IC239" s="33"/>
      <c r="ID239" s="33"/>
      <c r="IE239" s="33"/>
      <c r="IF239" s="33"/>
      <c r="IG239" s="33"/>
      <c r="IH239" s="33"/>
      <c r="II239" s="33"/>
      <c r="IJ239" s="33"/>
      <c r="IK239" s="33"/>
      <c r="IL239" s="33"/>
      <c r="IM239" s="33"/>
      <c r="IN239" s="33"/>
      <c r="IO239" s="33"/>
      <c r="IP239" s="33"/>
      <c r="IQ239" s="33"/>
      <c r="IR239" s="33"/>
      <c r="IS239" s="33"/>
      <c r="IT239" s="33"/>
      <c r="IU239" s="33"/>
      <c r="IV239" s="33"/>
      <c r="IW239" s="33"/>
      <c r="IX239" s="33"/>
      <c r="IY239" s="33"/>
      <c r="IZ239" s="33"/>
      <c r="JA239" s="33"/>
      <c r="JB239" s="33"/>
      <c r="JC239" s="33"/>
      <c r="JD239" s="33"/>
      <c r="JE239" s="33"/>
      <c r="JF239" s="33"/>
      <c r="JG239" s="33"/>
      <c r="JH239" s="33"/>
      <c r="JI239" s="33"/>
      <c r="JJ239" s="33"/>
      <c r="JK239" s="33"/>
      <c r="JL239" s="33"/>
      <c r="JM239" s="33"/>
      <c r="JN239" s="33"/>
      <c r="JO239" s="33"/>
      <c r="JP239" s="33"/>
      <c r="JQ239" s="33"/>
      <c r="JR239" s="33"/>
      <c r="JS239" s="33"/>
      <c r="JT239" s="33"/>
      <c r="JU239" s="33"/>
      <c r="JV239" s="33"/>
      <c r="JW239" s="33"/>
      <c r="JX239" s="33"/>
      <c r="JY239" s="33"/>
      <c r="JZ239" s="33"/>
      <c r="KA239" s="33"/>
      <c r="KB239" s="33"/>
      <c r="KC239" s="33"/>
      <c r="KD239" s="33"/>
      <c r="KE239" s="33"/>
      <c r="KF239" s="33"/>
      <c r="KG239" s="33"/>
      <c r="KH239" s="33"/>
      <c r="KI239" s="33"/>
      <c r="KJ239" s="33"/>
      <c r="KK239" s="33"/>
      <c r="KL239" s="33"/>
      <c r="KM239" s="33"/>
      <c r="KN239" s="33"/>
      <c r="KO239" s="33"/>
      <c r="KP239" s="33"/>
      <c r="KQ239" s="33"/>
      <c r="KR239" s="33"/>
      <c r="KS239" s="33"/>
      <c r="KT239" s="33"/>
      <c r="KU239" s="33"/>
      <c r="KV239" s="33"/>
      <c r="KW239" s="33"/>
      <c r="KX239" s="33"/>
      <c r="KY239" s="33"/>
      <c r="KZ239" s="33"/>
      <c r="LA239" s="33"/>
      <c r="LB239" s="33"/>
      <c r="LC239" s="33"/>
      <c r="LD239" s="33"/>
      <c r="LE239" s="33"/>
      <c r="LF239" s="33"/>
      <c r="LG239" s="33"/>
      <c r="LH239" s="33"/>
      <c r="LI239" s="33"/>
      <c r="LJ239" s="33"/>
      <c r="LK239" s="33"/>
      <c r="LL239" s="33"/>
      <c r="LM239" s="33"/>
      <c r="LN239" s="33"/>
      <c r="LO239" s="33"/>
      <c r="LP239" s="33"/>
      <c r="LQ239" s="33"/>
      <c r="LR239" s="33"/>
      <c r="LS239" s="33"/>
      <c r="LT239" s="33"/>
      <c r="LU239" s="33"/>
      <c r="LV239" s="33"/>
      <c r="LW239" s="33"/>
      <c r="LX239" s="33"/>
      <c r="LY239" s="33"/>
      <c r="LZ239" s="33"/>
      <c r="MA239" s="33"/>
      <c r="MB239" s="33"/>
      <c r="MC239" s="33"/>
      <c r="MD239" s="33"/>
      <c r="ME239" s="33"/>
      <c r="MF239" s="33"/>
      <c r="MG239" s="33"/>
      <c r="MH239" s="33"/>
      <c r="MI239" s="33"/>
      <c r="MJ239" s="33"/>
      <c r="MK239" s="33"/>
      <c r="ML239" s="33"/>
      <c r="MM239" s="33"/>
      <c r="MN239" s="33"/>
      <c r="MO239" s="33"/>
      <c r="MP239" s="33"/>
      <c r="MQ239" s="33"/>
      <c r="MR239" s="33"/>
      <c r="MS239" s="33"/>
      <c r="MT239" s="33"/>
      <c r="MU239" s="33"/>
      <c r="MV239" s="33"/>
      <c r="MW239" s="33"/>
      <c r="MX239" s="33"/>
      <c r="MY239" s="33"/>
      <c r="MZ239" s="33"/>
      <c r="NA239" s="33"/>
      <c r="NB239" s="33"/>
      <c r="NC239" s="33"/>
      <c r="ND239" s="33"/>
      <c r="NE239" s="33"/>
      <c r="NF239" s="33"/>
      <c r="NG239" s="33"/>
      <c r="NH239" s="33"/>
      <c r="NI239" s="33"/>
      <c r="NJ239" s="33"/>
      <c r="NK239" s="33"/>
      <c r="NL239" s="33"/>
      <c r="NM239" s="33"/>
      <c r="NN239" s="33"/>
      <c r="NO239" s="33"/>
      <c r="NP239" s="33"/>
      <c r="NQ239" s="33"/>
      <c r="NR239" s="33"/>
      <c r="NS239" s="33"/>
      <c r="NT239" s="33"/>
      <c r="NU239" s="33"/>
      <c r="NV239" s="33"/>
      <c r="NW239" s="33"/>
      <c r="NX239" s="33"/>
      <c r="NY239" s="33"/>
      <c r="NZ239" s="33"/>
      <c r="OA239" s="33"/>
      <c r="OB239" s="33"/>
      <c r="OC239" s="33"/>
      <c r="OD239" s="33"/>
      <c r="OE239" s="33"/>
      <c r="OF239" s="33"/>
      <c r="OG239" s="33"/>
      <c r="OH239" s="33"/>
      <c r="OI239" s="33"/>
      <c r="OJ239" s="33"/>
      <c r="OK239" s="33"/>
      <c r="OL239" s="33"/>
      <c r="OM239" s="33"/>
      <c r="ON239" s="33"/>
      <c r="OO239" s="33"/>
      <c r="OP239" s="33"/>
      <c r="OQ239" s="33"/>
      <c r="OR239" s="33"/>
      <c r="OS239" s="33"/>
      <c r="OT239" s="33"/>
      <c r="OU239" s="33"/>
      <c r="OV239" s="33"/>
      <c r="OW239" s="33"/>
      <c r="OX239" s="33"/>
      <c r="OY239" s="33"/>
      <c r="OZ239" s="33"/>
      <c r="PA239" s="33"/>
      <c r="PB239" s="33"/>
      <c r="PC239" s="33"/>
      <c r="PD239" s="33"/>
      <c r="PE239" s="33"/>
      <c r="PF239" s="33"/>
      <c r="PG239" s="33"/>
      <c r="PH239" s="33"/>
      <c r="PI239" s="33"/>
      <c r="PJ239" s="33"/>
      <c r="PK239" s="33"/>
      <c r="PL239" s="33"/>
      <c r="PM239" s="33"/>
      <c r="PN239" s="33"/>
      <c r="PO239" s="33"/>
      <c r="PP239" s="33"/>
      <c r="PQ239" s="33"/>
      <c r="PR239" s="33"/>
      <c r="PS239" s="33"/>
      <c r="PT239" s="33"/>
      <c r="PU239" s="33"/>
      <c r="PV239" s="33"/>
      <c r="PW239" s="33"/>
      <c r="PX239" s="33"/>
      <c r="PY239" s="33"/>
      <c r="PZ239" s="33"/>
      <c r="QA239" s="33"/>
      <c r="QB239" s="33"/>
      <c r="QC239" s="33"/>
      <c r="QD239" s="33"/>
      <c r="QE239" s="33"/>
      <c r="QF239" s="33"/>
      <c r="QG239" s="33"/>
      <c r="QH239" s="33"/>
      <c r="QI239" s="33"/>
      <c r="QJ239" s="33"/>
      <c r="QK239" s="33"/>
      <c r="QL239" s="33"/>
      <c r="QM239" s="33"/>
      <c r="QN239" s="33"/>
      <c r="QO239" s="33"/>
      <c r="QP239" s="33"/>
      <c r="QQ239" s="33"/>
      <c r="QR239" s="33"/>
      <c r="QS239" s="33"/>
      <c r="QT239" s="33"/>
      <c r="QU239" s="33"/>
      <c r="QV239" s="33"/>
      <c r="QW239" s="33"/>
      <c r="QX239" s="33"/>
      <c r="QY239" s="33"/>
      <c r="QZ239" s="33"/>
      <c r="RA239" s="33"/>
      <c r="RB239" s="33"/>
      <c r="RC239" s="33"/>
      <c r="RD239" s="33"/>
      <c r="RE239" s="33"/>
      <c r="RF239" s="33"/>
      <c r="RG239" s="33"/>
      <c r="RH239" s="33"/>
      <c r="RI239" s="33"/>
      <c r="RJ239" s="33"/>
      <c r="RK239" s="33"/>
      <c r="RL239" s="33"/>
      <c r="RM239" s="33"/>
      <c r="RN239" s="33"/>
      <c r="RO239" s="33"/>
      <c r="RP239" s="33"/>
      <c r="RQ239" s="33"/>
      <c r="RR239" s="33"/>
      <c r="RS239" s="33"/>
      <c r="RT239" s="33"/>
      <c r="RU239" s="33"/>
      <c r="RV239" s="33"/>
      <c r="RW239" s="33"/>
      <c r="RX239" s="33"/>
      <c r="RY239" s="33"/>
      <c r="RZ239" s="33"/>
      <c r="SA239" s="33"/>
      <c r="SB239" s="33"/>
      <c r="SC239" s="33"/>
      <c r="SD239" s="33"/>
      <c r="SE239" s="33"/>
      <c r="SF239" s="33"/>
      <c r="SG239" s="33"/>
      <c r="SH239" s="33"/>
      <c r="SI239" s="33"/>
      <c r="SJ239" s="33"/>
      <c r="SK239" s="33"/>
      <c r="SL239" s="33"/>
      <c r="SM239" s="33"/>
      <c r="SN239" s="33"/>
      <c r="SO239" s="33"/>
      <c r="SP239" s="33"/>
      <c r="SQ239" s="33"/>
      <c r="SR239" s="33"/>
      <c r="SS239" s="33"/>
      <c r="ST239" s="33"/>
      <c r="SU239" s="33"/>
      <c r="SV239" s="33"/>
      <c r="SW239" s="33"/>
      <c r="SX239" s="33"/>
      <c r="SY239" s="33"/>
      <c r="SZ239" s="33"/>
      <c r="TA239" s="33"/>
      <c r="TB239" s="33"/>
      <c r="TC239" s="33"/>
      <c r="TD239" s="33"/>
      <c r="TE239" s="33"/>
      <c r="TF239" s="33"/>
      <c r="TG239" s="33"/>
    </row>
    <row r="240" spans="1:527" s="22" customFormat="1" ht="39.75" customHeight="1" x14ac:dyDescent="0.25">
      <c r="A240" s="60" t="s">
        <v>0</v>
      </c>
      <c r="B240" s="97" t="str">
        <f>'дод 8'!A19</f>
        <v>0160</v>
      </c>
      <c r="C240" s="97" t="str">
        <f>'дод 8'!B19</f>
        <v>0111</v>
      </c>
      <c r="D240" s="36" t="s">
        <v>504</v>
      </c>
      <c r="E240" s="103">
        <f>F240+I240</f>
        <v>6386200</v>
      </c>
      <c r="F240" s="103">
        <f>6378200+8000</f>
        <v>6386200</v>
      </c>
      <c r="G240" s="103">
        <v>5019800</v>
      </c>
      <c r="H240" s="103">
        <v>75700</v>
      </c>
      <c r="I240" s="103"/>
      <c r="J240" s="103">
        <f>L240+O240</f>
        <v>0</v>
      </c>
      <c r="K240" s="103">
        <f>8000-8000</f>
        <v>0</v>
      </c>
      <c r="L240" s="103"/>
      <c r="M240" s="103"/>
      <c r="N240" s="103"/>
      <c r="O240" s="103">
        <f>8000-8000</f>
        <v>0</v>
      </c>
      <c r="P240" s="103">
        <f>E240+J240</f>
        <v>6386200</v>
      </c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  <c r="TF240" s="23"/>
      <c r="TG240" s="23"/>
    </row>
    <row r="241" spans="1:527" s="27" customFormat="1" ht="34.5" customHeight="1" x14ac:dyDescent="0.25">
      <c r="A241" s="114" t="s">
        <v>29</v>
      </c>
      <c r="B241" s="116"/>
      <c r="C241" s="116"/>
      <c r="D241" s="111" t="s">
        <v>34</v>
      </c>
      <c r="E241" s="99">
        <f>E242</f>
        <v>5477027</v>
      </c>
      <c r="F241" s="99">
        <f t="shared" ref="F241:J241" si="116">F242</f>
        <v>5477027</v>
      </c>
      <c r="G241" s="99">
        <f t="shared" si="116"/>
        <v>2958200</v>
      </c>
      <c r="H241" s="99">
        <f t="shared" si="116"/>
        <v>0</v>
      </c>
      <c r="I241" s="99">
        <f t="shared" si="116"/>
        <v>0</v>
      </c>
      <c r="J241" s="99">
        <f t="shared" si="116"/>
        <v>249032017.65000001</v>
      </c>
      <c r="K241" s="99">
        <f t="shared" ref="K241" si="117">K242</f>
        <v>235586735</v>
      </c>
      <c r="L241" s="99">
        <f t="shared" ref="L241" si="118">L242</f>
        <v>1900000</v>
      </c>
      <c r="M241" s="99">
        <f t="shared" ref="M241" si="119">M242</f>
        <v>1332000</v>
      </c>
      <c r="N241" s="99">
        <f t="shared" ref="N241" si="120">N242</f>
        <v>71500</v>
      </c>
      <c r="O241" s="99">
        <f t="shared" ref="O241:P241" si="121">O242</f>
        <v>247132017.65000001</v>
      </c>
      <c r="P241" s="99">
        <f t="shared" si="121"/>
        <v>254509044.65000001</v>
      </c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/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32"/>
      <c r="EX241" s="32"/>
      <c r="EY241" s="32"/>
      <c r="EZ241" s="32"/>
      <c r="FA241" s="32"/>
      <c r="FB241" s="32"/>
      <c r="FC241" s="32"/>
      <c r="FD241" s="32"/>
      <c r="FE241" s="32"/>
      <c r="FF241" s="32"/>
      <c r="FG241" s="32"/>
      <c r="FH241" s="32"/>
      <c r="FI241" s="32"/>
      <c r="FJ241" s="32"/>
      <c r="FK241" s="32"/>
      <c r="FL241" s="32"/>
      <c r="FM241" s="32"/>
      <c r="FN241" s="32"/>
      <c r="FO241" s="32"/>
      <c r="FP241" s="32"/>
      <c r="FQ241" s="32"/>
      <c r="FR241" s="32"/>
      <c r="FS241" s="32"/>
      <c r="FT241" s="32"/>
      <c r="FU241" s="32"/>
      <c r="FV241" s="32"/>
      <c r="FW241" s="32"/>
      <c r="FX241" s="32"/>
      <c r="FY241" s="32"/>
      <c r="FZ241" s="32"/>
      <c r="GA241" s="32"/>
      <c r="GB241" s="32"/>
      <c r="GC241" s="32"/>
      <c r="GD241" s="32"/>
      <c r="GE241" s="32"/>
      <c r="GF241" s="32"/>
      <c r="GG241" s="32"/>
      <c r="GH241" s="32"/>
      <c r="GI241" s="32"/>
      <c r="GJ241" s="32"/>
      <c r="GK241" s="32"/>
      <c r="GL241" s="32"/>
      <c r="GM241" s="32"/>
      <c r="GN241" s="32"/>
      <c r="GO241" s="32"/>
      <c r="GP241" s="32"/>
      <c r="GQ241" s="32"/>
      <c r="GR241" s="32"/>
      <c r="GS241" s="32"/>
      <c r="GT241" s="32"/>
      <c r="GU241" s="32"/>
      <c r="GV241" s="32"/>
      <c r="GW241" s="32"/>
      <c r="GX241" s="32"/>
      <c r="GY241" s="32"/>
      <c r="GZ241" s="32"/>
      <c r="HA241" s="32"/>
      <c r="HB241" s="32"/>
      <c r="HC241" s="32"/>
      <c r="HD241" s="32"/>
      <c r="HE241" s="32"/>
      <c r="HF241" s="32"/>
      <c r="HG241" s="32"/>
      <c r="HH241" s="32"/>
      <c r="HI241" s="32"/>
      <c r="HJ241" s="32"/>
      <c r="HK241" s="32"/>
      <c r="HL241" s="32"/>
      <c r="HM241" s="32"/>
      <c r="HN241" s="32"/>
      <c r="HO241" s="32"/>
      <c r="HP241" s="32"/>
      <c r="HQ241" s="32"/>
      <c r="HR241" s="32"/>
      <c r="HS241" s="32"/>
      <c r="HT241" s="32"/>
      <c r="HU241" s="32"/>
      <c r="HV241" s="32"/>
      <c r="HW241" s="32"/>
      <c r="HX241" s="32"/>
      <c r="HY241" s="32"/>
      <c r="HZ241" s="32"/>
      <c r="IA241" s="32"/>
      <c r="IB241" s="32"/>
      <c r="IC241" s="32"/>
      <c r="ID241" s="32"/>
      <c r="IE241" s="32"/>
      <c r="IF241" s="32"/>
      <c r="IG241" s="32"/>
      <c r="IH241" s="32"/>
      <c r="II241" s="32"/>
      <c r="IJ241" s="32"/>
      <c r="IK241" s="32"/>
      <c r="IL241" s="32"/>
      <c r="IM241" s="32"/>
      <c r="IN241" s="32"/>
      <c r="IO241" s="32"/>
      <c r="IP241" s="32"/>
      <c r="IQ241" s="32"/>
      <c r="IR241" s="32"/>
      <c r="IS241" s="32"/>
      <c r="IT241" s="32"/>
      <c r="IU241" s="32"/>
      <c r="IV241" s="32"/>
      <c r="IW241" s="32"/>
      <c r="IX241" s="32"/>
      <c r="IY241" s="32"/>
      <c r="IZ241" s="32"/>
      <c r="JA241" s="32"/>
      <c r="JB241" s="32"/>
      <c r="JC241" s="32"/>
      <c r="JD241" s="32"/>
      <c r="JE241" s="32"/>
      <c r="JF241" s="32"/>
      <c r="JG241" s="32"/>
      <c r="JH241" s="32"/>
      <c r="JI241" s="32"/>
      <c r="JJ241" s="32"/>
      <c r="JK241" s="32"/>
      <c r="JL241" s="32"/>
      <c r="JM241" s="32"/>
      <c r="JN241" s="32"/>
      <c r="JO241" s="32"/>
      <c r="JP241" s="32"/>
      <c r="JQ241" s="32"/>
      <c r="JR241" s="32"/>
      <c r="JS241" s="32"/>
      <c r="JT241" s="32"/>
      <c r="JU241" s="32"/>
      <c r="JV241" s="32"/>
      <c r="JW241" s="32"/>
      <c r="JX241" s="32"/>
      <c r="JY241" s="32"/>
      <c r="JZ241" s="32"/>
      <c r="KA241" s="32"/>
      <c r="KB241" s="32"/>
      <c r="KC241" s="32"/>
      <c r="KD241" s="32"/>
      <c r="KE241" s="32"/>
      <c r="KF241" s="32"/>
      <c r="KG241" s="32"/>
      <c r="KH241" s="32"/>
      <c r="KI241" s="32"/>
      <c r="KJ241" s="32"/>
      <c r="KK241" s="32"/>
      <c r="KL241" s="32"/>
      <c r="KM241" s="32"/>
      <c r="KN241" s="32"/>
      <c r="KO241" s="32"/>
      <c r="KP241" s="32"/>
      <c r="KQ241" s="32"/>
      <c r="KR241" s="32"/>
      <c r="KS241" s="32"/>
      <c r="KT241" s="32"/>
      <c r="KU241" s="32"/>
      <c r="KV241" s="32"/>
      <c r="KW241" s="32"/>
      <c r="KX241" s="32"/>
      <c r="KY241" s="32"/>
      <c r="KZ241" s="32"/>
      <c r="LA241" s="32"/>
      <c r="LB241" s="32"/>
      <c r="LC241" s="32"/>
      <c r="LD241" s="32"/>
      <c r="LE241" s="32"/>
      <c r="LF241" s="32"/>
      <c r="LG241" s="32"/>
      <c r="LH241" s="32"/>
      <c r="LI241" s="32"/>
      <c r="LJ241" s="32"/>
      <c r="LK241" s="32"/>
      <c r="LL241" s="32"/>
      <c r="LM241" s="32"/>
      <c r="LN241" s="32"/>
      <c r="LO241" s="32"/>
      <c r="LP241" s="32"/>
      <c r="LQ241" s="32"/>
      <c r="LR241" s="32"/>
      <c r="LS241" s="32"/>
      <c r="LT241" s="32"/>
      <c r="LU241" s="32"/>
      <c r="LV241" s="32"/>
      <c r="LW241" s="32"/>
      <c r="LX241" s="32"/>
      <c r="LY241" s="32"/>
      <c r="LZ241" s="32"/>
      <c r="MA241" s="32"/>
      <c r="MB241" s="32"/>
      <c r="MC241" s="32"/>
      <c r="MD241" s="32"/>
      <c r="ME241" s="32"/>
      <c r="MF241" s="32"/>
      <c r="MG241" s="32"/>
      <c r="MH241" s="32"/>
      <c r="MI241" s="32"/>
      <c r="MJ241" s="32"/>
      <c r="MK241" s="32"/>
      <c r="ML241" s="32"/>
      <c r="MM241" s="32"/>
      <c r="MN241" s="32"/>
      <c r="MO241" s="32"/>
      <c r="MP241" s="32"/>
      <c r="MQ241" s="32"/>
      <c r="MR241" s="32"/>
      <c r="MS241" s="32"/>
      <c r="MT241" s="32"/>
      <c r="MU241" s="32"/>
      <c r="MV241" s="32"/>
      <c r="MW241" s="32"/>
      <c r="MX241" s="32"/>
      <c r="MY241" s="32"/>
      <c r="MZ241" s="32"/>
      <c r="NA241" s="32"/>
      <c r="NB241" s="32"/>
      <c r="NC241" s="32"/>
      <c r="ND241" s="32"/>
      <c r="NE241" s="32"/>
      <c r="NF241" s="32"/>
      <c r="NG241" s="32"/>
      <c r="NH241" s="32"/>
      <c r="NI241" s="32"/>
      <c r="NJ241" s="32"/>
      <c r="NK241" s="32"/>
      <c r="NL241" s="32"/>
      <c r="NM241" s="32"/>
      <c r="NN241" s="32"/>
      <c r="NO241" s="32"/>
      <c r="NP241" s="32"/>
      <c r="NQ241" s="32"/>
      <c r="NR241" s="32"/>
      <c r="NS241" s="32"/>
      <c r="NT241" s="32"/>
      <c r="NU241" s="32"/>
      <c r="NV241" s="32"/>
      <c r="NW241" s="32"/>
      <c r="NX241" s="32"/>
      <c r="NY241" s="32"/>
      <c r="NZ241" s="32"/>
      <c r="OA241" s="32"/>
      <c r="OB241" s="32"/>
      <c r="OC241" s="32"/>
      <c r="OD241" s="32"/>
      <c r="OE241" s="32"/>
      <c r="OF241" s="32"/>
      <c r="OG241" s="32"/>
      <c r="OH241" s="32"/>
      <c r="OI241" s="32"/>
      <c r="OJ241" s="32"/>
      <c r="OK241" s="32"/>
      <c r="OL241" s="32"/>
      <c r="OM241" s="32"/>
      <c r="ON241" s="32"/>
      <c r="OO241" s="32"/>
      <c r="OP241" s="32"/>
      <c r="OQ241" s="32"/>
      <c r="OR241" s="32"/>
      <c r="OS241" s="32"/>
      <c r="OT241" s="32"/>
      <c r="OU241" s="32"/>
      <c r="OV241" s="32"/>
      <c r="OW241" s="32"/>
      <c r="OX241" s="32"/>
      <c r="OY241" s="32"/>
      <c r="OZ241" s="32"/>
      <c r="PA241" s="32"/>
      <c r="PB241" s="32"/>
      <c r="PC241" s="32"/>
      <c r="PD241" s="32"/>
      <c r="PE241" s="32"/>
      <c r="PF241" s="32"/>
      <c r="PG241" s="32"/>
      <c r="PH241" s="32"/>
      <c r="PI241" s="32"/>
      <c r="PJ241" s="32"/>
      <c r="PK241" s="32"/>
      <c r="PL241" s="32"/>
      <c r="PM241" s="32"/>
      <c r="PN241" s="32"/>
      <c r="PO241" s="32"/>
      <c r="PP241" s="32"/>
      <c r="PQ241" s="32"/>
      <c r="PR241" s="32"/>
      <c r="PS241" s="32"/>
      <c r="PT241" s="32"/>
      <c r="PU241" s="32"/>
      <c r="PV241" s="32"/>
      <c r="PW241" s="32"/>
      <c r="PX241" s="32"/>
      <c r="PY241" s="32"/>
      <c r="PZ241" s="32"/>
      <c r="QA241" s="32"/>
      <c r="QB241" s="32"/>
      <c r="QC241" s="32"/>
      <c r="QD241" s="32"/>
      <c r="QE241" s="32"/>
      <c r="QF241" s="32"/>
      <c r="QG241" s="32"/>
      <c r="QH241" s="32"/>
      <c r="QI241" s="32"/>
      <c r="QJ241" s="32"/>
      <c r="QK241" s="32"/>
      <c r="QL241" s="32"/>
      <c r="QM241" s="32"/>
      <c r="QN241" s="32"/>
      <c r="QO241" s="32"/>
      <c r="QP241" s="32"/>
      <c r="QQ241" s="32"/>
      <c r="QR241" s="32"/>
      <c r="QS241" s="32"/>
      <c r="QT241" s="32"/>
      <c r="QU241" s="32"/>
      <c r="QV241" s="32"/>
      <c r="QW241" s="32"/>
      <c r="QX241" s="32"/>
      <c r="QY241" s="32"/>
      <c r="QZ241" s="32"/>
      <c r="RA241" s="32"/>
      <c r="RB241" s="32"/>
      <c r="RC241" s="32"/>
      <c r="RD241" s="32"/>
      <c r="RE241" s="32"/>
      <c r="RF241" s="32"/>
      <c r="RG241" s="32"/>
      <c r="RH241" s="32"/>
      <c r="RI241" s="32"/>
      <c r="RJ241" s="32"/>
      <c r="RK241" s="32"/>
      <c r="RL241" s="32"/>
      <c r="RM241" s="32"/>
      <c r="RN241" s="32"/>
      <c r="RO241" s="32"/>
      <c r="RP241" s="32"/>
      <c r="RQ241" s="32"/>
      <c r="RR241" s="32"/>
      <c r="RS241" s="32"/>
      <c r="RT241" s="32"/>
      <c r="RU241" s="32"/>
      <c r="RV241" s="32"/>
      <c r="RW241" s="32"/>
      <c r="RX241" s="32"/>
      <c r="RY241" s="32"/>
      <c r="RZ241" s="32"/>
      <c r="SA241" s="32"/>
      <c r="SB241" s="32"/>
      <c r="SC241" s="32"/>
      <c r="SD241" s="32"/>
      <c r="SE241" s="32"/>
      <c r="SF241" s="32"/>
      <c r="SG241" s="32"/>
      <c r="SH241" s="32"/>
      <c r="SI241" s="32"/>
      <c r="SJ241" s="32"/>
      <c r="SK241" s="32"/>
      <c r="SL241" s="32"/>
      <c r="SM241" s="32"/>
      <c r="SN241" s="32"/>
      <c r="SO241" s="32"/>
      <c r="SP241" s="32"/>
      <c r="SQ241" s="32"/>
      <c r="SR241" s="32"/>
      <c r="SS241" s="32"/>
      <c r="ST241" s="32"/>
      <c r="SU241" s="32"/>
      <c r="SV241" s="32"/>
      <c r="SW241" s="32"/>
      <c r="SX241" s="32"/>
      <c r="SY241" s="32"/>
      <c r="SZ241" s="32"/>
      <c r="TA241" s="32"/>
      <c r="TB241" s="32"/>
      <c r="TC241" s="32"/>
      <c r="TD241" s="32"/>
      <c r="TE241" s="32"/>
      <c r="TF241" s="32"/>
      <c r="TG241" s="32"/>
    </row>
    <row r="242" spans="1:527" s="34" customFormat="1" ht="47.25" x14ac:dyDescent="0.25">
      <c r="A242" s="100" t="s">
        <v>30</v>
      </c>
      <c r="B242" s="113"/>
      <c r="C242" s="113"/>
      <c r="D242" s="81" t="s">
        <v>422</v>
      </c>
      <c r="E242" s="102">
        <f>SUM(E244+E245+E246+E247+E248+E249+E251+E252+E253+E254+E255+E256+E250+E258+E259)</f>
        <v>5477027</v>
      </c>
      <c r="F242" s="102">
        <f>SUM(F244+F245+F246+F247+F248+F249+F251+F252+F253+F254+F255+F256+F250+F258+F259)</f>
        <v>5477027</v>
      </c>
      <c r="G242" s="102">
        <f t="shared" ref="G242:P242" si="122">SUM(G244+G245+G246+G247+G248+G249+G251+G252+G253+G254+G255+G256+G250+G258+G259)</f>
        <v>2958200</v>
      </c>
      <c r="H242" s="102">
        <f t="shared" si="122"/>
        <v>0</v>
      </c>
      <c r="I242" s="102">
        <f t="shared" si="122"/>
        <v>0</v>
      </c>
      <c r="J242" s="102">
        <f t="shared" si="122"/>
        <v>249032017.65000001</v>
      </c>
      <c r="K242" s="102">
        <f>SUM(K244+K245+K246+K247+K248+K249+K251+K252+K253+K254+K255+K256+K250+K258+K259)</f>
        <v>235586735</v>
      </c>
      <c r="L242" s="102">
        <f t="shared" si="122"/>
        <v>1900000</v>
      </c>
      <c r="M242" s="102">
        <f t="shared" si="122"/>
        <v>1332000</v>
      </c>
      <c r="N242" s="102">
        <f t="shared" si="122"/>
        <v>71500</v>
      </c>
      <c r="O242" s="102">
        <f t="shared" si="122"/>
        <v>247132017.65000001</v>
      </c>
      <c r="P242" s="102">
        <f t="shared" si="122"/>
        <v>254509044.65000001</v>
      </c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  <c r="HP242" s="33"/>
      <c r="HQ242" s="33"/>
      <c r="HR242" s="33"/>
      <c r="HS242" s="33"/>
      <c r="HT242" s="33"/>
      <c r="HU242" s="33"/>
      <c r="HV242" s="33"/>
      <c r="HW242" s="33"/>
      <c r="HX242" s="33"/>
      <c r="HY242" s="33"/>
      <c r="HZ242" s="33"/>
      <c r="IA242" s="33"/>
      <c r="IB242" s="33"/>
      <c r="IC242" s="33"/>
      <c r="ID242" s="33"/>
      <c r="IE242" s="33"/>
      <c r="IF242" s="33"/>
      <c r="IG242" s="33"/>
      <c r="IH242" s="33"/>
      <c r="II242" s="33"/>
      <c r="IJ242" s="33"/>
      <c r="IK242" s="33"/>
      <c r="IL242" s="33"/>
      <c r="IM242" s="33"/>
      <c r="IN242" s="33"/>
      <c r="IO242" s="33"/>
      <c r="IP242" s="33"/>
      <c r="IQ242" s="33"/>
      <c r="IR242" s="33"/>
      <c r="IS242" s="33"/>
      <c r="IT242" s="33"/>
      <c r="IU242" s="33"/>
      <c r="IV242" s="33"/>
      <c r="IW242" s="33"/>
      <c r="IX242" s="33"/>
      <c r="IY242" s="33"/>
      <c r="IZ242" s="33"/>
      <c r="JA242" s="33"/>
      <c r="JB242" s="33"/>
      <c r="JC242" s="33"/>
      <c r="JD242" s="33"/>
      <c r="JE242" s="33"/>
      <c r="JF242" s="33"/>
      <c r="JG242" s="33"/>
      <c r="JH242" s="33"/>
      <c r="JI242" s="33"/>
      <c r="JJ242" s="33"/>
      <c r="JK242" s="33"/>
      <c r="JL242" s="33"/>
      <c r="JM242" s="33"/>
      <c r="JN242" s="33"/>
      <c r="JO242" s="33"/>
      <c r="JP242" s="33"/>
      <c r="JQ242" s="33"/>
      <c r="JR242" s="33"/>
      <c r="JS242" s="33"/>
      <c r="JT242" s="33"/>
      <c r="JU242" s="33"/>
      <c r="JV242" s="33"/>
      <c r="JW242" s="33"/>
      <c r="JX242" s="33"/>
      <c r="JY242" s="33"/>
      <c r="JZ242" s="33"/>
      <c r="KA242" s="33"/>
      <c r="KB242" s="33"/>
      <c r="KC242" s="33"/>
      <c r="KD242" s="33"/>
      <c r="KE242" s="33"/>
      <c r="KF242" s="33"/>
      <c r="KG242" s="33"/>
      <c r="KH242" s="33"/>
      <c r="KI242" s="33"/>
      <c r="KJ242" s="33"/>
      <c r="KK242" s="33"/>
      <c r="KL242" s="33"/>
      <c r="KM242" s="33"/>
      <c r="KN242" s="33"/>
      <c r="KO242" s="33"/>
      <c r="KP242" s="33"/>
      <c r="KQ242" s="33"/>
      <c r="KR242" s="33"/>
      <c r="KS242" s="33"/>
      <c r="KT242" s="33"/>
      <c r="KU242" s="33"/>
      <c r="KV242" s="33"/>
      <c r="KW242" s="33"/>
      <c r="KX242" s="33"/>
      <c r="KY242" s="33"/>
      <c r="KZ242" s="33"/>
      <c r="LA242" s="33"/>
      <c r="LB242" s="33"/>
      <c r="LC242" s="33"/>
      <c r="LD242" s="33"/>
      <c r="LE242" s="33"/>
      <c r="LF242" s="33"/>
      <c r="LG242" s="33"/>
      <c r="LH242" s="33"/>
      <c r="LI242" s="33"/>
      <c r="LJ242" s="33"/>
      <c r="LK242" s="33"/>
      <c r="LL242" s="33"/>
      <c r="LM242" s="33"/>
      <c r="LN242" s="33"/>
      <c r="LO242" s="33"/>
      <c r="LP242" s="33"/>
      <c r="LQ242" s="33"/>
      <c r="LR242" s="33"/>
      <c r="LS242" s="33"/>
      <c r="LT242" s="33"/>
      <c r="LU242" s="33"/>
      <c r="LV242" s="33"/>
      <c r="LW242" s="33"/>
      <c r="LX242" s="33"/>
      <c r="LY242" s="33"/>
      <c r="LZ242" s="33"/>
      <c r="MA242" s="33"/>
      <c r="MB242" s="33"/>
      <c r="MC242" s="33"/>
      <c r="MD242" s="33"/>
      <c r="ME242" s="33"/>
      <c r="MF242" s="33"/>
      <c r="MG242" s="33"/>
      <c r="MH242" s="33"/>
      <c r="MI242" s="33"/>
      <c r="MJ242" s="33"/>
      <c r="MK242" s="33"/>
      <c r="ML242" s="33"/>
      <c r="MM242" s="33"/>
      <c r="MN242" s="33"/>
      <c r="MO242" s="33"/>
      <c r="MP242" s="33"/>
      <c r="MQ242" s="33"/>
      <c r="MR242" s="33"/>
      <c r="MS242" s="33"/>
      <c r="MT242" s="33"/>
      <c r="MU242" s="33"/>
      <c r="MV242" s="33"/>
      <c r="MW242" s="33"/>
      <c r="MX242" s="33"/>
      <c r="MY242" s="33"/>
      <c r="MZ242" s="33"/>
      <c r="NA242" s="33"/>
      <c r="NB242" s="33"/>
      <c r="NC242" s="33"/>
      <c r="ND242" s="33"/>
      <c r="NE242" s="33"/>
      <c r="NF242" s="33"/>
      <c r="NG242" s="33"/>
      <c r="NH242" s="33"/>
      <c r="NI242" s="33"/>
      <c r="NJ242" s="33"/>
      <c r="NK242" s="33"/>
      <c r="NL242" s="33"/>
      <c r="NM242" s="33"/>
      <c r="NN242" s="33"/>
      <c r="NO242" s="33"/>
      <c r="NP242" s="33"/>
      <c r="NQ242" s="33"/>
      <c r="NR242" s="33"/>
      <c r="NS242" s="33"/>
      <c r="NT242" s="33"/>
      <c r="NU242" s="33"/>
      <c r="NV242" s="33"/>
      <c r="NW242" s="33"/>
      <c r="NX242" s="33"/>
      <c r="NY242" s="33"/>
      <c r="NZ242" s="33"/>
      <c r="OA242" s="33"/>
      <c r="OB242" s="33"/>
      <c r="OC242" s="33"/>
      <c r="OD242" s="33"/>
      <c r="OE242" s="33"/>
      <c r="OF242" s="33"/>
      <c r="OG242" s="33"/>
      <c r="OH242" s="33"/>
      <c r="OI242" s="33"/>
      <c r="OJ242" s="33"/>
      <c r="OK242" s="33"/>
      <c r="OL242" s="33"/>
      <c r="OM242" s="33"/>
      <c r="ON242" s="33"/>
      <c r="OO242" s="33"/>
      <c r="OP242" s="33"/>
      <c r="OQ242" s="33"/>
      <c r="OR242" s="33"/>
      <c r="OS242" s="33"/>
      <c r="OT242" s="33"/>
      <c r="OU242" s="33"/>
      <c r="OV242" s="33"/>
      <c r="OW242" s="33"/>
      <c r="OX242" s="33"/>
      <c r="OY242" s="33"/>
      <c r="OZ242" s="33"/>
      <c r="PA242" s="33"/>
      <c r="PB242" s="33"/>
      <c r="PC242" s="33"/>
      <c r="PD242" s="33"/>
      <c r="PE242" s="33"/>
      <c r="PF242" s="33"/>
      <c r="PG242" s="33"/>
      <c r="PH242" s="33"/>
      <c r="PI242" s="33"/>
      <c r="PJ242" s="33"/>
      <c r="PK242" s="33"/>
      <c r="PL242" s="33"/>
      <c r="PM242" s="33"/>
      <c r="PN242" s="33"/>
      <c r="PO242" s="33"/>
      <c r="PP242" s="33"/>
      <c r="PQ242" s="33"/>
      <c r="PR242" s="33"/>
      <c r="PS242" s="33"/>
      <c r="PT242" s="33"/>
      <c r="PU242" s="33"/>
      <c r="PV242" s="33"/>
      <c r="PW242" s="33"/>
      <c r="PX242" s="33"/>
      <c r="PY242" s="33"/>
      <c r="PZ242" s="33"/>
      <c r="QA242" s="33"/>
      <c r="QB242" s="33"/>
      <c r="QC242" s="33"/>
      <c r="QD242" s="33"/>
      <c r="QE242" s="33"/>
      <c r="QF242" s="33"/>
      <c r="QG242" s="33"/>
      <c r="QH242" s="33"/>
      <c r="QI242" s="33"/>
      <c r="QJ242" s="33"/>
      <c r="QK242" s="33"/>
      <c r="QL242" s="33"/>
      <c r="QM242" s="33"/>
      <c r="QN242" s="33"/>
      <c r="QO242" s="33"/>
      <c r="QP242" s="33"/>
      <c r="QQ242" s="33"/>
      <c r="QR242" s="33"/>
      <c r="QS242" s="33"/>
      <c r="QT242" s="33"/>
      <c r="QU242" s="33"/>
      <c r="QV242" s="33"/>
      <c r="QW242" s="33"/>
      <c r="QX242" s="33"/>
      <c r="QY242" s="33"/>
      <c r="QZ242" s="33"/>
      <c r="RA242" s="33"/>
      <c r="RB242" s="33"/>
      <c r="RC242" s="33"/>
      <c r="RD242" s="33"/>
      <c r="RE242" s="33"/>
      <c r="RF242" s="33"/>
      <c r="RG242" s="33"/>
      <c r="RH242" s="33"/>
      <c r="RI242" s="33"/>
      <c r="RJ242" s="33"/>
      <c r="RK242" s="33"/>
      <c r="RL242" s="33"/>
      <c r="RM242" s="33"/>
      <c r="RN242" s="33"/>
      <c r="RO242" s="33"/>
      <c r="RP242" s="33"/>
      <c r="RQ242" s="33"/>
      <c r="RR242" s="33"/>
      <c r="RS242" s="33"/>
      <c r="RT242" s="33"/>
      <c r="RU242" s="33"/>
      <c r="RV242" s="33"/>
      <c r="RW242" s="33"/>
      <c r="RX242" s="33"/>
      <c r="RY242" s="33"/>
      <c r="RZ242" s="33"/>
      <c r="SA242" s="33"/>
      <c r="SB242" s="33"/>
      <c r="SC242" s="33"/>
      <c r="SD242" s="33"/>
      <c r="SE242" s="33"/>
      <c r="SF242" s="33"/>
      <c r="SG242" s="33"/>
      <c r="SH242" s="33"/>
      <c r="SI242" s="33"/>
      <c r="SJ242" s="33"/>
      <c r="SK242" s="33"/>
      <c r="SL242" s="33"/>
      <c r="SM242" s="33"/>
      <c r="SN242" s="33"/>
      <c r="SO242" s="33"/>
      <c r="SP242" s="33"/>
      <c r="SQ242" s="33"/>
      <c r="SR242" s="33"/>
      <c r="SS242" s="33"/>
      <c r="ST242" s="33"/>
      <c r="SU242" s="33"/>
      <c r="SV242" s="33"/>
      <c r="SW242" s="33"/>
      <c r="SX242" s="33"/>
      <c r="SY242" s="33"/>
      <c r="SZ242" s="33"/>
      <c r="TA242" s="33"/>
      <c r="TB242" s="33"/>
      <c r="TC242" s="33"/>
      <c r="TD242" s="33"/>
      <c r="TE242" s="33"/>
      <c r="TF242" s="33"/>
      <c r="TG242" s="33"/>
    </row>
    <row r="243" spans="1:527" s="34" customFormat="1" ht="17.25" customHeight="1" x14ac:dyDescent="0.25">
      <c r="A243" s="100"/>
      <c r="B243" s="113"/>
      <c r="C243" s="113"/>
      <c r="D243" s="87" t="s">
        <v>421</v>
      </c>
      <c r="E243" s="102">
        <f>E257</f>
        <v>0</v>
      </c>
      <c r="F243" s="102">
        <f t="shared" ref="F243:P243" si="123">F257</f>
        <v>0</v>
      </c>
      <c r="G243" s="102">
        <f t="shared" si="123"/>
        <v>0</v>
      </c>
      <c r="H243" s="102">
        <f t="shared" si="123"/>
        <v>0</v>
      </c>
      <c r="I243" s="102">
        <f t="shared" si="123"/>
        <v>0</v>
      </c>
      <c r="J243" s="102">
        <f t="shared" si="123"/>
        <v>96859595</v>
      </c>
      <c r="K243" s="102">
        <f t="shared" si="123"/>
        <v>96859595</v>
      </c>
      <c r="L243" s="102">
        <f t="shared" si="123"/>
        <v>0</v>
      </c>
      <c r="M243" s="102">
        <f t="shared" si="123"/>
        <v>0</v>
      </c>
      <c r="N243" s="102">
        <f t="shared" si="123"/>
        <v>0</v>
      </c>
      <c r="O243" s="102">
        <f t="shared" si="123"/>
        <v>96859595</v>
      </c>
      <c r="P243" s="102">
        <f t="shared" si="123"/>
        <v>96859595</v>
      </c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  <c r="IV243" s="33"/>
      <c r="IW243" s="33"/>
      <c r="IX243" s="33"/>
      <c r="IY243" s="33"/>
      <c r="IZ243" s="33"/>
      <c r="JA243" s="33"/>
      <c r="JB243" s="33"/>
      <c r="JC243" s="33"/>
      <c r="JD243" s="33"/>
      <c r="JE243" s="33"/>
      <c r="JF243" s="33"/>
      <c r="JG243" s="33"/>
      <c r="JH243" s="33"/>
      <c r="JI243" s="33"/>
      <c r="JJ243" s="33"/>
      <c r="JK243" s="33"/>
      <c r="JL243" s="33"/>
      <c r="JM243" s="33"/>
      <c r="JN243" s="33"/>
      <c r="JO243" s="33"/>
      <c r="JP243" s="33"/>
      <c r="JQ243" s="33"/>
      <c r="JR243" s="33"/>
      <c r="JS243" s="33"/>
      <c r="JT243" s="33"/>
      <c r="JU243" s="33"/>
      <c r="JV243" s="33"/>
      <c r="JW243" s="33"/>
      <c r="JX243" s="33"/>
      <c r="JY243" s="33"/>
      <c r="JZ243" s="33"/>
      <c r="KA243" s="33"/>
      <c r="KB243" s="33"/>
      <c r="KC243" s="33"/>
      <c r="KD243" s="33"/>
      <c r="KE243" s="33"/>
      <c r="KF243" s="33"/>
      <c r="KG243" s="33"/>
      <c r="KH243" s="33"/>
      <c r="KI243" s="33"/>
      <c r="KJ243" s="33"/>
      <c r="KK243" s="33"/>
      <c r="KL243" s="33"/>
      <c r="KM243" s="33"/>
      <c r="KN243" s="33"/>
      <c r="KO243" s="33"/>
      <c r="KP243" s="33"/>
      <c r="KQ243" s="33"/>
      <c r="KR243" s="33"/>
      <c r="KS243" s="33"/>
      <c r="KT243" s="33"/>
      <c r="KU243" s="33"/>
      <c r="KV243" s="33"/>
      <c r="KW243" s="33"/>
      <c r="KX243" s="33"/>
      <c r="KY243" s="33"/>
      <c r="KZ243" s="33"/>
      <c r="LA243" s="33"/>
      <c r="LB243" s="33"/>
      <c r="LC243" s="33"/>
      <c r="LD243" s="33"/>
      <c r="LE243" s="33"/>
      <c r="LF243" s="33"/>
      <c r="LG243" s="33"/>
      <c r="LH243" s="33"/>
      <c r="LI243" s="33"/>
      <c r="LJ243" s="33"/>
      <c r="LK243" s="33"/>
      <c r="LL243" s="33"/>
      <c r="LM243" s="33"/>
      <c r="LN243" s="33"/>
      <c r="LO243" s="33"/>
      <c r="LP243" s="33"/>
      <c r="LQ243" s="33"/>
      <c r="LR243" s="33"/>
      <c r="LS243" s="33"/>
      <c r="LT243" s="33"/>
      <c r="LU243" s="33"/>
      <c r="LV243" s="33"/>
      <c r="LW243" s="33"/>
      <c r="LX243" s="33"/>
      <c r="LY243" s="33"/>
      <c r="LZ243" s="33"/>
      <c r="MA243" s="33"/>
      <c r="MB243" s="33"/>
      <c r="MC243" s="33"/>
      <c r="MD243" s="33"/>
      <c r="ME243" s="33"/>
      <c r="MF243" s="33"/>
      <c r="MG243" s="33"/>
      <c r="MH243" s="33"/>
      <c r="MI243" s="33"/>
      <c r="MJ243" s="33"/>
      <c r="MK243" s="33"/>
      <c r="ML243" s="33"/>
      <c r="MM243" s="33"/>
      <c r="MN243" s="33"/>
      <c r="MO243" s="33"/>
      <c r="MP243" s="33"/>
      <c r="MQ243" s="33"/>
      <c r="MR243" s="33"/>
      <c r="MS243" s="33"/>
      <c r="MT243" s="33"/>
      <c r="MU243" s="33"/>
      <c r="MV243" s="33"/>
      <c r="MW243" s="33"/>
      <c r="MX243" s="33"/>
      <c r="MY243" s="33"/>
      <c r="MZ243" s="33"/>
      <c r="NA243" s="33"/>
      <c r="NB243" s="33"/>
      <c r="NC243" s="33"/>
      <c r="ND243" s="33"/>
      <c r="NE243" s="33"/>
      <c r="NF243" s="33"/>
      <c r="NG243" s="33"/>
      <c r="NH243" s="33"/>
      <c r="NI243" s="33"/>
      <c r="NJ243" s="33"/>
      <c r="NK243" s="33"/>
      <c r="NL243" s="33"/>
      <c r="NM243" s="33"/>
      <c r="NN243" s="33"/>
      <c r="NO243" s="33"/>
      <c r="NP243" s="33"/>
      <c r="NQ243" s="33"/>
      <c r="NR243" s="33"/>
      <c r="NS243" s="33"/>
      <c r="NT243" s="33"/>
      <c r="NU243" s="33"/>
      <c r="NV243" s="33"/>
      <c r="NW243" s="33"/>
      <c r="NX243" s="33"/>
      <c r="NY243" s="33"/>
      <c r="NZ243" s="33"/>
      <c r="OA243" s="33"/>
      <c r="OB243" s="33"/>
      <c r="OC243" s="33"/>
      <c r="OD243" s="33"/>
      <c r="OE243" s="33"/>
      <c r="OF243" s="33"/>
      <c r="OG243" s="33"/>
      <c r="OH243" s="33"/>
      <c r="OI243" s="33"/>
      <c r="OJ243" s="33"/>
      <c r="OK243" s="33"/>
      <c r="OL243" s="33"/>
      <c r="OM243" s="33"/>
      <c r="ON243" s="33"/>
      <c r="OO243" s="33"/>
      <c r="OP243" s="33"/>
      <c r="OQ243" s="33"/>
      <c r="OR243" s="33"/>
      <c r="OS243" s="33"/>
      <c r="OT243" s="33"/>
      <c r="OU243" s="33"/>
      <c r="OV243" s="33"/>
      <c r="OW243" s="33"/>
      <c r="OX243" s="33"/>
      <c r="OY243" s="33"/>
      <c r="OZ243" s="33"/>
      <c r="PA243" s="33"/>
      <c r="PB243" s="33"/>
      <c r="PC243" s="33"/>
      <c r="PD243" s="33"/>
      <c r="PE243" s="33"/>
      <c r="PF243" s="33"/>
      <c r="PG243" s="33"/>
      <c r="PH243" s="33"/>
      <c r="PI243" s="33"/>
      <c r="PJ243" s="33"/>
      <c r="PK243" s="33"/>
      <c r="PL243" s="33"/>
      <c r="PM243" s="33"/>
      <c r="PN243" s="33"/>
      <c r="PO243" s="33"/>
      <c r="PP243" s="33"/>
      <c r="PQ243" s="33"/>
      <c r="PR243" s="33"/>
      <c r="PS243" s="33"/>
      <c r="PT243" s="33"/>
      <c r="PU243" s="33"/>
      <c r="PV243" s="33"/>
      <c r="PW243" s="33"/>
      <c r="PX243" s="33"/>
      <c r="PY243" s="33"/>
      <c r="PZ243" s="33"/>
      <c r="QA243" s="33"/>
      <c r="QB243" s="33"/>
      <c r="QC243" s="33"/>
      <c r="QD243" s="33"/>
      <c r="QE243" s="33"/>
      <c r="QF243" s="33"/>
      <c r="QG243" s="33"/>
      <c r="QH243" s="33"/>
      <c r="QI243" s="33"/>
      <c r="QJ243" s="33"/>
      <c r="QK243" s="33"/>
      <c r="QL243" s="33"/>
      <c r="QM243" s="33"/>
      <c r="QN243" s="33"/>
      <c r="QO243" s="33"/>
      <c r="QP243" s="33"/>
      <c r="QQ243" s="33"/>
      <c r="QR243" s="33"/>
      <c r="QS243" s="33"/>
      <c r="QT243" s="33"/>
      <c r="QU243" s="33"/>
      <c r="QV243" s="33"/>
      <c r="QW243" s="33"/>
      <c r="QX243" s="33"/>
      <c r="QY243" s="33"/>
      <c r="QZ243" s="33"/>
      <c r="RA243" s="33"/>
      <c r="RB243" s="33"/>
      <c r="RC243" s="33"/>
      <c r="RD243" s="33"/>
      <c r="RE243" s="33"/>
      <c r="RF243" s="33"/>
      <c r="RG243" s="33"/>
      <c r="RH243" s="33"/>
      <c r="RI243" s="33"/>
      <c r="RJ243" s="33"/>
      <c r="RK243" s="33"/>
      <c r="RL243" s="33"/>
      <c r="RM243" s="33"/>
      <c r="RN243" s="33"/>
      <c r="RO243" s="33"/>
      <c r="RP243" s="33"/>
      <c r="RQ243" s="33"/>
      <c r="RR243" s="33"/>
      <c r="RS243" s="33"/>
      <c r="RT243" s="33"/>
      <c r="RU243" s="33"/>
      <c r="RV243" s="33"/>
      <c r="RW243" s="33"/>
      <c r="RX243" s="33"/>
      <c r="RY243" s="33"/>
      <c r="RZ243" s="33"/>
      <c r="SA243" s="33"/>
      <c r="SB243" s="33"/>
      <c r="SC243" s="33"/>
      <c r="SD243" s="33"/>
      <c r="SE243" s="33"/>
      <c r="SF243" s="33"/>
      <c r="SG243" s="33"/>
      <c r="SH243" s="33"/>
      <c r="SI243" s="33"/>
      <c r="SJ243" s="33"/>
      <c r="SK243" s="33"/>
      <c r="SL243" s="33"/>
      <c r="SM243" s="33"/>
      <c r="SN243" s="33"/>
      <c r="SO243" s="33"/>
      <c r="SP243" s="33"/>
      <c r="SQ243" s="33"/>
      <c r="SR243" s="33"/>
      <c r="SS243" s="33"/>
      <c r="ST243" s="33"/>
      <c r="SU243" s="33"/>
      <c r="SV243" s="33"/>
      <c r="SW243" s="33"/>
      <c r="SX243" s="33"/>
      <c r="SY243" s="33"/>
      <c r="SZ243" s="33"/>
      <c r="TA243" s="33"/>
      <c r="TB243" s="33"/>
      <c r="TC243" s="33"/>
      <c r="TD243" s="33"/>
      <c r="TE243" s="33"/>
      <c r="TF243" s="33"/>
      <c r="TG243" s="33"/>
    </row>
    <row r="244" spans="1:527" s="22" customFormat="1" ht="47.25" x14ac:dyDescent="0.25">
      <c r="A244" s="60" t="s">
        <v>142</v>
      </c>
      <c r="B244" s="97" t="str">
        <f>'дод 8'!A19</f>
        <v>0160</v>
      </c>
      <c r="C244" s="97" t="str">
        <f>'дод 8'!B19</f>
        <v>0111</v>
      </c>
      <c r="D244" s="36" t="s">
        <v>504</v>
      </c>
      <c r="E244" s="103">
        <f t="shared" ref="E244:E258" si="124">F244+I244</f>
        <v>3609000</v>
      </c>
      <c r="F244" s="103">
        <v>3609000</v>
      </c>
      <c r="G244" s="103">
        <v>2958200</v>
      </c>
      <c r="H244" s="103"/>
      <c r="I244" s="103"/>
      <c r="J244" s="103">
        <f>L244+O244</f>
        <v>1900000</v>
      </c>
      <c r="K244" s="103"/>
      <c r="L244" s="103">
        <v>1900000</v>
      </c>
      <c r="M244" s="103">
        <v>1332000</v>
      </c>
      <c r="N244" s="103">
        <v>71500</v>
      </c>
      <c r="O244" s="103"/>
      <c r="P244" s="103">
        <f t="shared" ref="P244:P258" si="125">E244+J244</f>
        <v>5509000</v>
      </c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  <c r="TF244" s="23"/>
      <c r="TG244" s="23"/>
    </row>
    <row r="245" spans="1:527" s="22" customFormat="1" ht="18" customHeight="1" x14ac:dyDescent="0.25">
      <c r="A245" s="60" t="s">
        <v>207</v>
      </c>
      <c r="B245" s="97" t="str">
        <f>'дод 8'!A143</f>
        <v>6030</v>
      </c>
      <c r="C245" s="97" t="str">
        <f>'дод 8'!B143</f>
        <v>0620</v>
      </c>
      <c r="D245" s="61" t="str">
        <f>'дод 8'!C143</f>
        <v>Організація благоустрою населених пунктів</v>
      </c>
      <c r="E245" s="103">
        <f t="shared" si="124"/>
        <v>0</v>
      </c>
      <c r="F245" s="103"/>
      <c r="G245" s="103"/>
      <c r="H245" s="103"/>
      <c r="I245" s="103"/>
      <c r="J245" s="103">
        <f t="shared" ref="J245:J266" si="126">L245+O245</f>
        <v>50349000</v>
      </c>
      <c r="K245" s="103">
        <f>50000000+200000+100000+49000</f>
        <v>50349000</v>
      </c>
      <c r="L245" s="103"/>
      <c r="M245" s="103"/>
      <c r="N245" s="103"/>
      <c r="O245" s="103">
        <f>50000000+200000+100000+49000</f>
        <v>50349000</v>
      </c>
      <c r="P245" s="103">
        <f t="shared" si="125"/>
        <v>50349000</v>
      </c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  <c r="TF245" s="23"/>
      <c r="TG245" s="23"/>
    </row>
    <row r="246" spans="1:527" s="22" customFormat="1" ht="65.25" customHeight="1" x14ac:dyDescent="0.25">
      <c r="A246" s="60" t="s">
        <v>208</v>
      </c>
      <c r="B246" s="97" t="str">
        <f>'дод 8'!A146</f>
        <v>6084</v>
      </c>
      <c r="C246" s="97" t="str">
        <f>'дод 8'!B146</f>
        <v>0610</v>
      </c>
      <c r="D246" s="61" t="s">
        <v>550</v>
      </c>
      <c r="E246" s="103">
        <f t="shared" si="124"/>
        <v>0</v>
      </c>
      <c r="F246" s="103"/>
      <c r="G246" s="103"/>
      <c r="H246" s="103"/>
      <c r="I246" s="103"/>
      <c r="J246" s="103">
        <f t="shared" si="126"/>
        <v>71348.649999999994</v>
      </c>
      <c r="K246" s="103"/>
      <c r="L246" s="117"/>
      <c r="M246" s="103"/>
      <c r="N246" s="103"/>
      <c r="O246" s="103">
        <f>70060+1288.65</f>
        <v>71348.649999999994</v>
      </c>
      <c r="P246" s="103">
        <f t="shared" si="125"/>
        <v>71348.649999999994</v>
      </c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  <c r="TF246" s="23"/>
      <c r="TG246" s="23"/>
    </row>
    <row r="247" spans="1:527" s="22" customFormat="1" ht="18.75" hidden="1" customHeight="1" x14ac:dyDescent="0.25">
      <c r="A247" s="60" t="s">
        <v>277</v>
      </c>
      <c r="B247" s="97" t="str">
        <f>'дод 8'!A156</f>
        <v>7310</v>
      </c>
      <c r="C247" s="97" t="str">
        <f>'дод 8'!B156</f>
        <v>0443</v>
      </c>
      <c r="D247" s="61" t="str">
        <f>'дод 8'!C156</f>
        <v>Будівництво1 об'єктів житлово-комунального господарства</v>
      </c>
      <c r="E247" s="103">
        <f t="shared" si="124"/>
        <v>0</v>
      </c>
      <c r="F247" s="103"/>
      <c r="G247" s="103"/>
      <c r="H247" s="103"/>
      <c r="I247" s="103"/>
      <c r="J247" s="103">
        <f t="shared" si="126"/>
        <v>0</v>
      </c>
      <c r="K247" s="103"/>
      <c r="L247" s="103"/>
      <c r="M247" s="103"/>
      <c r="N247" s="103"/>
      <c r="O247" s="103"/>
      <c r="P247" s="103">
        <f t="shared" si="125"/>
        <v>0</v>
      </c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</row>
    <row r="248" spans="1:527" s="22" customFormat="1" ht="18.75" x14ac:dyDescent="0.25">
      <c r="A248" s="60" t="s">
        <v>278</v>
      </c>
      <c r="B248" s="97" t="str">
        <f>'дод 8'!A157</f>
        <v>7321</v>
      </c>
      <c r="C248" s="97" t="str">
        <f>'дод 8'!B157</f>
        <v>0443</v>
      </c>
      <c r="D248" s="6" t="s">
        <v>569</v>
      </c>
      <c r="E248" s="103">
        <f t="shared" si="124"/>
        <v>0</v>
      </c>
      <c r="F248" s="103"/>
      <c r="G248" s="103"/>
      <c r="H248" s="103"/>
      <c r="I248" s="103"/>
      <c r="J248" s="103">
        <f t="shared" si="126"/>
        <v>98560</v>
      </c>
      <c r="K248" s="103">
        <f>42471+46089+10000</f>
        <v>98560</v>
      </c>
      <c r="L248" s="103"/>
      <c r="M248" s="103"/>
      <c r="N248" s="103"/>
      <c r="O248" s="103">
        <f>42471+46089+10000</f>
        <v>98560</v>
      </c>
      <c r="P248" s="103">
        <f t="shared" si="125"/>
        <v>98560</v>
      </c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</row>
    <row r="249" spans="1:527" s="22" customFormat="1" ht="18" customHeight="1" x14ac:dyDescent="0.25">
      <c r="A249" s="60" t="s">
        <v>280</v>
      </c>
      <c r="B249" s="97" t="str">
        <f>'дод 8'!A158</f>
        <v>7322</v>
      </c>
      <c r="C249" s="97" t="str">
        <f>'дод 8'!B158</f>
        <v>0443</v>
      </c>
      <c r="D249" s="6" t="s">
        <v>570</v>
      </c>
      <c r="E249" s="103">
        <f t="shared" si="124"/>
        <v>0</v>
      </c>
      <c r="F249" s="103"/>
      <c r="G249" s="103"/>
      <c r="H249" s="103"/>
      <c r="I249" s="103"/>
      <c r="J249" s="103">
        <f t="shared" si="126"/>
        <v>6800000</v>
      </c>
      <c r="K249" s="103">
        <f>3000000+1800000+2000000</f>
        <v>6800000</v>
      </c>
      <c r="L249" s="103"/>
      <c r="M249" s="103"/>
      <c r="N249" s="103"/>
      <c r="O249" s="103">
        <f>3000000+1800000+2000000</f>
        <v>6800000</v>
      </c>
      <c r="P249" s="103">
        <f t="shared" si="125"/>
        <v>6800000</v>
      </c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  <c r="TF249" s="23"/>
      <c r="TG249" s="23"/>
    </row>
    <row r="250" spans="1:527" s="22" customFormat="1" ht="34.5" x14ac:dyDescent="0.25">
      <c r="A250" s="60" t="s">
        <v>361</v>
      </c>
      <c r="B250" s="97">
        <f>'дод 8'!A161</f>
        <v>7325</v>
      </c>
      <c r="C250" s="60" t="s">
        <v>113</v>
      </c>
      <c r="D250" s="6" t="s">
        <v>567</v>
      </c>
      <c r="E250" s="103">
        <f t="shared" si="124"/>
        <v>0</v>
      </c>
      <c r="F250" s="103"/>
      <c r="G250" s="103"/>
      <c r="H250" s="103"/>
      <c r="I250" s="103"/>
      <c r="J250" s="103">
        <f t="shared" si="126"/>
        <v>1799440</v>
      </c>
      <c r="K250" s="103">
        <f>199440+1000000+600000</f>
        <v>1799440</v>
      </c>
      <c r="L250" s="103"/>
      <c r="M250" s="103"/>
      <c r="N250" s="103"/>
      <c r="O250" s="103">
        <f>199440+1000000+600000</f>
        <v>1799440</v>
      </c>
      <c r="P250" s="103">
        <f t="shared" si="125"/>
        <v>1799440</v>
      </c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  <c r="TG250" s="23"/>
    </row>
    <row r="251" spans="1:527" s="22" customFormat="1" ht="18" customHeight="1" x14ac:dyDescent="0.25">
      <c r="A251" s="60" t="s">
        <v>282</v>
      </c>
      <c r="B251" s="97" t="str">
        <f>'дод 8'!A162</f>
        <v>7330</v>
      </c>
      <c r="C251" s="97" t="str">
        <f>'дод 8'!B162</f>
        <v>0443</v>
      </c>
      <c r="D251" s="6" t="s">
        <v>568</v>
      </c>
      <c r="E251" s="103">
        <f t="shared" si="124"/>
        <v>0</v>
      </c>
      <c r="F251" s="103"/>
      <c r="G251" s="103"/>
      <c r="H251" s="103"/>
      <c r="I251" s="103"/>
      <c r="J251" s="103">
        <f t="shared" si="126"/>
        <v>12636580</v>
      </c>
      <c r="K251" s="103">
        <f>39750000+1567447+258138-1800000+200000+135000+200000+95995-28000000+240000-70000+60000+30000-30000</f>
        <v>12636580</v>
      </c>
      <c r="L251" s="103"/>
      <c r="M251" s="103"/>
      <c r="N251" s="103"/>
      <c r="O251" s="103">
        <f>39750000+1567447+258138-1800000+200000+135000+200000+95995-28000000+240000-70000+60000+30000-30000</f>
        <v>12636580</v>
      </c>
      <c r="P251" s="103">
        <f t="shared" si="125"/>
        <v>12636580</v>
      </c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  <c r="TF251" s="23"/>
      <c r="TG251" s="23"/>
    </row>
    <row r="252" spans="1:527" s="22" customFormat="1" ht="31.5" x14ac:dyDescent="0.25">
      <c r="A252" s="60" t="s">
        <v>430</v>
      </c>
      <c r="B252" s="97">
        <v>7340</v>
      </c>
      <c r="C252" s="60" t="s">
        <v>113</v>
      </c>
      <c r="D252" s="61" t="s">
        <v>1</v>
      </c>
      <c r="E252" s="103">
        <f t="shared" si="124"/>
        <v>0</v>
      </c>
      <c r="F252" s="103"/>
      <c r="G252" s="103"/>
      <c r="H252" s="103"/>
      <c r="I252" s="103"/>
      <c r="J252" s="103">
        <f t="shared" si="126"/>
        <v>1000000</v>
      </c>
      <c r="K252" s="103">
        <f>6000000-2067496-104420-86000-2742084</f>
        <v>1000000</v>
      </c>
      <c r="L252" s="103"/>
      <c r="M252" s="103"/>
      <c r="N252" s="103"/>
      <c r="O252" s="103">
        <f>6000000-2067496-104420-86000-2742084</f>
        <v>1000000</v>
      </c>
      <c r="P252" s="103">
        <f t="shared" si="125"/>
        <v>1000000</v>
      </c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  <c r="TF252" s="23"/>
      <c r="TG252" s="23"/>
    </row>
    <row r="253" spans="1:527" s="22" customFormat="1" ht="53.25" customHeight="1" x14ac:dyDescent="0.25">
      <c r="A253" s="60" t="s">
        <v>373</v>
      </c>
      <c r="B253" s="97">
        <f>'дод 8'!A165</f>
        <v>7361</v>
      </c>
      <c r="C253" s="97" t="str">
        <f>'дод 8'!B165</f>
        <v>0490</v>
      </c>
      <c r="D253" s="61" t="str">
        <f>'дод 8'!C165</f>
        <v>Співфінансування інвестиційних проектів, що реалізуються за рахунок коштів державного фонду регіонального розвитку</v>
      </c>
      <c r="E253" s="103">
        <f t="shared" ref="E253" si="127">F253+I253</f>
        <v>0</v>
      </c>
      <c r="F253" s="103"/>
      <c r="G253" s="103"/>
      <c r="H253" s="103"/>
      <c r="I253" s="103"/>
      <c r="J253" s="103">
        <f t="shared" ref="J253" si="128">L253+O253</f>
        <v>38172673</v>
      </c>
      <c r="K253" s="103">
        <f>10172673+28000000</f>
        <v>38172673</v>
      </c>
      <c r="L253" s="103"/>
      <c r="M253" s="103"/>
      <c r="N253" s="103"/>
      <c r="O253" s="103">
        <f>10172673+28000000</f>
        <v>38172673</v>
      </c>
      <c r="P253" s="103">
        <f t="shared" si="125"/>
        <v>38172673</v>
      </c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  <c r="TF253" s="23"/>
      <c r="TG253" s="23"/>
    </row>
    <row r="254" spans="1:527" s="22" customFormat="1" ht="47.25" hidden="1" customHeight="1" x14ac:dyDescent="0.25">
      <c r="A254" s="60" t="s">
        <v>368</v>
      </c>
      <c r="B254" s="97">
        <v>7363</v>
      </c>
      <c r="C254" s="60" t="s">
        <v>84</v>
      </c>
      <c r="D254" s="61" t="s">
        <v>400</v>
      </c>
      <c r="E254" s="103">
        <f t="shared" si="124"/>
        <v>0</v>
      </c>
      <c r="F254" s="103"/>
      <c r="G254" s="103"/>
      <c r="H254" s="103"/>
      <c r="I254" s="103"/>
      <c r="J254" s="103">
        <f t="shared" si="126"/>
        <v>0</v>
      </c>
      <c r="K254" s="103"/>
      <c r="L254" s="103"/>
      <c r="M254" s="103"/>
      <c r="N254" s="103"/>
      <c r="O254" s="103"/>
      <c r="P254" s="103">
        <f t="shared" si="125"/>
        <v>0</v>
      </c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  <c r="TF254" s="23"/>
      <c r="TG254" s="23"/>
    </row>
    <row r="255" spans="1:527" s="22" customFormat="1" ht="31.5" x14ac:dyDescent="0.25">
      <c r="A255" s="60" t="s">
        <v>433</v>
      </c>
      <c r="B255" s="97">
        <v>7370</v>
      </c>
      <c r="C255" s="60" t="s">
        <v>84</v>
      </c>
      <c r="D255" s="61" t="s">
        <v>434</v>
      </c>
      <c r="E255" s="103">
        <f>F255+I255</f>
        <v>104420</v>
      </c>
      <c r="F255" s="103">
        <v>104420</v>
      </c>
      <c r="G255" s="103"/>
      <c r="H255" s="103"/>
      <c r="I255" s="103"/>
      <c r="J255" s="103">
        <f t="shared" si="126"/>
        <v>0</v>
      </c>
      <c r="K255" s="103"/>
      <c r="L255" s="103"/>
      <c r="M255" s="103"/>
      <c r="N255" s="103"/>
      <c r="O255" s="103"/>
      <c r="P255" s="103">
        <f t="shared" si="125"/>
        <v>104420</v>
      </c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  <c r="TF255" s="23"/>
      <c r="TG255" s="23"/>
    </row>
    <row r="256" spans="1:527" s="22" customFormat="1" ht="21.75" customHeight="1" x14ac:dyDescent="0.25">
      <c r="A256" s="60" t="s">
        <v>148</v>
      </c>
      <c r="B256" s="97" t="str">
        <f>'дод 8'!A187</f>
        <v>7640</v>
      </c>
      <c r="C256" s="97" t="str">
        <f>'дод 8'!B187</f>
        <v>0470</v>
      </c>
      <c r="D256" s="61" t="s">
        <v>475</v>
      </c>
      <c r="E256" s="103">
        <f t="shared" si="124"/>
        <v>1763607</v>
      </c>
      <c r="F256" s="103">
        <v>1763607</v>
      </c>
      <c r="G256" s="103"/>
      <c r="H256" s="103"/>
      <c r="I256" s="103"/>
      <c r="J256" s="103">
        <f t="shared" si="126"/>
        <v>136118416</v>
      </c>
      <c r="K256" s="103">
        <v>124644482</v>
      </c>
      <c r="L256" s="117"/>
      <c r="M256" s="103"/>
      <c r="N256" s="103"/>
      <c r="O256" s="103">
        <v>136118416</v>
      </c>
      <c r="P256" s="103">
        <f t="shared" si="125"/>
        <v>137882023</v>
      </c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  <c r="TF256" s="23"/>
      <c r="TG256" s="23"/>
    </row>
    <row r="257" spans="1:527" s="24" customFormat="1" ht="17.25" customHeight="1" x14ac:dyDescent="0.25">
      <c r="A257" s="88"/>
      <c r="B257" s="115"/>
      <c r="C257" s="115"/>
      <c r="D257" s="89" t="s">
        <v>421</v>
      </c>
      <c r="E257" s="105">
        <f t="shared" si="124"/>
        <v>0</v>
      </c>
      <c r="F257" s="105"/>
      <c r="G257" s="105"/>
      <c r="H257" s="105"/>
      <c r="I257" s="105"/>
      <c r="J257" s="105">
        <f t="shared" si="126"/>
        <v>96859595</v>
      </c>
      <c r="K257" s="105">
        <v>96859595</v>
      </c>
      <c r="L257" s="118"/>
      <c r="M257" s="105"/>
      <c r="N257" s="105"/>
      <c r="O257" s="105">
        <v>96859595</v>
      </c>
      <c r="P257" s="105">
        <f t="shared" si="125"/>
        <v>96859595</v>
      </c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  <c r="IW257" s="30"/>
      <c r="IX257" s="30"/>
      <c r="IY257" s="30"/>
      <c r="IZ257" s="30"/>
      <c r="JA257" s="30"/>
      <c r="JB257" s="30"/>
      <c r="JC257" s="30"/>
      <c r="JD257" s="30"/>
      <c r="JE257" s="30"/>
      <c r="JF257" s="30"/>
      <c r="JG257" s="30"/>
      <c r="JH257" s="30"/>
      <c r="JI257" s="30"/>
      <c r="JJ257" s="30"/>
      <c r="JK257" s="30"/>
      <c r="JL257" s="30"/>
      <c r="JM257" s="30"/>
      <c r="JN257" s="30"/>
      <c r="JO257" s="30"/>
      <c r="JP257" s="30"/>
      <c r="JQ257" s="30"/>
      <c r="JR257" s="30"/>
      <c r="JS257" s="30"/>
      <c r="JT257" s="30"/>
      <c r="JU257" s="30"/>
      <c r="JV257" s="30"/>
      <c r="JW257" s="30"/>
      <c r="JX257" s="30"/>
      <c r="JY257" s="30"/>
      <c r="JZ257" s="30"/>
      <c r="KA257" s="30"/>
      <c r="KB257" s="30"/>
      <c r="KC257" s="30"/>
      <c r="KD257" s="30"/>
      <c r="KE257" s="30"/>
      <c r="KF257" s="30"/>
      <c r="KG257" s="30"/>
      <c r="KH257" s="30"/>
      <c r="KI257" s="30"/>
      <c r="KJ257" s="30"/>
      <c r="KK257" s="30"/>
      <c r="KL257" s="30"/>
      <c r="KM257" s="30"/>
      <c r="KN257" s="30"/>
      <c r="KO257" s="30"/>
      <c r="KP257" s="30"/>
      <c r="KQ257" s="30"/>
      <c r="KR257" s="30"/>
      <c r="KS257" s="30"/>
      <c r="KT257" s="30"/>
      <c r="KU257" s="30"/>
      <c r="KV257" s="30"/>
      <c r="KW257" s="30"/>
      <c r="KX257" s="30"/>
      <c r="KY257" s="30"/>
      <c r="KZ257" s="30"/>
      <c r="LA257" s="30"/>
      <c r="LB257" s="30"/>
      <c r="LC257" s="30"/>
      <c r="LD257" s="30"/>
      <c r="LE257" s="30"/>
      <c r="LF257" s="30"/>
      <c r="LG257" s="30"/>
      <c r="LH257" s="30"/>
      <c r="LI257" s="30"/>
      <c r="LJ257" s="30"/>
      <c r="LK257" s="30"/>
      <c r="LL257" s="30"/>
      <c r="LM257" s="30"/>
      <c r="LN257" s="30"/>
      <c r="LO257" s="30"/>
      <c r="LP257" s="30"/>
      <c r="LQ257" s="30"/>
      <c r="LR257" s="30"/>
      <c r="LS257" s="30"/>
      <c r="LT257" s="30"/>
      <c r="LU257" s="30"/>
      <c r="LV257" s="30"/>
      <c r="LW257" s="30"/>
      <c r="LX257" s="30"/>
      <c r="LY257" s="30"/>
      <c r="LZ257" s="30"/>
      <c r="MA257" s="30"/>
      <c r="MB257" s="30"/>
      <c r="MC257" s="30"/>
      <c r="MD257" s="30"/>
      <c r="ME257" s="30"/>
      <c r="MF257" s="30"/>
      <c r="MG257" s="30"/>
      <c r="MH257" s="30"/>
      <c r="MI257" s="30"/>
      <c r="MJ257" s="30"/>
      <c r="MK257" s="30"/>
      <c r="ML257" s="30"/>
      <c r="MM257" s="30"/>
      <c r="MN257" s="30"/>
      <c r="MO257" s="30"/>
      <c r="MP257" s="30"/>
      <c r="MQ257" s="30"/>
      <c r="MR257" s="30"/>
      <c r="MS257" s="30"/>
      <c r="MT257" s="30"/>
      <c r="MU257" s="30"/>
      <c r="MV257" s="30"/>
      <c r="MW257" s="30"/>
      <c r="MX257" s="30"/>
      <c r="MY257" s="30"/>
      <c r="MZ257" s="30"/>
      <c r="NA257" s="30"/>
      <c r="NB257" s="30"/>
      <c r="NC257" s="30"/>
      <c r="ND257" s="30"/>
      <c r="NE257" s="30"/>
      <c r="NF257" s="30"/>
      <c r="NG257" s="30"/>
      <c r="NH257" s="30"/>
      <c r="NI257" s="30"/>
      <c r="NJ257" s="30"/>
      <c r="NK257" s="30"/>
      <c r="NL257" s="30"/>
      <c r="NM257" s="30"/>
      <c r="NN257" s="30"/>
      <c r="NO257" s="30"/>
      <c r="NP257" s="30"/>
      <c r="NQ257" s="30"/>
      <c r="NR257" s="30"/>
      <c r="NS257" s="30"/>
      <c r="NT257" s="30"/>
      <c r="NU257" s="30"/>
      <c r="NV257" s="30"/>
      <c r="NW257" s="30"/>
      <c r="NX257" s="30"/>
      <c r="NY257" s="30"/>
      <c r="NZ257" s="30"/>
      <c r="OA257" s="30"/>
      <c r="OB257" s="30"/>
      <c r="OC257" s="30"/>
      <c r="OD257" s="30"/>
      <c r="OE257" s="30"/>
      <c r="OF257" s="30"/>
      <c r="OG257" s="30"/>
      <c r="OH257" s="30"/>
      <c r="OI257" s="30"/>
      <c r="OJ257" s="30"/>
      <c r="OK257" s="30"/>
      <c r="OL257" s="30"/>
      <c r="OM257" s="30"/>
      <c r="ON257" s="30"/>
      <c r="OO257" s="30"/>
      <c r="OP257" s="30"/>
      <c r="OQ257" s="30"/>
      <c r="OR257" s="30"/>
      <c r="OS257" s="30"/>
      <c r="OT257" s="30"/>
      <c r="OU257" s="30"/>
      <c r="OV257" s="30"/>
      <c r="OW257" s="30"/>
      <c r="OX257" s="30"/>
      <c r="OY257" s="30"/>
      <c r="OZ257" s="30"/>
      <c r="PA257" s="30"/>
      <c r="PB257" s="30"/>
      <c r="PC257" s="30"/>
      <c r="PD257" s="30"/>
      <c r="PE257" s="30"/>
      <c r="PF257" s="30"/>
      <c r="PG257" s="30"/>
      <c r="PH257" s="30"/>
      <c r="PI257" s="30"/>
      <c r="PJ257" s="30"/>
      <c r="PK257" s="30"/>
      <c r="PL257" s="30"/>
      <c r="PM257" s="30"/>
      <c r="PN257" s="30"/>
      <c r="PO257" s="30"/>
      <c r="PP257" s="30"/>
      <c r="PQ257" s="30"/>
      <c r="PR257" s="30"/>
      <c r="PS257" s="30"/>
      <c r="PT257" s="30"/>
      <c r="PU257" s="30"/>
      <c r="PV257" s="30"/>
      <c r="PW257" s="30"/>
      <c r="PX257" s="30"/>
      <c r="PY257" s="30"/>
      <c r="PZ257" s="30"/>
      <c r="QA257" s="30"/>
      <c r="QB257" s="30"/>
      <c r="QC257" s="30"/>
      <c r="QD257" s="30"/>
      <c r="QE257" s="30"/>
      <c r="QF257" s="30"/>
      <c r="QG257" s="30"/>
      <c r="QH257" s="30"/>
      <c r="QI257" s="30"/>
      <c r="QJ257" s="30"/>
      <c r="QK257" s="30"/>
      <c r="QL257" s="30"/>
      <c r="QM257" s="30"/>
      <c r="QN257" s="30"/>
      <c r="QO257" s="30"/>
      <c r="QP257" s="30"/>
      <c r="QQ257" s="30"/>
      <c r="QR257" s="30"/>
      <c r="QS257" s="30"/>
      <c r="QT257" s="30"/>
      <c r="QU257" s="30"/>
      <c r="QV257" s="30"/>
      <c r="QW257" s="30"/>
      <c r="QX257" s="30"/>
      <c r="QY257" s="30"/>
      <c r="QZ257" s="30"/>
      <c r="RA257" s="30"/>
      <c r="RB257" s="30"/>
      <c r="RC257" s="30"/>
      <c r="RD257" s="30"/>
      <c r="RE257" s="30"/>
      <c r="RF257" s="30"/>
      <c r="RG257" s="30"/>
      <c r="RH257" s="30"/>
      <c r="RI257" s="30"/>
      <c r="RJ257" s="30"/>
      <c r="RK257" s="30"/>
      <c r="RL257" s="30"/>
      <c r="RM257" s="30"/>
      <c r="RN257" s="30"/>
      <c r="RO257" s="30"/>
      <c r="RP257" s="30"/>
      <c r="RQ257" s="30"/>
      <c r="RR257" s="30"/>
      <c r="RS257" s="30"/>
      <c r="RT257" s="30"/>
      <c r="RU257" s="30"/>
      <c r="RV257" s="30"/>
      <c r="RW257" s="30"/>
      <c r="RX257" s="30"/>
      <c r="RY257" s="30"/>
      <c r="RZ257" s="30"/>
      <c r="SA257" s="30"/>
      <c r="SB257" s="30"/>
      <c r="SC257" s="30"/>
      <c r="SD257" s="30"/>
      <c r="SE257" s="30"/>
      <c r="SF257" s="30"/>
      <c r="SG257" s="30"/>
      <c r="SH257" s="30"/>
      <c r="SI257" s="30"/>
      <c r="SJ257" s="30"/>
      <c r="SK257" s="30"/>
      <c r="SL257" s="30"/>
      <c r="SM257" s="30"/>
      <c r="SN257" s="30"/>
      <c r="SO257" s="30"/>
      <c r="SP257" s="30"/>
      <c r="SQ257" s="30"/>
      <c r="SR257" s="30"/>
      <c r="SS257" s="30"/>
      <c r="ST257" s="30"/>
      <c r="SU257" s="30"/>
      <c r="SV257" s="30"/>
      <c r="SW257" s="30"/>
      <c r="SX257" s="30"/>
      <c r="SY257" s="30"/>
      <c r="SZ257" s="30"/>
      <c r="TA257" s="30"/>
      <c r="TB257" s="30"/>
      <c r="TC257" s="30"/>
      <c r="TD257" s="30"/>
      <c r="TE257" s="30"/>
      <c r="TF257" s="30"/>
      <c r="TG257" s="30"/>
    </row>
    <row r="258" spans="1:527" s="22" customFormat="1" ht="126" hidden="1" customHeight="1" x14ac:dyDescent="0.25">
      <c r="A258" s="60" t="s">
        <v>371</v>
      </c>
      <c r="B258" s="97">
        <v>7691</v>
      </c>
      <c r="C258" s="37" t="s">
        <v>84</v>
      </c>
      <c r="D258" s="61" t="s">
        <v>316</v>
      </c>
      <c r="E258" s="103">
        <f t="shared" si="124"/>
        <v>0</v>
      </c>
      <c r="F258" s="103"/>
      <c r="G258" s="103"/>
      <c r="H258" s="103"/>
      <c r="I258" s="103"/>
      <c r="J258" s="103">
        <f t="shared" si="126"/>
        <v>0</v>
      </c>
      <c r="K258" s="103"/>
      <c r="L258" s="117"/>
      <c r="M258" s="103"/>
      <c r="N258" s="103"/>
      <c r="O258" s="103"/>
      <c r="P258" s="103">
        <f t="shared" si="125"/>
        <v>0</v>
      </c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  <c r="TF258" s="23"/>
      <c r="TG258" s="23"/>
    </row>
    <row r="259" spans="1:527" s="22" customFormat="1" ht="33.75" customHeight="1" x14ac:dyDescent="0.25">
      <c r="A259" s="60" t="s">
        <v>547</v>
      </c>
      <c r="B259" s="97">
        <v>9750</v>
      </c>
      <c r="C259" s="60" t="s">
        <v>46</v>
      </c>
      <c r="D259" s="61" t="s">
        <v>548</v>
      </c>
      <c r="E259" s="103">
        <f t="shared" ref="E259" si="129">F259+I259</f>
        <v>0</v>
      </c>
      <c r="F259" s="103"/>
      <c r="G259" s="103"/>
      <c r="H259" s="103"/>
      <c r="I259" s="103"/>
      <c r="J259" s="103">
        <f t="shared" ref="J259" si="130">L259+O259</f>
        <v>86000</v>
      </c>
      <c r="K259" s="103">
        <v>86000</v>
      </c>
      <c r="L259" s="117"/>
      <c r="M259" s="103"/>
      <c r="N259" s="103"/>
      <c r="O259" s="103">
        <v>86000</v>
      </c>
      <c r="P259" s="103">
        <f t="shared" ref="P259" si="131">E259+J259</f>
        <v>86000</v>
      </c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  <c r="TF259" s="23"/>
      <c r="TG259" s="23"/>
    </row>
    <row r="260" spans="1:527" s="27" customFormat="1" ht="30.75" customHeight="1" x14ac:dyDescent="0.25">
      <c r="A260" s="114" t="s">
        <v>209</v>
      </c>
      <c r="B260" s="116"/>
      <c r="C260" s="116"/>
      <c r="D260" s="111" t="s">
        <v>41</v>
      </c>
      <c r="E260" s="99">
        <f>E261</f>
        <v>11825766</v>
      </c>
      <c r="F260" s="99">
        <f t="shared" ref="F260:J260" si="132">F261</f>
        <v>11825766</v>
      </c>
      <c r="G260" s="99">
        <f t="shared" si="132"/>
        <v>7405200</v>
      </c>
      <c r="H260" s="99">
        <f t="shared" si="132"/>
        <v>86000</v>
      </c>
      <c r="I260" s="99">
        <f t="shared" si="132"/>
        <v>0</v>
      </c>
      <c r="J260" s="99">
        <f t="shared" si="132"/>
        <v>2596250.2999999998</v>
      </c>
      <c r="K260" s="99">
        <f t="shared" ref="K260" si="133">K261</f>
        <v>0</v>
      </c>
      <c r="L260" s="99">
        <f t="shared" ref="L260" si="134">L261</f>
        <v>2596250.2999999998</v>
      </c>
      <c r="M260" s="99">
        <f t="shared" ref="M260" si="135">M261</f>
        <v>0</v>
      </c>
      <c r="N260" s="99">
        <f t="shared" ref="N260" si="136">N261</f>
        <v>0</v>
      </c>
      <c r="O260" s="99">
        <f t="shared" ref="O260:P260" si="137">O261</f>
        <v>0</v>
      </c>
      <c r="P260" s="99">
        <f t="shared" si="137"/>
        <v>14422016.300000001</v>
      </c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  <c r="FK260" s="32"/>
      <c r="FL260" s="32"/>
      <c r="FM260" s="32"/>
      <c r="FN260" s="32"/>
      <c r="FO260" s="32"/>
      <c r="FP260" s="32"/>
      <c r="FQ260" s="32"/>
      <c r="FR260" s="32"/>
      <c r="FS260" s="32"/>
      <c r="FT260" s="32"/>
      <c r="FU260" s="32"/>
      <c r="FV260" s="32"/>
      <c r="FW260" s="32"/>
      <c r="FX260" s="32"/>
      <c r="FY260" s="32"/>
      <c r="FZ260" s="32"/>
      <c r="GA260" s="32"/>
      <c r="GB260" s="32"/>
      <c r="GC260" s="32"/>
      <c r="GD260" s="32"/>
      <c r="GE260" s="32"/>
      <c r="GF260" s="32"/>
      <c r="GG260" s="32"/>
      <c r="GH260" s="32"/>
      <c r="GI260" s="32"/>
      <c r="GJ260" s="32"/>
      <c r="GK260" s="32"/>
      <c r="GL260" s="32"/>
      <c r="GM260" s="32"/>
      <c r="GN260" s="32"/>
      <c r="GO260" s="32"/>
      <c r="GP260" s="32"/>
      <c r="GQ260" s="32"/>
      <c r="GR260" s="32"/>
      <c r="GS260" s="32"/>
      <c r="GT260" s="32"/>
      <c r="GU260" s="32"/>
      <c r="GV260" s="32"/>
      <c r="GW260" s="32"/>
      <c r="GX260" s="32"/>
      <c r="GY260" s="32"/>
      <c r="GZ260" s="32"/>
      <c r="HA260" s="32"/>
      <c r="HB260" s="32"/>
      <c r="HC260" s="32"/>
      <c r="HD260" s="32"/>
      <c r="HE260" s="32"/>
      <c r="HF260" s="32"/>
      <c r="HG260" s="32"/>
      <c r="HH260" s="32"/>
      <c r="HI260" s="32"/>
      <c r="HJ260" s="32"/>
      <c r="HK260" s="32"/>
      <c r="HL260" s="32"/>
      <c r="HM260" s="32"/>
      <c r="HN260" s="32"/>
      <c r="HO260" s="32"/>
      <c r="HP260" s="32"/>
      <c r="HQ260" s="32"/>
      <c r="HR260" s="32"/>
      <c r="HS260" s="32"/>
      <c r="HT260" s="32"/>
      <c r="HU260" s="32"/>
      <c r="HV260" s="32"/>
      <c r="HW260" s="32"/>
      <c r="HX260" s="32"/>
      <c r="HY260" s="32"/>
      <c r="HZ260" s="32"/>
      <c r="IA260" s="32"/>
      <c r="IB260" s="32"/>
      <c r="IC260" s="32"/>
      <c r="ID260" s="32"/>
      <c r="IE260" s="32"/>
      <c r="IF260" s="32"/>
      <c r="IG260" s="32"/>
      <c r="IH260" s="32"/>
      <c r="II260" s="32"/>
      <c r="IJ260" s="32"/>
      <c r="IK260" s="32"/>
      <c r="IL260" s="32"/>
      <c r="IM260" s="32"/>
      <c r="IN260" s="32"/>
      <c r="IO260" s="32"/>
      <c r="IP260" s="32"/>
      <c r="IQ260" s="32"/>
      <c r="IR260" s="32"/>
      <c r="IS260" s="32"/>
      <c r="IT260" s="32"/>
      <c r="IU260" s="32"/>
      <c r="IV260" s="32"/>
      <c r="IW260" s="32"/>
      <c r="IX260" s="32"/>
      <c r="IY260" s="32"/>
      <c r="IZ260" s="32"/>
      <c r="JA260" s="32"/>
      <c r="JB260" s="32"/>
      <c r="JC260" s="32"/>
      <c r="JD260" s="32"/>
      <c r="JE260" s="32"/>
      <c r="JF260" s="32"/>
      <c r="JG260" s="32"/>
      <c r="JH260" s="32"/>
      <c r="JI260" s="32"/>
      <c r="JJ260" s="32"/>
      <c r="JK260" s="32"/>
      <c r="JL260" s="32"/>
      <c r="JM260" s="32"/>
      <c r="JN260" s="32"/>
      <c r="JO260" s="32"/>
      <c r="JP260" s="32"/>
      <c r="JQ260" s="32"/>
      <c r="JR260" s="32"/>
      <c r="JS260" s="32"/>
      <c r="JT260" s="32"/>
      <c r="JU260" s="32"/>
      <c r="JV260" s="32"/>
      <c r="JW260" s="32"/>
      <c r="JX260" s="32"/>
      <c r="JY260" s="32"/>
      <c r="JZ260" s="32"/>
      <c r="KA260" s="32"/>
      <c r="KB260" s="32"/>
      <c r="KC260" s="32"/>
      <c r="KD260" s="32"/>
      <c r="KE260" s="32"/>
      <c r="KF260" s="32"/>
      <c r="KG260" s="32"/>
      <c r="KH260" s="32"/>
      <c r="KI260" s="32"/>
      <c r="KJ260" s="32"/>
      <c r="KK260" s="32"/>
      <c r="KL260" s="32"/>
      <c r="KM260" s="32"/>
      <c r="KN260" s="32"/>
      <c r="KO260" s="32"/>
      <c r="KP260" s="32"/>
      <c r="KQ260" s="32"/>
      <c r="KR260" s="32"/>
      <c r="KS260" s="32"/>
      <c r="KT260" s="32"/>
      <c r="KU260" s="32"/>
      <c r="KV260" s="32"/>
      <c r="KW260" s="32"/>
      <c r="KX260" s="32"/>
      <c r="KY260" s="32"/>
      <c r="KZ260" s="32"/>
      <c r="LA260" s="32"/>
      <c r="LB260" s="32"/>
      <c r="LC260" s="32"/>
      <c r="LD260" s="32"/>
      <c r="LE260" s="32"/>
      <c r="LF260" s="32"/>
      <c r="LG260" s="32"/>
      <c r="LH260" s="32"/>
      <c r="LI260" s="32"/>
      <c r="LJ260" s="32"/>
      <c r="LK260" s="32"/>
      <c r="LL260" s="32"/>
      <c r="LM260" s="32"/>
      <c r="LN260" s="32"/>
      <c r="LO260" s="32"/>
      <c r="LP260" s="32"/>
      <c r="LQ260" s="32"/>
      <c r="LR260" s="32"/>
      <c r="LS260" s="32"/>
      <c r="LT260" s="32"/>
      <c r="LU260" s="32"/>
      <c r="LV260" s="32"/>
      <c r="LW260" s="32"/>
      <c r="LX260" s="32"/>
      <c r="LY260" s="32"/>
      <c r="LZ260" s="32"/>
      <c r="MA260" s="32"/>
      <c r="MB260" s="32"/>
      <c r="MC260" s="32"/>
      <c r="MD260" s="32"/>
      <c r="ME260" s="32"/>
      <c r="MF260" s="32"/>
      <c r="MG260" s="32"/>
      <c r="MH260" s="32"/>
      <c r="MI260" s="32"/>
      <c r="MJ260" s="32"/>
      <c r="MK260" s="32"/>
      <c r="ML260" s="32"/>
      <c r="MM260" s="32"/>
      <c r="MN260" s="32"/>
      <c r="MO260" s="32"/>
      <c r="MP260" s="32"/>
      <c r="MQ260" s="32"/>
      <c r="MR260" s="32"/>
      <c r="MS260" s="32"/>
      <c r="MT260" s="32"/>
      <c r="MU260" s="32"/>
      <c r="MV260" s="32"/>
      <c r="MW260" s="32"/>
      <c r="MX260" s="32"/>
      <c r="MY260" s="32"/>
      <c r="MZ260" s="32"/>
      <c r="NA260" s="32"/>
      <c r="NB260" s="32"/>
      <c r="NC260" s="32"/>
      <c r="ND260" s="32"/>
      <c r="NE260" s="32"/>
      <c r="NF260" s="32"/>
      <c r="NG260" s="32"/>
      <c r="NH260" s="32"/>
      <c r="NI260" s="32"/>
      <c r="NJ260" s="32"/>
      <c r="NK260" s="32"/>
      <c r="NL260" s="32"/>
      <c r="NM260" s="32"/>
      <c r="NN260" s="32"/>
      <c r="NO260" s="32"/>
      <c r="NP260" s="32"/>
      <c r="NQ260" s="32"/>
      <c r="NR260" s="32"/>
      <c r="NS260" s="32"/>
      <c r="NT260" s="32"/>
      <c r="NU260" s="32"/>
      <c r="NV260" s="32"/>
      <c r="NW260" s="32"/>
      <c r="NX260" s="32"/>
      <c r="NY260" s="32"/>
      <c r="NZ260" s="32"/>
      <c r="OA260" s="32"/>
      <c r="OB260" s="32"/>
      <c r="OC260" s="32"/>
      <c r="OD260" s="32"/>
      <c r="OE260" s="32"/>
      <c r="OF260" s="32"/>
      <c r="OG260" s="32"/>
      <c r="OH260" s="32"/>
      <c r="OI260" s="32"/>
      <c r="OJ260" s="32"/>
      <c r="OK260" s="32"/>
      <c r="OL260" s="32"/>
      <c r="OM260" s="32"/>
      <c r="ON260" s="32"/>
      <c r="OO260" s="32"/>
      <c r="OP260" s="32"/>
      <c r="OQ260" s="32"/>
      <c r="OR260" s="32"/>
      <c r="OS260" s="32"/>
      <c r="OT260" s="32"/>
      <c r="OU260" s="32"/>
      <c r="OV260" s="32"/>
      <c r="OW260" s="32"/>
      <c r="OX260" s="32"/>
      <c r="OY260" s="32"/>
      <c r="OZ260" s="32"/>
      <c r="PA260" s="32"/>
      <c r="PB260" s="32"/>
      <c r="PC260" s="32"/>
      <c r="PD260" s="32"/>
      <c r="PE260" s="32"/>
      <c r="PF260" s="32"/>
      <c r="PG260" s="32"/>
      <c r="PH260" s="32"/>
      <c r="PI260" s="32"/>
      <c r="PJ260" s="32"/>
      <c r="PK260" s="32"/>
      <c r="PL260" s="32"/>
      <c r="PM260" s="32"/>
      <c r="PN260" s="32"/>
      <c r="PO260" s="32"/>
      <c r="PP260" s="32"/>
      <c r="PQ260" s="32"/>
      <c r="PR260" s="32"/>
      <c r="PS260" s="32"/>
      <c r="PT260" s="32"/>
      <c r="PU260" s="32"/>
      <c r="PV260" s="32"/>
      <c r="PW260" s="32"/>
      <c r="PX260" s="32"/>
      <c r="PY260" s="32"/>
      <c r="PZ260" s="32"/>
      <c r="QA260" s="32"/>
      <c r="QB260" s="32"/>
      <c r="QC260" s="32"/>
      <c r="QD260" s="32"/>
      <c r="QE260" s="32"/>
      <c r="QF260" s="32"/>
      <c r="QG260" s="32"/>
      <c r="QH260" s="32"/>
      <c r="QI260" s="32"/>
      <c r="QJ260" s="32"/>
      <c r="QK260" s="32"/>
      <c r="QL260" s="32"/>
      <c r="QM260" s="32"/>
      <c r="QN260" s="32"/>
      <c r="QO260" s="32"/>
      <c r="QP260" s="32"/>
      <c r="QQ260" s="32"/>
      <c r="QR260" s="32"/>
      <c r="QS260" s="32"/>
      <c r="QT260" s="32"/>
      <c r="QU260" s="32"/>
      <c r="QV260" s="32"/>
      <c r="QW260" s="32"/>
      <c r="QX260" s="32"/>
      <c r="QY260" s="32"/>
      <c r="QZ260" s="32"/>
      <c r="RA260" s="32"/>
      <c r="RB260" s="32"/>
      <c r="RC260" s="32"/>
      <c r="RD260" s="32"/>
      <c r="RE260" s="32"/>
      <c r="RF260" s="32"/>
      <c r="RG260" s="32"/>
      <c r="RH260" s="32"/>
      <c r="RI260" s="32"/>
      <c r="RJ260" s="32"/>
      <c r="RK260" s="32"/>
      <c r="RL260" s="32"/>
      <c r="RM260" s="32"/>
      <c r="RN260" s="32"/>
      <c r="RO260" s="32"/>
      <c r="RP260" s="32"/>
      <c r="RQ260" s="32"/>
      <c r="RR260" s="32"/>
      <c r="RS260" s="32"/>
      <c r="RT260" s="32"/>
      <c r="RU260" s="32"/>
      <c r="RV260" s="32"/>
      <c r="RW260" s="32"/>
      <c r="RX260" s="32"/>
      <c r="RY260" s="32"/>
      <c r="RZ260" s="32"/>
      <c r="SA260" s="32"/>
      <c r="SB260" s="32"/>
      <c r="SC260" s="32"/>
      <c r="SD260" s="32"/>
      <c r="SE260" s="32"/>
      <c r="SF260" s="32"/>
      <c r="SG260" s="32"/>
      <c r="SH260" s="32"/>
      <c r="SI260" s="32"/>
      <c r="SJ260" s="32"/>
      <c r="SK260" s="32"/>
      <c r="SL260" s="32"/>
      <c r="SM260" s="32"/>
      <c r="SN260" s="32"/>
      <c r="SO260" s="32"/>
      <c r="SP260" s="32"/>
      <c r="SQ260" s="32"/>
      <c r="SR260" s="32"/>
      <c r="SS260" s="32"/>
      <c r="ST260" s="32"/>
      <c r="SU260" s="32"/>
      <c r="SV260" s="32"/>
      <c r="SW260" s="32"/>
      <c r="SX260" s="32"/>
      <c r="SY260" s="32"/>
      <c r="SZ260" s="32"/>
      <c r="TA260" s="32"/>
      <c r="TB260" s="32"/>
      <c r="TC260" s="32"/>
      <c r="TD260" s="32"/>
      <c r="TE260" s="32"/>
      <c r="TF260" s="32"/>
      <c r="TG260" s="32"/>
    </row>
    <row r="261" spans="1:527" s="34" customFormat="1" ht="35.25" customHeight="1" x14ac:dyDescent="0.25">
      <c r="A261" s="100" t="s">
        <v>210</v>
      </c>
      <c r="B261" s="113"/>
      <c r="C261" s="113"/>
      <c r="D261" s="81" t="s">
        <v>41</v>
      </c>
      <c r="E261" s="102">
        <f>E262+E263+E264+E265+E266</f>
        <v>11825766</v>
      </c>
      <c r="F261" s="102">
        <f>F262+F263+F264+F265+F266</f>
        <v>11825766</v>
      </c>
      <c r="G261" s="102">
        <f t="shared" ref="G261:P261" si="138">G262+G263+G264+G265+G266</f>
        <v>7405200</v>
      </c>
      <c r="H261" s="102">
        <f t="shared" si="138"/>
        <v>86000</v>
      </c>
      <c r="I261" s="102">
        <f t="shared" si="138"/>
        <v>0</v>
      </c>
      <c r="J261" s="102">
        <f t="shared" si="138"/>
        <v>2596250.2999999998</v>
      </c>
      <c r="K261" s="102">
        <f t="shared" si="138"/>
        <v>0</v>
      </c>
      <c r="L261" s="102">
        <f t="shared" si="138"/>
        <v>2596250.2999999998</v>
      </c>
      <c r="M261" s="102">
        <f t="shared" si="138"/>
        <v>0</v>
      </c>
      <c r="N261" s="102">
        <f t="shared" si="138"/>
        <v>0</v>
      </c>
      <c r="O261" s="102">
        <f t="shared" si="138"/>
        <v>0</v>
      </c>
      <c r="P261" s="102">
        <f t="shared" si="138"/>
        <v>14422016.300000001</v>
      </c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33"/>
      <c r="FU261" s="33"/>
      <c r="FV261" s="33"/>
      <c r="FW261" s="33"/>
      <c r="FX261" s="33"/>
      <c r="FY261" s="33"/>
      <c r="FZ261" s="33"/>
      <c r="GA261" s="33"/>
      <c r="GB261" s="33"/>
      <c r="GC261" s="33"/>
      <c r="GD261" s="33"/>
      <c r="GE261" s="33"/>
      <c r="GF261" s="33"/>
      <c r="GG261" s="33"/>
      <c r="GH261" s="33"/>
      <c r="GI261" s="33"/>
      <c r="GJ261" s="33"/>
      <c r="GK261" s="33"/>
      <c r="GL261" s="33"/>
      <c r="GM261" s="33"/>
      <c r="GN261" s="33"/>
      <c r="GO261" s="33"/>
      <c r="GP261" s="33"/>
      <c r="GQ261" s="33"/>
      <c r="GR261" s="33"/>
      <c r="GS261" s="33"/>
      <c r="GT261" s="33"/>
      <c r="GU261" s="33"/>
      <c r="GV261" s="33"/>
      <c r="GW261" s="33"/>
      <c r="GX261" s="33"/>
      <c r="GY261" s="33"/>
      <c r="GZ261" s="33"/>
      <c r="HA261" s="33"/>
      <c r="HB261" s="33"/>
      <c r="HC261" s="33"/>
      <c r="HD261" s="33"/>
      <c r="HE261" s="33"/>
      <c r="HF261" s="33"/>
      <c r="HG261" s="33"/>
      <c r="HH261" s="33"/>
      <c r="HI261" s="33"/>
      <c r="HJ261" s="33"/>
      <c r="HK261" s="33"/>
      <c r="HL261" s="33"/>
      <c r="HM261" s="33"/>
      <c r="HN261" s="33"/>
      <c r="HO261" s="33"/>
      <c r="HP261" s="33"/>
      <c r="HQ261" s="33"/>
      <c r="HR261" s="33"/>
      <c r="HS261" s="33"/>
      <c r="HT261" s="33"/>
      <c r="HU261" s="33"/>
      <c r="HV261" s="33"/>
      <c r="HW261" s="33"/>
      <c r="HX261" s="33"/>
      <c r="HY261" s="33"/>
      <c r="HZ261" s="33"/>
      <c r="IA261" s="33"/>
      <c r="IB261" s="33"/>
      <c r="IC261" s="33"/>
      <c r="ID261" s="33"/>
      <c r="IE261" s="33"/>
      <c r="IF261" s="33"/>
      <c r="IG261" s="33"/>
      <c r="IH261" s="33"/>
      <c r="II261" s="33"/>
      <c r="IJ261" s="33"/>
      <c r="IK261" s="33"/>
      <c r="IL261" s="33"/>
      <c r="IM261" s="33"/>
      <c r="IN261" s="33"/>
      <c r="IO261" s="33"/>
      <c r="IP261" s="33"/>
      <c r="IQ261" s="33"/>
      <c r="IR261" s="33"/>
      <c r="IS261" s="33"/>
      <c r="IT261" s="33"/>
      <c r="IU261" s="33"/>
      <c r="IV261" s="33"/>
      <c r="IW261" s="33"/>
      <c r="IX261" s="33"/>
      <c r="IY261" s="33"/>
      <c r="IZ261" s="33"/>
      <c r="JA261" s="33"/>
      <c r="JB261" s="33"/>
      <c r="JC261" s="33"/>
      <c r="JD261" s="33"/>
      <c r="JE261" s="33"/>
      <c r="JF261" s="33"/>
      <c r="JG261" s="33"/>
      <c r="JH261" s="33"/>
      <c r="JI261" s="33"/>
      <c r="JJ261" s="33"/>
      <c r="JK261" s="33"/>
      <c r="JL261" s="33"/>
      <c r="JM261" s="33"/>
      <c r="JN261" s="33"/>
      <c r="JO261" s="33"/>
      <c r="JP261" s="33"/>
      <c r="JQ261" s="33"/>
      <c r="JR261" s="33"/>
      <c r="JS261" s="33"/>
      <c r="JT261" s="33"/>
      <c r="JU261" s="33"/>
      <c r="JV261" s="33"/>
      <c r="JW261" s="33"/>
      <c r="JX261" s="33"/>
      <c r="JY261" s="33"/>
      <c r="JZ261" s="33"/>
      <c r="KA261" s="33"/>
      <c r="KB261" s="33"/>
      <c r="KC261" s="33"/>
      <c r="KD261" s="33"/>
      <c r="KE261" s="33"/>
      <c r="KF261" s="33"/>
      <c r="KG261" s="33"/>
      <c r="KH261" s="33"/>
      <c r="KI261" s="33"/>
      <c r="KJ261" s="33"/>
      <c r="KK261" s="33"/>
      <c r="KL261" s="33"/>
      <c r="KM261" s="33"/>
      <c r="KN261" s="33"/>
      <c r="KO261" s="33"/>
      <c r="KP261" s="33"/>
      <c r="KQ261" s="33"/>
      <c r="KR261" s="33"/>
      <c r="KS261" s="33"/>
      <c r="KT261" s="33"/>
      <c r="KU261" s="33"/>
      <c r="KV261" s="33"/>
      <c r="KW261" s="33"/>
      <c r="KX261" s="33"/>
      <c r="KY261" s="33"/>
      <c r="KZ261" s="33"/>
      <c r="LA261" s="33"/>
      <c r="LB261" s="33"/>
      <c r="LC261" s="33"/>
      <c r="LD261" s="33"/>
      <c r="LE261" s="33"/>
      <c r="LF261" s="33"/>
      <c r="LG261" s="33"/>
      <c r="LH261" s="33"/>
      <c r="LI261" s="33"/>
      <c r="LJ261" s="33"/>
      <c r="LK261" s="33"/>
      <c r="LL261" s="33"/>
      <c r="LM261" s="33"/>
      <c r="LN261" s="33"/>
      <c r="LO261" s="33"/>
      <c r="LP261" s="33"/>
      <c r="LQ261" s="33"/>
      <c r="LR261" s="33"/>
      <c r="LS261" s="33"/>
      <c r="LT261" s="33"/>
      <c r="LU261" s="33"/>
      <c r="LV261" s="33"/>
      <c r="LW261" s="33"/>
      <c r="LX261" s="33"/>
      <c r="LY261" s="33"/>
      <c r="LZ261" s="33"/>
      <c r="MA261" s="33"/>
      <c r="MB261" s="33"/>
      <c r="MC261" s="33"/>
      <c r="MD261" s="33"/>
      <c r="ME261" s="33"/>
      <c r="MF261" s="33"/>
      <c r="MG261" s="33"/>
      <c r="MH261" s="33"/>
      <c r="MI261" s="33"/>
      <c r="MJ261" s="33"/>
      <c r="MK261" s="33"/>
      <c r="ML261" s="33"/>
      <c r="MM261" s="33"/>
      <c r="MN261" s="33"/>
      <c r="MO261" s="33"/>
      <c r="MP261" s="33"/>
      <c r="MQ261" s="33"/>
      <c r="MR261" s="33"/>
      <c r="MS261" s="33"/>
      <c r="MT261" s="33"/>
      <c r="MU261" s="33"/>
      <c r="MV261" s="33"/>
      <c r="MW261" s="33"/>
      <c r="MX261" s="33"/>
      <c r="MY261" s="33"/>
      <c r="MZ261" s="33"/>
      <c r="NA261" s="33"/>
      <c r="NB261" s="33"/>
      <c r="NC261" s="33"/>
      <c r="ND261" s="33"/>
      <c r="NE261" s="33"/>
      <c r="NF261" s="33"/>
      <c r="NG261" s="33"/>
      <c r="NH261" s="33"/>
      <c r="NI261" s="33"/>
      <c r="NJ261" s="33"/>
      <c r="NK261" s="33"/>
      <c r="NL261" s="33"/>
      <c r="NM261" s="33"/>
      <c r="NN261" s="33"/>
      <c r="NO261" s="33"/>
      <c r="NP261" s="33"/>
      <c r="NQ261" s="33"/>
      <c r="NR261" s="33"/>
      <c r="NS261" s="33"/>
      <c r="NT261" s="33"/>
      <c r="NU261" s="33"/>
      <c r="NV261" s="33"/>
      <c r="NW261" s="33"/>
      <c r="NX261" s="33"/>
      <c r="NY261" s="33"/>
      <c r="NZ261" s="33"/>
      <c r="OA261" s="33"/>
      <c r="OB261" s="33"/>
      <c r="OC261" s="33"/>
      <c r="OD261" s="33"/>
      <c r="OE261" s="33"/>
      <c r="OF261" s="33"/>
      <c r="OG261" s="33"/>
      <c r="OH261" s="33"/>
      <c r="OI261" s="33"/>
      <c r="OJ261" s="33"/>
      <c r="OK261" s="33"/>
      <c r="OL261" s="33"/>
      <c r="OM261" s="33"/>
      <c r="ON261" s="33"/>
      <c r="OO261" s="33"/>
      <c r="OP261" s="33"/>
      <c r="OQ261" s="33"/>
      <c r="OR261" s="33"/>
      <c r="OS261" s="33"/>
      <c r="OT261" s="33"/>
      <c r="OU261" s="33"/>
      <c r="OV261" s="33"/>
      <c r="OW261" s="33"/>
      <c r="OX261" s="33"/>
      <c r="OY261" s="33"/>
      <c r="OZ261" s="33"/>
      <c r="PA261" s="33"/>
      <c r="PB261" s="33"/>
      <c r="PC261" s="33"/>
      <c r="PD261" s="33"/>
      <c r="PE261" s="33"/>
      <c r="PF261" s="33"/>
      <c r="PG261" s="33"/>
      <c r="PH261" s="33"/>
      <c r="PI261" s="33"/>
      <c r="PJ261" s="33"/>
      <c r="PK261" s="33"/>
      <c r="PL261" s="33"/>
      <c r="PM261" s="33"/>
      <c r="PN261" s="33"/>
      <c r="PO261" s="33"/>
      <c r="PP261" s="33"/>
      <c r="PQ261" s="33"/>
      <c r="PR261" s="33"/>
      <c r="PS261" s="33"/>
      <c r="PT261" s="33"/>
      <c r="PU261" s="33"/>
      <c r="PV261" s="33"/>
      <c r="PW261" s="33"/>
      <c r="PX261" s="33"/>
      <c r="PY261" s="33"/>
      <c r="PZ261" s="33"/>
      <c r="QA261" s="33"/>
      <c r="QB261" s="33"/>
      <c r="QC261" s="33"/>
      <c r="QD261" s="33"/>
      <c r="QE261" s="33"/>
      <c r="QF261" s="33"/>
      <c r="QG261" s="33"/>
      <c r="QH261" s="33"/>
      <c r="QI261" s="33"/>
      <c r="QJ261" s="33"/>
      <c r="QK261" s="33"/>
      <c r="QL261" s="33"/>
      <c r="QM261" s="33"/>
      <c r="QN261" s="33"/>
      <c r="QO261" s="33"/>
      <c r="QP261" s="33"/>
      <c r="QQ261" s="33"/>
      <c r="QR261" s="33"/>
      <c r="QS261" s="33"/>
      <c r="QT261" s="33"/>
      <c r="QU261" s="33"/>
      <c r="QV261" s="33"/>
      <c r="QW261" s="33"/>
      <c r="QX261" s="33"/>
      <c r="QY261" s="33"/>
      <c r="QZ261" s="33"/>
      <c r="RA261" s="33"/>
      <c r="RB261" s="33"/>
      <c r="RC261" s="33"/>
      <c r="RD261" s="33"/>
      <c r="RE261" s="33"/>
      <c r="RF261" s="33"/>
      <c r="RG261" s="33"/>
      <c r="RH261" s="33"/>
      <c r="RI261" s="33"/>
      <c r="RJ261" s="33"/>
      <c r="RK261" s="33"/>
      <c r="RL261" s="33"/>
      <c r="RM261" s="33"/>
      <c r="RN261" s="33"/>
      <c r="RO261" s="33"/>
      <c r="RP261" s="33"/>
      <c r="RQ261" s="33"/>
      <c r="RR261" s="33"/>
      <c r="RS261" s="33"/>
      <c r="RT261" s="33"/>
      <c r="RU261" s="33"/>
      <c r="RV261" s="33"/>
      <c r="RW261" s="33"/>
      <c r="RX261" s="33"/>
      <c r="RY261" s="33"/>
      <c r="RZ261" s="33"/>
      <c r="SA261" s="33"/>
      <c r="SB261" s="33"/>
      <c r="SC261" s="33"/>
      <c r="SD261" s="33"/>
      <c r="SE261" s="33"/>
      <c r="SF261" s="33"/>
      <c r="SG261" s="33"/>
      <c r="SH261" s="33"/>
      <c r="SI261" s="33"/>
      <c r="SJ261" s="33"/>
      <c r="SK261" s="33"/>
      <c r="SL261" s="33"/>
      <c r="SM261" s="33"/>
      <c r="SN261" s="33"/>
      <c r="SO261" s="33"/>
      <c r="SP261" s="33"/>
      <c r="SQ261" s="33"/>
      <c r="SR261" s="33"/>
      <c r="SS261" s="33"/>
      <c r="ST261" s="33"/>
      <c r="SU261" s="33"/>
      <c r="SV261" s="33"/>
      <c r="SW261" s="33"/>
      <c r="SX261" s="33"/>
      <c r="SY261" s="33"/>
      <c r="SZ261" s="33"/>
      <c r="TA261" s="33"/>
      <c r="TB261" s="33"/>
      <c r="TC261" s="33"/>
      <c r="TD261" s="33"/>
      <c r="TE261" s="33"/>
      <c r="TF261" s="33"/>
      <c r="TG261" s="33"/>
    </row>
    <row r="262" spans="1:527" s="22" customFormat="1" ht="47.25" x14ac:dyDescent="0.25">
      <c r="A262" s="60" t="s">
        <v>211</v>
      </c>
      <c r="B262" s="97" t="str">
        <f>'дод 8'!A19</f>
        <v>0160</v>
      </c>
      <c r="C262" s="97" t="str">
        <f>'дод 8'!B19</f>
        <v>0111</v>
      </c>
      <c r="D262" s="36" t="s">
        <v>504</v>
      </c>
      <c r="E262" s="103">
        <f>F262+I262</f>
        <v>9390500</v>
      </c>
      <c r="F262" s="103">
        <v>9390500</v>
      </c>
      <c r="G262" s="103">
        <v>7405200</v>
      </c>
      <c r="H262" s="103">
        <v>86000</v>
      </c>
      <c r="I262" s="103"/>
      <c r="J262" s="103">
        <f t="shared" si="126"/>
        <v>0</v>
      </c>
      <c r="K262" s="103"/>
      <c r="L262" s="103"/>
      <c r="M262" s="103"/>
      <c r="N262" s="103"/>
      <c r="O262" s="103"/>
      <c r="P262" s="103">
        <f>E262+J262</f>
        <v>9390500</v>
      </c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  <c r="IW262" s="23"/>
      <c r="IX262" s="23"/>
      <c r="IY262" s="23"/>
      <c r="IZ262" s="23"/>
      <c r="JA262" s="23"/>
      <c r="JB262" s="23"/>
      <c r="JC262" s="23"/>
      <c r="JD262" s="23"/>
      <c r="JE262" s="23"/>
      <c r="JF262" s="23"/>
      <c r="JG262" s="23"/>
      <c r="JH262" s="23"/>
      <c r="JI262" s="23"/>
      <c r="JJ262" s="23"/>
      <c r="JK262" s="23"/>
      <c r="JL262" s="23"/>
      <c r="JM262" s="23"/>
      <c r="JN262" s="23"/>
      <c r="JO262" s="23"/>
      <c r="JP262" s="23"/>
      <c r="JQ262" s="23"/>
      <c r="JR262" s="23"/>
      <c r="JS262" s="23"/>
      <c r="JT262" s="23"/>
      <c r="JU262" s="23"/>
      <c r="JV262" s="23"/>
      <c r="JW262" s="23"/>
      <c r="JX262" s="23"/>
      <c r="JY262" s="23"/>
      <c r="JZ262" s="23"/>
      <c r="KA262" s="23"/>
      <c r="KB262" s="23"/>
      <c r="KC262" s="23"/>
      <c r="KD262" s="23"/>
      <c r="KE262" s="23"/>
      <c r="KF262" s="23"/>
      <c r="KG262" s="23"/>
      <c r="KH262" s="23"/>
      <c r="KI262" s="23"/>
      <c r="KJ262" s="23"/>
      <c r="KK262" s="23"/>
      <c r="KL262" s="23"/>
      <c r="KM262" s="23"/>
      <c r="KN262" s="23"/>
      <c r="KO262" s="23"/>
      <c r="KP262" s="23"/>
      <c r="KQ262" s="23"/>
      <c r="KR262" s="23"/>
      <c r="KS262" s="23"/>
      <c r="KT262" s="23"/>
      <c r="KU262" s="23"/>
      <c r="KV262" s="23"/>
      <c r="KW262" s="23"/>
      <c r="KX262" s="23"/>
      <c r="KY262" s="23"/>
      <c r="KZ262" s="23"/>
      <c r="LA262" s="23"/>
      <c r="LB262" s="23"/>
      <c r="LC262" s="23"/>
      <c r="LD262" s="23"/>
      <c r="LE262" s="23"/>
      <c r="LF262" s="23"/>
      <c r="LG262" s="23"/>
      <c r="LH262" s="23"/>
      <c r="LI262" s="23"/>
      <c r="LJ262" s="23"/>
      <c r="LK262" s="23"/>
      <c r="LL262" s="23"/>
      <c r="LM262" s="23"/>
      <c r="LN262" s="23"/>
      <c r="LO262" s="23"/>
      <c r="LP262" s="23"/>
      <c r="LQ262" s="23"/>
      <c r="LR262" s="23"/>
      <c r="LS262" s="23"/>
      <c r="LT262" s="23"/>
      <c r="LU262" s="23"/>
      <c r="LV262" s="23"/>
      <c r="LW262" s="23"/>
      <c r="LX262" s="23"/>
      <c r="LY262" s="23"/>
      <c r="LZ262" s="23"/>
      <c r="MA262" s="23"/>
      <c r="MB262" s="23"/>
      <c r="MC262" s="23"/>
      <c r="MD262" s="23"/>
      <c r="ME262" s="23"/>
      <c r="MF262" s="23"/>
      <c r="MG262" s="23"/>
      <c r="MH262" s="23"/>
      <c r="MI262" s="23"/>
      <c r="MJ262" s="23"/>
      <c r="MK262" s="23"/>
      <c r="ML262" s="23"/>
      <c r="MM262" s="23"/>
      <c r="MN262" s="23"/>
      <c r="MO262" s="23"/>
      <c r="MP262" s="23"/>
      <c r="MQ262" s="23"/>
      <c r="MR262" s="23"/>
      <c r="MS262" s="23"/>
      <c r="MT262" s="23"/>
      <c r="MU262" s="23"/>
      <c r="MV262" s="23"/>
      <c r="MW262" s="23"/>
      <c r="MX262" s="23"/>
      <c r="MY262" s="23"/>
      <c r="MZ262" s="23"/>
      <c r="NA262" s="23"/>
      <c r="NB262" s="23"/>
      <c r="NC262" s="23"/>
      <c r="ND262" s="23"/>
      <c r="NE262" s="23"/>
      <c r="NF262" s="23"/>
      <c r="NG262" s="23"/>
      <c r="NH262" s="23"/>
      <c r="NI262" s="23"/>
      <c r="NJ262" s="23"/>
      <c r="NK262" s="23"/>
      <c r="NL262" s="23"/>
      <c r="NM262" s="23"/>
      <c r="NN262" s="23"/>
      <c r="NO262" s="23"/>
      <c r="NP262" s="23"/>
      <c r="NQ262" s="23"/>
      <c r="NR262" s="23"/>
      <c r="NS262" s="23"/>
      <c r="NT262" s="23"/>
      <c r="NU262" s="23"/>
      <c r="NV262" s="23"/>
      <c r="NW262" s="23"/>
      <c r="NX262" s="23"/>
      <c r="NY262" s="23"/>
      <c r="NZ262" s="23"/>
      <c r="OA262" s="23"/>
      <c r="OB262" s="23"/>
      <c r="OC262" s="23"/>
      <c r="OD262" s="23"/>
      <c r="OE262" s="23"/>
      <c r="OF262" s="23"/>
      <c r="OG262" s="23"/>
      <c r="OH262" s="23"/>
      <c r="OI262" s="23"/>
      <c r="OJ262" s="23"/>
      <c r="OK262" s="23"/>
      <c r="OL262" s="23"/>
      <c r="OM262" s="23"/>
      <c r="ON262" s="23"/>
      <c r="OO262" s="23"/>
      <c r="OP262" s="23"/>
      <c r="OQ262" s="23"/>
      <c r="OR262" s="23"/>
      <c r="OS262" s="23"/>
      <c r="OT262" s="23"/>
      <c r="OU262" s="23"/>
      <c r="OV262" s="23"/>
      <c r="OW262" s="23"/>
      <c r="OX262" s="23"/>
      <c r="OY262" s="23"/>
      <c r="OZ262" s="23"/>
      <c r="PA262" s="23"/>
      <c r="PB262" s="23"/>
      <c r="PC262" s="23"/>
      <c r="PD262" s="23"/>
      <c r="PE262" s="23"/>
      <c r="PF262" s="23"/>
      <c r="PG262" s="23"/>
      <c r="PH262" s="23"/>
      <c r="PI262" s="23"/>
      <c r="PJ262" s="23"/>
      <c r="PK262" s="23"/>
      <c r="PL262" s="23"/>
      <c r="PM262" s="23"/>
      <c r="PN262" s="23"/>
      <c r="PO262" s="23"/>
      <c r="PP262" s="23"/>
      <c r="PQ262" s="23"/>
      <c r="PR262" s="23"/>
      <c r="PS262" s="23"/>
      <c r="PT262" s="23"/>
      <c r="PU262" s="23"/>
      <c r="PV262" s="23"/>
      <c r="PW262" s="23"/>
      <c r="PX262" s="23"/>
      <c r="PY262" s="23"/>
      <c r="PZ262" s="23"/>
      <c r="QA262" s="23"/>
      <c r="QB262" s="23"/>
      <c r="QC262" s="23"/>
      <c r="QD262" s="23"/>
      <c r="QE262" s="23"/>
      <c r="QF262" s="23"/>
      <c r="QG262" s="23"/>
      <c r="QH262" s="23"/>
      <c r="QI262" s="23"/>
      <c r="QJ262" s="23"/>
      <c r="QK262" s="23"/>
      <c r="QL262" s="23"/>
      <c r="QM262" s="23"/>
      <c r="QN262" s="23"/>
      <c r="QO262" s="23"/>
      <c r="QP262" s="23"/>
      <c r="QQ262" s="23"/>
      <c r="QR262" s="23"/>
      <c r="QS262" s="23"/>
      <c r="QT262" s="23"/>
      <c r="QU262" s="23"/>
      <c r="QV262" s="23"/>
      <c r="QW262" s="23"/>
      <c r="QX262" s="23"/>
      <c r="QY262" s="23"/>
      <c r="QZ262" s="23"/>
      <c r="RA262" s="23"/>
      <c r="RB262" s="23"/>
      <c r="RC262" s="23"/>
      <c r="RD262" s="23"/>
      <c r="RE262" s="23"/>
      <c r="RF262" s="23"/>
      <c r="RG262" s="23"/>
      <c r="RH262" s="23"/>
      <c r="RI262" s="23"/>
      <c r="RJ262" s="23"/>
      <c r="RK262" s="23"/>
      <c r="RL262" s="23"/>
      <c r="RM262" s="23"/>
      <c r="RN262" s="23"/>
      <c r="RO262" s="23"/>
      <c r="RP262" s="23"/>
      <c r="RQ262" s="23"/>
      <c r="RR262" s="23"/>
      <c r="RS262" s="23"/>
      <c r="RT262" s="23"/>
      <c r="RU262" s="23"/>
      <c r="RV262" s="23"/>
      <c r="RW262" s="23"/>
      <c r="RX262" s="23"/>
      <c r="RY262" s="23"/>
      <c r="RZ262" s="23"/>
      <c r="SA262" s="23"/>
      <c r="SB262" s="23"/>
      <c r="SC262" s="23"/>
      <c r="SD262" s="23"/>
      <c r="SE262" s="23"/>
      <c r="SF262" s="23"/>
      <c r="SG262" s="23"/>
      <c r="SH262" s="23"/>
      <c r="SI262" s="23"/>
      <c r="SJ262" s="23"/>
      <c r="SK262" s="23"/>
      <c r="SL262" s="23"/>
      <c r="SM262" s="23"/>
      <c r="SN262" s="23"/>
      <c r="SO262" s="23"/>
      <c r="SP262" s="23"/>
      <c r="SQ262" s="23"/>
      <c r="SR262" s="23"/>
      <c r="SS262" s="23"/>
      <c r="ST262" s="23"/>
      <c r="SU262" s="23"/>
      <c r="SV262" s="23"/>
      <c r="SW262" s="23"/>
      <c r="SX262" s="23"/>
      <c r="SY262" s="23"/>
      <c r="SZ262" s="23"/>
      <c r="TA262" s="23"/>
      <c r="TB262" s="23"/>
      <c r="TC262" s="23"/>
      <c r="TD262" s="23"/>
      <c r="TE262" s="23"/>
      <c r="TF262" s="23"/>
      <c r="TG262" s="23"/>
    </row>
    <row r="263" spans="1:527" s="22" customFormat="1" ht="31.5" x14ac:dyDescent="0.25">
      <c r="A263" s="60" t="s">
        <v>313</v>
      </c>
      <c r="B263" s="97" t="str">
        <f>'дод 8'!A147</f>
        <v>6090</v>
      </c>
      <c r="C263" s="97" t="str">
        <f>'дод 8'!B147</f>
        <v>0640</v>
      </c>
      <c r="D263" s="61" t="str">
        <f>'дод 8'!C147</f>
        <v>Інша діяльність у сфері житлово-комунального господарства</v>
      </c>
      <c r="E263" s="103">
        <f>F263+I263</f>
        <v>175000</v>
      </c>
      <c r="F263" s="103">
        <v>175000</v>
      </c>
      <c r="G263" s="103"/>
      <c r="H263" s="103"/>
      <c r="I263" s="103"/>
      <c r="J263" s="103">
        <f t="shared" si="126"/>
        <v>0</v>
      </c>
      <c r="K263" s="103"/>
      <c r="L263" s="103"/>
      <c r="M263" s="103"/>
      <c r="N263" s="103"/>
      <c r="O263" s="103"/>
      <c r="P263" s="103">
        <f>E263+J263</f>
        <v>175000</v>
      </c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</row>
    <row r="264" spans="1:527" s="22" customFormat="1" ht="31.5" hidden="1" x14ac:dyDescent="0.25">
      <c r="A264" s="60" t="s">
        <v>462</v>
      </c>
      <c r="B264" s="60" t="s">
        <v>463</v>
      </c>
      <c r="C264" s="60" t="s">
        <v>113</v>
      </c>
      <c r="D264" s="61" t="s">
        <v>464</v>
      </c>
      <c r="E264" s="103">
        <f>F264+I264</f>
        <v>0</v>
      </c>
      <c r="F264" s="103"/>
      <c r="G264" s="103"/>
      <c r="H264" s="103"/>
      <c r="I264" s="103"/>
      <c r="J264" s="103">
        <f t="shared" si="126"/>
        <v>0</v>
      </c>
      <c r="K264" s="103">
        <f>900000-900000</f>
        <v>0</v>
      </c>
      <c r="L264" s="103"/>
      <c r="M264" s="103"/>
      <c r="N264" s="103"/>
      <c r="O264" s="103">
        <f>900000-900000</f>
        <v>0</v>
      </c>
      <c r="P264" s="103">
        <f>E264+J264</f>
        <v>0</v>
      </c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  <c r="SQ264" s="23"/>
      <c r="SR264" s="23"/>
      <c r="SS264" s="23"/>
      <c r="ST264" s="23"/>
      <c r="SU264" s="23"/>
      <c r="SV264" s="23"/>
      <c r="SW264" s="23"/>
      <c r="SX264" s="23"/>
      <c r="SY264" s="23"/>
      <c r="SZ264" s="23"/>
      <c r="TA264" s="23"/>
      <c r="TB264" s="23"/>
      <c r="TC264" s="23"/>
      <c r="TD264" s="23"/>
      <c r="TE264" s="23"/>
      <c r="TF264" s="23"/>
      <c r="TG264" s="23"/>
    </row>
    <row r="265" spans="1:527" s="22" customFormat="1" ht="31.5" x14ac:dyDescent="0.25">
      <c r="A265" s="60" t="s">
        <v>578</v>
      </c>
      <c r="B265" s="60" t="s">
        <v>579</v>
      </c>
      <c r="C265" s="60" t="s">
        <v>84</v>
      </c>
      <c r="D265" s="61" t="s">
        <v>434</v>
      </c>
      <c r="E265" s="103">
        <f>F265+I265</f>
        <v>2260266</v>
      </c>
      <c r="F265" s="103">
        <f>1360266+900000</f>
        <v>2260266</v>
      </c>
      <c r="G265" s="103"/>
      <c r="H265" s="103"/>
      <c r="I265" s="103"/>
      <c r="J265" s="103">
        <f t="shared" ref="J265" si="139">L265+O265</f>
        <v>0</v>
      </c>
      <c r="K265" s="103"/>
      <c r="L265" s="103"/>
      <c r="M265" s="103"/>
      <c r="N265" s="103"/>
      <c r="O265" s="103"/>
      <c r="P265" s="103">
        <f>E265+J265</f>
        <v>2260266</v>
      </c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  <c r="TF265" s="23"/>
      <c r="TG265" s="23"/>
    </row>
    <row r="266" spans="1:527" s="22" customFormat="1" ht="118.5" customHeight="1" x14ac:dyDescent="0.25">
      <c r="A266" s="107" t="s">
        <v>301</v>
      </c>
      <c r="B266" s="42" t="str">
        <f>'дод 8'!A194</f>
        <v>7691</v>
      </c>
      <c r="C266" s="42" t="str">
        <f>'дод 8'!B194</f>
        <v>0490</v>
      </c>
      <c r="D266" s="36" t="str">
        <f>'дод 8'!C194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66" s="103">
        <f>F266+I266</f>
        <v>0</v>
      </c>
      <c r="F266" s="103"/>
      <c r="G266" s="103"/>
      <c r="H266" s="103"/>
      <c r="I266" s="103"/>
      <c r="J266" s="103">
        <f t="shared" si="126"/>
        <v>2596250.2999999998</v>
      </c>
      <c r="K266" s="103"/>
      <c r="L266" s="103">
        <f>1060391+1535859.3</f>
        <v>2596250.2999999998</v>
      </c>
      <c r="M266" s="103"/>
      <c r="N266" s="103"/>
      <c r="O266" s="103"/>
      <c r="P266" s="103">
        <f>E266+J266</f>
        <v>2596250.2999999998</v>
      </c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</row>
    <row r="267" spans="1:527" s="27" customFormat="1" ht="34.5" customHeight="1" x14ac:dyDescent="0.25">
      <c r="A267" s="114" t="s">
        <v>214</v>
      </c>
      <c r="B267" s="116"/>
      <c r="C267" s="116"/>
      <c r="D267" s="111" t="s">
        <v>43</v>
      </c>
      <c r="E267" s="99">
        <f>E268</f>
        <v>4321300</v>
      </c>
      <c r="F267" s="99">
        <f t="shared" ref="F267:J268" si="140">F268</f>
        <v>4321300</v>
      </c>
      <c r="G267" s="99">
        <f t="shared" si="140"/>
        <v>3301600</v>
      </c>
      <c r="H267" s="99">
        <f t="shared" si="140"/>
        <v>46000</v>
      </c>
      <c r="I267" s="99">
        <f t="shared" si="140"/>
        <v>0</v>
      </c>
      <c r="J267" s="99">
        <f t="shared" si="140"/>
        <v>0</v>
      </c>
      <c r="K267" s="99">
        <f t="shared" ref="K267:K268" si="141">K268</f>
        <v>0</v>
      </c>
      <c r="L267" s="99">
        <f t="shared" ref="L267:L268" si="142">L268</f>
        <v>0</v>
      </c>
      <c r="M267" s="99">
        <f t="shared" ref="M267:M268" si="143">M268</f>
        <v>0</v>
      </c>
      <c r="N267" s="99">
        <f t="shared" ref="N267:N268" si="144">N268</f>
        <v>0</v>
      </c>
      <c r="O267" s="99">
        <f t="shared" ref="O267:P268" si="145">O268</f>
        <v>0</v>
      </c>
      <c r="P267" s="99">
        <f t="shared" si="145"/>
        <v>4321300</v>
      </c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  <c r="FP267" s="32"/>
      <c r="FQ267" s="32"/>
      <c r="FR267" s="32"/>
      <c r="FS267" s="32"/>
      <c r="FT267" s="32"/>
      <c r="FU267" s="32"/>
      <c r="FV267" s="32"/>
      <c r="FW267" s="32"/>
      <c r="FX267" s="32"/>
      <c r="FY267" s="32"/>
      <c r="FZ267" s="32"/>
      <c r="GA267" s="32"/>
      <c r="GB267" s="32"/>
      <c r="GC267" s="32"/>
      <c r="GD267" s="32"/>
      <c r="GE267" s="32"/>
      <c r="GF267" s="32"/>
      <c r="GG267" s="32"/>
      <c r="GH267" s="32"/>
      <c r="GI267" s="32"/>
      <c r="GJ267" s="32"/>
      <c r="GK267" s="32"/>
      <c r="GL267" s="32"/>
      <c r="GM267" s="32"/>
      <c r="GN267" s="32"/>
      <c r="GO267" s="32"/>
      <c r="GP267" s="32"/>
      <c r="GQ267" s="32"/>
      <c r="GR267" s="32"/>
      <c r="GS267" s="32"/>
      <c r="GT267" s="32"/>
      <c r="GU267" s="32"/>
      <c r="GV267" s="32"/>
      <c r="GW267" s="32"/>
      <c r="GX267" s="32"/>
      <c r="GY267" s="32"/>
      <c r="GZ267" s="32"/>
      <c r="HA267" s="32"/>
      <c r="HB267" s="32"/>
      <c r="HC267" s="32"/>
      <c r="HD267" s="32"/>
      <c r="HE267" s="32"/>
      <c r="HF267" s="32"/>
      <c r="HG267" s="32"/>
      <c r="HH267" s="32"/>
      <c r="HI267" s="32"/>
      <c r="HJ267" s="32"/>
      <c r="HK267" s="32"/>
      <c r="HL267" s="32"/>
      <c r="HM267" s="32"/>
      <c r="HN267" s="32"/>
      <c r="HO267" s="32"/>
      <c r="HP267" s="32"/>
      <c r="HQ267" s="32"/>
      <c r="HR267" s="32"/>
      <c r="HS267" s="32"/>
      <c r="HT267" s="32"/>
      <c r="HU267" s="32"/>
      <c r="HV267" s="32"/>
      <c r="HW267" s="32"/>
      <c r="HX267" s="32"/>
      <c r="HY267" s="32"/>
      <c r="HZ267" s="32"/>
      <c r="IA267" s="32"/>
      <c r="IB267" s="32"/>
      <c r="IC267" s="32"/>
      <c r="ID267" s="32"/>
      <c r="IE267" s="32"/>
      <c r="IF267" s="32"/>
      <c r="IG267" s="32"/>
      <c r="IH267" s="32"/>
      <c r="II267" s="32"/>
      <c r="IJ267" s="32"/>
      <c r="IK267" s="32"/>
      <c r="IL267" s="32"/>
      <c r="IM267" s="32"/>
      <c r="IN267" s="32"/>
      <c r="IO267" s="32"/>
      <c r="IP267" s="32"/>
      <c r="IQ267" s="32"/>
      <c r="IR267" s="32"/>
      <c r="IS267" s="32"/>
      <c r="IT267" s="32"/>
      <c r="IU267" s="32"/>
      <c r="IV267" s="32"/>
      <c r="IW267" s="32"/>
      <c r="IX267" s="32"/>
      <c r="IY267" s="32"/>
      <c r="IZ267" s="32"/>
      <c r="JA267" s="32"/>
      <c r="JB267" s="32"/>
      <c r="JC267" s="32"/>
      <c r="JD267" s="32"/>
      <c r="JE267" s="32"/>
      <c r="JF267" s="32"/>
      <c r="JG267" s="32"/>
      <c r="JH267" s="32"/>
      <c r="JI267" s="32"/>
      <c r="JJ267" s="32"/>
      <c r="JK267" s="32"/>
      <c r="JL267" s="32"/>
      <c r="JM267" s="32"/>
      <c r="JN267" s="32"/>
      <c r="JO267" s="32"/>
      <c r="JP267" s="32"/>
      <c r="JQ267" s="32"/>
      <c r="JR267" s="32"/>
      <c r="JS267" s="32"/>
      <c r="JT267" s="32"/>
      <c r="JU267" s="32"/>
      <c r="JV267" s="32"/>
      <c r="JW267" s="32"/>
      <c r="JX267" s="32"/>
      <c r="JY267" s="32"/>
      <c r="JZ267" s="32"/>
      <c r="KA267" s="32"/>
      <c r="KB267" s="32"/>
      <c r="KC267" s="32"/>
      <c r="KD267" s="32"/>
      <c r="KE267" s="32"/>
      <c r="KF267" s="32"/>
      <c r="KG267" s="32"/>
      <c r="KH267" s="32"/>
      <c r="KI267" s="32"/>
      <c r="KJ267" s="32"/>
      <c r="KK267" s="32"/>
      <c r="KL267" s="32"/>
      <c r="KM267" s="32"/>
      <c r="KN267" s="32"/>
      <c r="KO267" s="32"/>
      <c r="KP267" s="32"/>
      <c r="KQ267" s="32"/>
      <c r="KR267" s="32"/>
      <c r="KS267" s="32"/>
      <c r="KT267" s="32"/>
      <c r="KU267" s="32"/>
      <c r="KV267" s="32"/>
      <c r="KW267" s="32"/>
      <c r="KX267" s="32"/>
      <c r="KY267" s="32"/>
      <c r="KZ267" s="32"/>
      <c r="LA267" s="32"/>
      <c r="LB267" s="32"/>
      <c r="LC267" s="32"/>
      <c r="LD267" s="32"/>
      <c r="LE267" s="32"/>
      <c r="LF267" s="32"/>
      <c r="LG267" s="32"/>
      <c r="LH267" s="32"/>
      <c r="LI267" s="32"/>
      <c r="LJ267" s="32"/>
      <c r="LK267" s="32"/>
      <c r="LL267" s="32"/>
      <c r="LM267" s="32"/>
      <c r="LN267" s="32"/>
      <c r="LO267" s="32"/>
      <c r="LP267" s="32"/>
      <c r="LQ267" s="32"/>
      <c r="LR267" s="32"/>
      <c r="LS267" s="32"/>
      <c r="LT267" s="32"/>
      <c r="LU267" s="32"/>
      <c r="LV267" s="32"/>
      <c r="LW267" s="32"/>
      <c r="LX267" s="32"/>
      <c r="LY267" s="32"/>
      <c r="LZ267" s="32"/>
      <c r="MA267" s="32"/>
      <c r="MB267" s="32"/>
      <c r="MC267" s="32"/>
      <c r="MD267" s="32"/>
      <c r="ME267" s="32"/>
      <c r="MF267" s="32"/>
      <c r="MG267" s="32"/>
      <c r="MH267" s="32"/>
      <c r="MI267" s="32"/>
      <c r="MJ267" s="32"/>
      <c r="MK267" s="32"/>
      <c r="ML267" s="32"/>
      <c r="MM267" s="32"/>
      <c r="MN267" s="32"/>
      <c r="MO267" s="32"/>
      <c r="MP267" s="32"/>
      <c r="MQ267" s="32"/>
      <c r="MR267" s="32"/>
      <c r="MS267" s="32"/>
      <c r="MT267" s="32"/>
      <c r="MU267" s="32"/>
      <c r="MV267" s="32"/>
      <c r="MW267" s="32"/>
      <c r="MX267" s="32"/>
      <c r="MY267" s="32"/>
      <c r="MZ267" s="32"/>
      <c r="NA267" s="32"/>
      <c r="NB267" s="32"/>
      <c r="NC267" s="32"/>
      <c r="ND267" s="32"/>
      <c r="NE267" s="32"/>
      <c r="NF267" s="32"/>
      <c r="NG267" s="32"/>
      <c r="NH267" s="32"/>
      <c r="NI267" s="32"/>
      <c r="NJ267" s="32"/>
      <c r="NK267" s="32"/>
      <c r="NL267" s="32"/>
      <c r="NM267" s="32"/>
      <c r="NN267" s="32"/>
      <c r="NO267" s="32"/>
      <c r="NP267" s="32"/>
      <c r="NQ267" s="32"/>
      <c r="NR267" s="32"/>
      <c r="NS267" s="32"/>
      <c r="NT267" s="32"/>
      <c r="NU267" s="32"/>
      <c r="NV267" s="32"/>
      <c r="NW267" s="32"/>
      <c r="NX267" s="32"/>
      <c r="NY267" s="32"/>
      <c r="NZ267" s="32"/>
      <c r="OA267" s="32"/>
      <c r="OB267" s="32"/>
      <c r="OC267" s="32"/>
      <c r="OD267" s="32"/>
      <c r="OE267" s="32"/>
      <c r="OF267" s="32"/>
      <c r="OG267" s="32"/>
      <c r="OH267" s="32"/>
      <c r="OI267" s="32"/>
      <c r="OJ267" s="32"/>
      <c r="OK267" s="32"/>
      <c r="OL267" s="32"/>
      <c r="OM267" s="32"/>
      <c r="ON267" s="32"/>
      <c r="OO267" s="32"/>
      <c r="OP267" s="32"/>
      <c r="OQ267" s="32"/>
      <c r="OR267" s="32"/>
      <c r="OS267" s="32"/>
      <c r="OT267" s="32"/>
      <c r="OU267" s="32"/>
      <c r="OV267" s="32"/>
      <c r="OW267" s="32"/>
      <c r="OX267" s="32"/>
      <c r="OY267" s="32"/>
      <c r="OZ267" s="32"/>
      <c r="PA267" s="32"/>
      <c r="PB267" s="32"/>
      <c r="PC267" s="32"/>
      <c r="PD267" s="32"/>
      <c r="PE267" s="32"/>
      <c r="PF267" s="32"/>
      <c r="PG267" s="32"/>
      <c r="PH267" s="32"/>
      <c r="PI267" s="32"/>
      <c r="PJ267" s="32"/>
      <c r="PK267" s="32"/>
      <c r="PL267" s="32"/>
      <c r="PM267" s="32"/>
      <c r="PN267" s="32"/>
      <c r="PO267" s="32"/>
      <c r="PP267" s="32"/>
      <c r="PQ267" s="32"/>
      <c r="PR267" s="32"/>
      <c r="PS267" s="32"/>
      <c r="PT267" s="32"/>
      <c r="PU267" s="32"/>
      <c r="PV267" s="32"/>
      <c r="PW267" s="32"/>
      <c r="PX267" s="32"/>
      <c r="PY267" s="32"/>
      <c r="PZ267" s="32"/>
      <c r="QA267" s="32"/>
      <c r="QB267" s="32"/>
      <c r="QC267" s="32"/>
      <c r="QD267" s="32"/>
      <c r="QE267" s="32"/>
      <c r="QF267" s="32"/>
      <c r="QG267" s="32"/>
      <c r="QH267" s="32"/>
      <c r="QI267" s="32"/>
      <c r="QJ267" s="32"/>
      <c r="QK267" s="32"/>
      <c r="QL267" s="32"/>
      <c r="QM267" s="32"/>
      <c r="QN267" s="32"/>
      <c r="QO267" s="32"/>
      <c r="QP267" s="32"/>
      <c r="QQ267" s="32"/>
      <c r="QR267" s="32"/>
      <c r="QS267" s="32"/>
      <c r="QT267" s="32"/>
      <c r="QU267" s="32"/>
      <c r="QV267" s="32"/>
      <c r="QW267" s="32"/>
      <c r="QX267" s="32"/>
      <c r="QY267" s="32"/>
      <c r="QZ267" s="32"/>
      <c r="RA267" s="32"/>
      <c r="RB267" s="32"/>
      <c r="RC267" s="32"/>
      <c r="RD267" s="32"/>
      <c r="RE267" s="32"/>
      <c r="RF267" s="32"/>
      <c r="RG267" s="32"/>
      <c r="RH267" s="32"/>
      <c r="RI267" s="32"/>
      <c r="RJ267" s="32"/>
      <c r="RK267" s="32"/>
      <c r="RL267" s="32"/>
      <c r="RM267" s="32"/>
      <c r="RN267" s="32"/>
      <c r="RO267" s="32"/>
      <c r="RP267" s="32"/>
      <c r="RQ267" s="32"/>
      <c r="RR267" s="32"/>
      <c r="RS267" s="32"/>
      <c r="RT267" s="32"/>
      <c r="RU267" s="32"/>
      <c r="RV267" s="32"/>
      <c r="RW267" s="32"/>
      <c r="RX267" s="32"/>
      <c r="RY267" s="32"/>
      <c r="RZ267" s="32"/>
      <c r="SA267" s="32"/>
      <c r="SB267" s="32"/>
      <c r="SC267" s="32"/>
      <c r="SD267" s="32"/>
      <c r="SE267" s="32"/>
      <c r="SF267" s="32"/>
      <c r="SG267" s="32"/>
      <c r="SH267" s="32"/>
      <c r="SI267" s="32"/>
      <c r="SJ267" s="32"/>
      <c r="SK267" s="32"/>
      <c r="SL267" s="32"/>
      <c r="SM267" s="32"/>
      <c r="SN267" s="32"/>
      <c r="SO267" s="32"/>
      <c r="SP267" s="32"/>
      <c r="SQ267" s="32"/>
      <c r="SR267" s="32"/>
      <c r="SS267" s="32"/>
      <c r="ST267" s="32"/>
      <c r="SU267" s="32"/>
      <c r="SV267" s="32"/>
      <c r="SW267" s="32"/>
      <c r="SX267" s="32"/>
      <c r="SY267" s="32"/>
      <c r="SZ267" s="32"/>
      <c r="TA267" s="32"/>
      <c r="TB267" s="32"/>
      <c r="TC267" s="32"/>
      <c r="TD267" s="32"/>
      <c r="TE267" s="32"/>
      <c r="TF267" s="32"/>
      <c r="TG267" s="32"/>
    </row>
    <row r="268" spans="1:527" s="34" customFormat="1" ht="35.25" customHeight="1" x14ac:dyDescent="0.25">
      <c r="A268" s="100" t="s">
        <v>212</v>
      </c>
      <c r="B268" s="113"/>
      <c r="C268" s="113"/>
      <c r="D268" s="81" t="s">
        <v>43</v>
      </c>
      <c r="E268" s="102">
        <f>E269</f>
        <v>4321300</v>
      </c>
      <c r="F268" s="102">
        <f t="shared" si="140"/>
        <v>4321300</v>
      </c>
      <c r="G268" s="102">
        <f t="shared" si="140"/>
        <v>3301600</v>
      </c>
      <c r="H268" s="102">
        <f t="shared" si="140"/>
        <v>46000</v>
      </c>
      <c r="I268" s="102">
        <f t="shared" si="140"/>
        <v>0</v>
      </c>
      <c r="J268" s="102">
        <f t="shared" si="140"/>
        <v>0</v>
      </c>
      <c r="K268" s="102">
        <f t="shared" si="141"/>
        <v>0</v>
      </c>
      <c r="L268" s="102">
        <f t="shared" si="142"/>
        <v>0</v>
      </c>
      <c r="M268" s="102">
        <f t="shared" si="143"/>
        <v>0</v>
      </c>
      <c r="N268" s="102">
        <f t="shared" si="144"/>
        <v>0</v>
      </c>
      <c r="O268" s="102">
        <f t="shared" si="145"/>
        <v>0</v>
      </c>
      <c r="P268" s="102">
        <f t="shared" si="145"/>
        <v>4321300</v>
      </c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  <c r="HP268" s="33"/>
      <c r="HQ268" s="33"/>
      <c r="HR268" s="33"/>
      <c r="HS268" s="33"/>
      <c r="HT268" s="33"/>
      <c r="HU268" s="33"/>
      <c r="HV268" s="33"/>
      <c r="HW268" s="33"/>
      <c r="HX268" s="33"/>
      <c r="HY268" s="33"/>
      <c r="HZ268" s="33"/>
      <c r="IA268" s="33"/>
      <c r="IB268" s="33"/>
      <c r="IC268" s="33"/>
      <c r="ID268" s="33"/>
      <c r="IE268" s="33"/>
      <c r="IF268" s="33"/>
      <c r="IG268" s="33"/>
      <c r="IH268" s="33"/>
      <c r="II268" s="33"/>
      <c r="IJ268" s="33"/>
      <c r="IK268" s="33"/>
      <c r="IL268" s="33"/>
      <c r="IM268" s="33"/>
      <c r="IN268" s="33"/>
      <c r="IO268" s="33"/>
      <c r="IP268" s="33"/>
      <c r="IQ268" s="33"/>
      <c r="IR268" s="33"/>
      <c r="IS268" s="33"/>
      <c r="IT268" s="33"/>
      <c r="IU268" s="33"/>
      <c r="IV268" s="33"/>
      <c r="IW268" s="33"/>
      <c r="IX268" s="33"/>
      <c r="IY268" s="33"/>
      <c r="IZ268" s="33"/>
      <c r="JA268" s="33"/>
      <c r="JB268" s="33"/>
      <c r="JC268" s="33"/>
      <c r="JD268" s="33"/>
      <c r="JE268" s="33"/>
      <c r="JF268" s="33"/>
      <c r="JG268" s="33"/>
      <c r="JH268" s="33"/>
      <c r="JI268" s="33"/>
      <c r="JJ268" s="33"/>
      <c r="JK268" s="33"/>
      <c r="JL268" s="33"/>
      <c r="JM268" s="33"/>
      <c r="JN268" s="33"/>
      <c r="JO268" s="33"/>
      <c r="JP268" s="33"/>
      <c r="JQ268" s="33"/>
      <c r="JR268" s="33"/>
      <c r="JS268" s="33"/>
      <c r="JT268" s="33"/>
      <c r="JU268" s="33"/>
      <c r="JV268" s="33"/>
      <c r="JW268" s="33"/>
      <c r="JX268" s="33"/>
      <c r="JY268" s="33"/>
      <c r="JZ268" s="33"/>
      <c r="KA268" s="33"/>
      <c r="KB268" s="33"/>
      <c r="KC268" s="33"/>
      <c r="KD268" s="33"/>
      <c r="KE268" s="33"/>
      <c r="KF268" s="33"/>
      <c r="KG268" s="33"/>
      <c r="KH268" s="33"/>
      <c r="KI268" s="33"/>
      <c r="KJ268" s="33"/>
      <c r="KK268" s="33"/>
      <c r="KL268" s="33"/>
      <c r="KM268" s="33"/>
      <c r="KN268" s="33"/>
      <c r="KO268" s="33"/>
      <c r="KP268" s="33"/>
      <c r="KQ268" s="33"/>
      <c r="KR268" s="33"/>
      <c r="KS268" s="33"/>
      <c r="KT268" s="33"/>
      <c r="KU268" s="33"/>
      <c r="KV268" s="33"/>
      <c r="KW268" s="33"/>
      <c r="KX268" s="33"/>
      <c r="KY268" s="33"/>
      <c r="KZ268" s="33"/>
      <c r="LA268" s="33"/>
      <c r="LB268" s="33"/>
      <c r="LC268" s="33"/>
      <c r="LD268" s="33"/>
      <c r="LE268" s="33"/>
      <c r="LF268" s="33"/>
      <c r="LG268" s="33"/>
      <c r="LH268" s="33"/>
      <c r="LI268" s="33"/>
      <c r="LJ268" s="33"/>
      <c r="LK268" s="33"/>
      <c r="LL268" s="33"/>
      <c r="LM268" s="33"/>
      <c r="LN268" s="33"/>
      <c r="LO268" s="33"/>
      <c r="LP268" s="33"/>
      <c r="LQ268" s="33"/>
      <c r="LR268" s="33"/>
      <c r="LS268" s="33"/>
      <c r="LT268" s="33"/>
      <c r="LU268" s="33"/>
      <c r="LV268" s="33"/>
      <c r="LW268" s="33"/>
      <c r="LX268" s="33"/>
      <c r="LY268" s="33"/>
      <c r="LZ268" s="33"/>
      <c r="MA268" s="33"/>
      <c r="MB268" s="33"/>
      <c r="MC268" s="33"/>
      <c r="MD268" s="33"/>
      <c r="ME268" s="33"/>
      <c r="MF268" s="33"/>
      <c r="MG268" s="33"/>
      <c r="MH268" s="33"/>
      <c r="MI268" s="33"/>
      <c r="MJ268" s="33"/>
      <c r="MK268" s="33"/>
      <c r="ML268" s="33"/>
      <c r="MM268" s="33"/>
      <c r="MN268" s="33"/>
      <c r="MO268" s="33"/>
      <c r="MP268" s="33"/>
      <c r="MQ268" s="33"/>
      <c r="MR268" s="33"/>
      <c r="MS268" s="33"/>
      <c r="MT268" s="33"/>
      <c r="MU268" s="33"/>
      <c r="MV268" s="33"/>
      <c r="MW268" s="33"/>
      <c r="MX268" s="33"/>
      <c r="MY268" s="33"/>
      <c r="MZ268" s="33"/>
      <c r="NA268" s="33"/>
      <c r="NB268" s="33"/>
      <c r="NC268" s="33"/>
      <c r="ND268" s="33"/>
      <c r="NE268" s="33"/>
      <c r="NF268" s="33"/>
      <c r="NG268" s="33"/>
      <c r="NH268" s="33"/>
      <c r="NI268" s="33"/>
      <c r="NJ268" s="33"/>
      <c r="NK268" s="33"/>
      <c r="NL268" s="33"/>
      <c r="NM268" s="33"/>
      <c r="NN268" s="33"/>
      <c r="NO268" s="33"/>
      <c r="NP268" s="33"/>
      <c r="NQ268" s="33"/>
      <c r="NR268" s="33"/>
      <c r="NS268" s="33"/>
      <c r="NT268" s="33"/>
      <c r="NU268" s="33"/>
      <c r="NV268" s="33"/>
      <c r="NW268" s="33"/>
      <c r="NX268" s="33"/>
      <c r="NY268" s="33"/>
      <c r="NZ268" s="33"/>
      <c r="OA268" s="33"/>
      <c r="OB268" s="33"/>
      <c r="OC268" s="33"/>
      <c r="OD268" s="33"/>
      <c r="OE268" s="33"/>
      <c r="OF268" s="33"/>
      <c r="OG268" s="33"/>
      <c r="OH268" s="33"/>
      <c r="OI268" s="33"/>
      <c r="OJ268" s="33"/>
      <c r="OK268" s="33"/>
      <c r="OL268" s="33"/>
      <c r="OM268" s="33"/>
      <c r="ON268" s="33"/>
      <c r="OO268" s="33"/>
      <c r="OP268" s="33"/>
      <c r="OQ268" s="33"/>
      <c r="OR268" s="33"/>
      <c r="OS268" s="33"/>
      <c r="OT268" s="33"/>
      <c r="OU268" s="33"/>
      <c r="OV268" s="33"/>
      <c r="OW268" s="33"/>
      <c r="OX268" s="33"/>
      <c r="OY268" s="33"/>
      <c r="OZ268" s="33"/>
      <c r="PA268" s="33"/>
      <c r="PB268" s="33"/>
      <c r="PC268" s="33"/>
      <c r="PD268" s="33"/>
      <c r="PE268" s="33"/>
      <c r="PF268" s="33"/>
      <c r="PG268" s="33"/>
      <c r="PH268" s="33"/>
      <c r="PI268" s="33"/>
      <c r="PJ268" s="33"/>
      <c r="PK268" s="33"/>
      <c r="PL268" s="33"/>
      <c r="PM268" s="33"/>
      <c r="PN268" s="33"/>
      <c r="PO268" s="33"/>
      <c r="PP268" s="33"/>
      <c r="PQ268" s="33"/>
      <c r="PR268" s="33"/>
      <c r="PS268" s="33"/>
      <c r="PT268" s="33"/>
      <c r="PU268" s="33"/>
      <c r="PV268" s="33"/>
      <c r="PW268" s="33"/>
      <c r="PX268" s="33"/>
      <c r="PY268" s="33"/>
      <c r="PZ268" s="33"/>
      <c r="QA268" s="33"/>
      <c r="QB268" s="33"/>
      <c r="QC268" s="33"/>
      <c r="QD268" s="33"/>
      <c r="QE268" s="33"/>
      <c r="QF268" s="33"/>
      <c r="QG268" s="33"/>
      <c r="QH268" s="33"/>
      <c r="QI268" s="33"/>
      <c r="QJ268" s="33"/>
      <c r="QK268" s="33"/>
      <c r="QL268" s="33"/>
      <c r="QM268" s="33"/>
      <c r="QN268" s="33"/>
      <c r="QO268" s="33"/>
      <c r="QP268" s="33"/>
      <c r="QQ268" s="33"/>
      <c r="QR268" s="33"/>
      <c r="QS268" s="33"/>
      <c r="QT268" s="33"/>
      <c r="QU268" s="33"/>
      <c r="QV268" s="33"/>
      <c r="QW268" s="33"/>
      <c r="QX268" s="33"/>
      <c r="QY268" s="33"/>
      <c r="QZ268" s="33"/>
      <c r="RA268" s="33"/>
      <c r="RB268" s="33"/>
      <c r="RC268" s="33"/>
      <c r="RD268" s="33"/>
      <c r="RE268" s="33"/>
      <c r="RF268" s="33"/>
      <c r="RG268" s="33"/>
      <c r="RH268" s="33"/>
      <c r="RI268" s="33"/>
      <c r="RJ268" s="33"/>
      <c r="RK268" s="33"/>
      <c r="RL268" s="33"/>
      <c r="RM268" s="33"/>
      <c r="RN268" s="33"/>
      <c r="RO268" s="33"/>
      <c r="RP268" s="33"/>
      <c r="RQ268" s="33"/>
      <c r="RR268" s="33"/>
      <c r="RS268" s="33"/>
      <c r="RT268" s="33"/>
      <c r="RU268" s="33"/>
      <c r="RV268" s="33"/>
      <c r="RW268" s="33"/>
      <c r="RX268" s="33"/>
      <c r="RY268" s="33"/>
      <c r="RZ268" s="33"/>
      <c r="SA268" s="33"/>
      <c r="SB268" s="33"/>
      <c r="SC268" s="33"/>
      <c r="SD268" s="33"/>
      <c r="SE268" s="33"/>
      <c r="SF268" s="33"/>
      <c r="SG268" s="33"/>
      <c r="SH268" s="33"/>
      <c r="SI268" s="33"/>
      <c r="SJ268" s="33"/>
      <c r="SK268" s="33"/>
      <c r="SL268" s="33"/>
      <c r="SM268" s="33"/>
      <c r="SN268" s="33"/>
      <c r="SO268" s="33"/>
      <c r="SP268" s="33"/>
      <c r="SQ268" s="33"/>
      <c r="SR268" s="33"/>
      <c r="SS268" s="33"/>
      <c r="ST268" s="33"/>
      <c r="SU268" s="33"/>
      <c r="SV268" s="33"/>
      <c r="SW268" s="33"/>
      <c r="SX268" s="33"/>
      <c r="SY268" s="33"/>
      <c r="SZ268" s="33"/>
      <c r="TA268" s="33"/>
      <c r="TB268" s="33"/>
      <c r="TC268" s="33"/>
      <c r="TD268" s="33"/>
      <c r="TE268" s="33"/>
      <c r="TF268" s="33"/>
      <c r="TG268" s="33"/>
    </row>
    <row r="269" spans="1:527" s="22" customFormat="1" ht="49.5" customHeight="1" x14ac:dyDescent="0.25">
      <c r="A269" s="60" t="s">
        <v>213</v>
      </c>
      <c r="B269" s="97" t="str">
        <f>'дод 8'!A19</f>
        <v>0160</v>
      </c>
      <c r="C269" s="97" t="str">
        <f>'дод 8'!B19</f>
        <v>0111</v>
      </c>
      <c r="D269" s="36" t="s">
        <v>504</v>
      </c>
      <c r="E269" s="103">
        <f>F269+I269</f>
        <v>4321300</v>
      </c>
      <c r="F269" s="103">
        <f>4301300+20000</f>
        <v>4321300</v>
      </c>
      <c r="G269" s="103">
        <v>3301600</v>
      </c>
      <c r="H269" s="103">
        <v>46000</v>
      </c>
      <c r="I269" s="103"/>
      <c r="J269" s="103">
        <f>L269+O269</f>
        <v>0</v>
      </c>
      <c r="K269" s="103"/>
      <c r="L269" s="103"/>
      <c r="M269" s="103"/>
      <c r="N269" s="103"/>
      <c r="O269" s="103"/>
      <c r="P269" s="103">
        <f>E269+J269</f>
        <v>4321300</v>
      </c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  <c r="TF269" s="23"/>
      <c r="TG269" s="23"/>
    </row>
    <row r="270" spans="1:527" s="27" customFormat="1" ht="37.5" customHeight="1" x14ac:dyDescent="0.25">
      <c r="A270" s="114" t="s">
        <v>215</v>
      </c>
      <c r="B270" s="116"/>
      <c r="C270" s="116"/>
      <c r="D270" s="111" t="s">
        <v>40</v>
      </c>
      <c r="E270" s="99">
        <f>E271</f>
        <v>21461300</v>
      </c>
      <c r="F270" s="99">
        <f t="shared" ref="F270:J270" si="146">F271</f>
        <v>20961300</v>
      </c>
      <c r="G270" s="99">
        <f t="shared" si="146"/>
        <v>14962200</v>
      </c>
      <c r="H270" s="99">
        <f t="shared" si="146"/>
        <v>286600</v>
      </c>
      <c r="I270" s="99">
        <f t="shared" si="146"/>
        <v>500000</v>
      </c>
      <c r="J270" s="99">
        <f t="shared" si="146"/>
        <v>65000</v>
      </c>
      <c r="K270" s="99">
        <f t="shared" ref="K270" si="147">K271</f>
        <v>65000</v>
      </c>
      <c r="L270" s="99">
        <f t="shared" ref="L270" si="148">L271</f>
        <v>0</v>
      </c>
      <c r="M270" s="99">
        <f t="shared" ref="M270" si="149">M271</f>
        <v>0</v>
      </c>
      <c r="N270" s="99">
        <f t="shared" ref="N270" si="150">N271</f>
        <v>0</v>
      </c>
      <c r="O270" s="99">
        <f t="shared" ref="O270" si="151">O271</f>
        <v>65000</v>
      </c>
      <c r="P270" s="99">
        <f>P271</f>
        <v>21526300</v>
      </c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 s="32"/>
      <c r="EI270" s="32"/>
      <c r="EJ270" s="32"/>
      <c r="EK270" s="32"/>
      <c r="EL270" s="32"/>
      <c r="EM270" s="32"/>
      <c r="EN270" s="32"/>
      <c r="EO270" s="32"/>
      <c r="EP270" s="32"/>
      <c r="EQ270" s="32"/>
      <c r="ER270" s="32"/>
      <c r="ES270" s="32"/>
      <c r="ET270" s="32"/>
      <c r="EU270" s="32"/>
      <c r="EV270" s="32"/>
      <c r="EW270" s="32"/>
      <c r="EX270" s="32"/>
      <c r="EY270" s="32"/>
      <c r="EZ270" s="32"/>
      <c r="FA270" s="32"/>
      <c r="FB270" s="32"/>
      <c r="FC270" s="32"/>
      <c r="FD270" s="32"/>
      <c r="FE270" s="32"/>
      <c r="FF270" s="32"/>
      <c r="FG270" s="32"/>
      <c r="FH270" s="32"/>
      <c r="FI270" s="32"/>
      <c r="FJ270" s="32"/>
      <c r="FK270" s="32"/>
      <c r="FL270" s="32"/>
      <c r="FM270" s="32"/>
      <c r="FN270" s="32"/>
      <c r="FO270" s="32"/>
      <c r="FP270" s="32"/>
      <c r="FQ270" s="32"/>
      <c r="FR270" s="32"/>
      <c r="FS270" s="32"/>
      <c r="FT270" s="32"/>
      <c r="FU270" s="32"/>
      <c r="FV270" s="32"/>
      <c r="FW270" s="32"/>
      <c r="FX270" s="32"/>
      <c r="FY270" s="32"/>
      <c r="FZ270" s="32"/>
      <c r="GA270" s="32"/>
      <c r="GB270" s="32"/>
      <c r="GC270" s="32"/>
      <c r="GD270" s="32"/>
      <c r="GE270" s="32"/>
      <c r="GF270" s="32"/>
      <c r="GG270" s="32"/>
      <c r="GH270" s="32"/>
      <c r="GI270" s="32"/>
      <c r="GJ270" s="32"/>
      <c r="GK270" s="32"/>
      <c r="GL270" s="32"/>
      <c r="GM270" s="32"/>
      <c r="GN270" s="32"/>
      <c r="GO270" s="32"/>
      <c r="GP270" s="32"/>
      <c r="GQ270" s="32"/>
      <c r="GR270" s="32"/>
      <c r="GS270" s="32"/>
      <c r="GT270" s="32"/>
      <c r="GU270" s="32"/>
      <c r="GV270" s="32"/>
      <c r="GW270" s="32"/>
      <c r="GX270" s="32"/>
      <c r="GY270" s="32"/>
      <c r="GZ270" s="32"/>
      <c r="HA270" s="32"/>
      <c r="HB270" s="32"/>
      <c r="HC270" s="32"/>
      <c r="HD270" s="32"/>
      <c r="HE270" s="32"/>
      <c r="HF270" s="32"/>
      <c r="HG270" s="32"/>
      <c r="HH270" s="32"/>
      <c r="HI270" s="32"/>
      <c r="HJ270" s="32"/>
      <c r="HK270" s="32"/>
      <c r="HL270" s="32"/>
      <c r="HM270" s="32"/>
      <c r="HN270" s="32"/>
      <c r="HO270" s="32"/>
      <c r="HP270" s="32"/>
      <c r="HQ270" s="32"/>
      <c r="HR270" s="32"/>
      <c r="HS270" s="32"/>
      <c r="HT270" s="32"/>
      <c r="HU270" s="32"/>
      <c r="HV270" s="32"/>
      <c r="HW270" s="32"/>
      <c r="HX270" s="32"/>
      <c r="HY270" s="32"/>
      <c r="HZ270" s="32"/>
      <c r="IA270" s="32"/>
      <c r="IB270" s="32"/>
      <c r="IC270" s="32"/>
      <c r="ID270" s="32"/>
      <c r="IE270" s="32"/>
      <c r="IF270" s="32"/>
      <c r="IG270" s="32"/>
      <c r="IH270" s="32"/>
      <c r="II270" s="32"/>
      <c r="IJ270" s="32"/>
      <c r="IK270" s="32"/>
      <c r="IL270" s="32"/>
      <c r="IM270" s="32"/>
      <c r="IN270" s="32"/>
      <c r="IO270" s="32"/>
      <c r="IP270" s="32"/>
      <c r="IQ270" s="32"/>
      <c r="IR270" s="32"/>
      <c r="IS270" s="32"/>
      <c r="IT270" s="32"/>
      <c r="IU270" s="32"/>
      <c r="IV270" s="32"/>
      <c r="IW270" s="32"/>
      <c r="IX270" s="32"/>
      <c r="IY270" s="32"/>
      <c r="IZ270" s="32"/>
      <c r="JA270" s="32"/>
      <c r="JB270" s="32"/>
      <c r="JC270" s="32"/>
      <c r="JD270" s="32"/>
      <c r="JE270" s="32"/>
      <c r="JF270" s="32"/>
      <c r="JG270" s="32"/>
      <c r="JH270" s="32"/>
      <c r="JI270" s="32"/>
      <c r="JJ270" s="32"/>
      <c r="JK270" s="32"/>
      <c r="JL270" s="32"/>
      <c r="JM270" s="32"/>
      <c r="JN270" s="32"/>
      <c r="JO270" s="32"/>
      <c r="JP270" s="32"/>
      <c r="JQ270" s="32"/>
      <c r="JR270" s="32"/>
      <c r="JS270" s="32"/>
      <c r="JT270" s="32"/>
      <c r="JU270" s="32"/>
      <c r="JV270" s="32"/>
      <c r="JW270" s="32"/>
      <c r="JX270" s="32"/>
      <c r="JY270" s="32"/>
      <c r="JZ270" s="32"/>
      <c r="KA270" s="32"/>
      <c r="KB270" s="32"/>
      <c r="KC270" s="32"/>
      <c r="KD270" s="32"/>
      <c r="KE270" s="32"/>
      <c r="KF270" s="32"/>
      <c r="KG270" s="32"/>
      <c r="KH270" s="32"/>
      <c r="KI270" s="32"/>
      <c r="KJ270" s="32"/>
      <c r="KK270" s="32"/>
      <c r="KL270" s="32"/>
      <c r="KM270" s="32"/>
      <c r="KN270" s="32"/>
      <c r="KO270" s="32"/>
      <c r="KP270" s="32"/>
      <c r="KQ270" s="32"/>
      <c r="KR270" s="32"/>
      <c r="KS270" s="32"/>
      <c r="KT270" s="32"/>
      <c r="KU270" s="32"/>
      <c r="KV270" s="32"/>
      <c r="KW270" s="32"/>
      <c r="KX270" s="32"/>
      <c r="KY270" s="32"/>
      <c r="KZ270" s="32"/>
      <c r="LA270" s="32"/>
      <c r="LB270" s="32"/>
      <c r="LC270" s="32"/>
      <c r="LD270" s="32"/>
      <c r="LE270" s="32"/>
      <c r="LF270" s="32"/>
      <c r="LG270" s="32"/>
      <c r="LH270" s="32"/>
      <c r="LI270" s="32"/>
      <c r="LJ270" s="32"/>
      <c r="LK270" s="32"/>
      <c r="LL270" s="32"/>
      <c r="LM270" s="32"/>
      <c r="LN270" s="32"/>
      <c r="LO270" s="32"/>
      <c r="LP270" s="32"/>
      <c r="LQ270" s="32"/>
      <c r="LR270" s="32"/>
      <c r="LS270" s="32"/>
      <c r="LT270" s="32"/>
      <c r="LU270" s="32"/>
      <c r="LV270" s="32"/>
      <c r="LW270" s="32"/>
      <c r="LX270" s="32"/>
      <c r="LY270" s="32"/>
      <c r="LZ270" s="32"/>
      <c r="MA270" s="32"/>
      <c r="MB270" s="32"/>
      <c r="MC270" s="32"/>
      <c r="MD270" s="32"/>
      <c r="ME270" s="32"/>
      <c r="MF270" s="32"/>
      <c r="MG270" s="32"/>
      <c r="MH270" s="32"/>
      <c r="MI270" s="32"/>
      <c r="MJ270" s="32"/>
      <c r="MK270" s="32"/>
      <c r="ML270" s="32"/>
      <c r="MM270" s="32"/>
      <c r="MN270" s="32"/>
      <c r="MO270" s="32"/>
      <c r="MP270" s="32"/>
      <c r="MQ270" s="32"/>
      <c r="MR270" s="32"/>
      <c r="MS270" s="32"/>
      <c r="MT270" s="32"/>
      <c r="MU270" s="32"/>
      <c r="MV270" s="32"/>
      <c r="MW270" s="32"/>
      <c r="MX270" s="32"/>
      <c r="MY270" s="32"/>
      <c r="MZ270" s="32"/>
      <c r="NA270" s="32"/>
      <c r="NB270" s="32"/>
      <c r="NC270" s="32"/>
      <c r="ND270" s="32"/>
      <c r="NE270" s="32"/>
      <c r="NF270" s="32"/>
      <c r="NG270" s="32"/>
      <c r="NH270" s="32"/>
      <c r="NI270" s="32"/>
      <c r="NJ270" s="32"/>
      <c r="NK270" s="32"/>
      <c r="NL270" s="32"/>
      <c r="NM270" s="32"/>
      <c r="NN270" s="32"/>
      <c r="NO270" s="32"/>
      <c r="NP270" s="32"/>
      <c r="NQ270" s="32"/>
      <c r="NR270" s="32"/>
      <c r="NS270" s="32"/>
      <c r="NT270" s="32"/>
      <c r="NU270" s="32"/>
      <c r="NV270" s="32"/>
      <c r="NW270" s="32"/>
      <c r="NX270" s="32"/>
      <c r="NY270" s="32"/>
      <c r="NZ270" s="32"/>
      <c r="OA270" s="32"/>
      <c r="OB270" s="32"/>
      <c r="OC270" s="32"/>
      <c r="OD270" s="32"/>
      <c r="OE270" s="32"/>
      <c r="OF270" s="32"/>
      <c r="OG270" s="32"/>
      <c r="OH270" s="32"/>
      <c r="OI270" s="32"/>
      <c r="OJ270" s="32"/>
      <c r="OK270" s="32"/>
      <c r="OL270" s="32"/>
      <c r="OM270" s="32"/>
      <c r="ON270" s="32"/>
      <c r="OO270" s="32"/>
      <c r="OP270" s="32"/>
      <c r="OQ270" s="32"/>
      <c r="OR270" s="32"/>
      <c r="OS270" s="32"/>
      <c r="OT270" s="32"/>
      <c r="OU270" s="32"/>
      <c r="OV270" s="32"/>
      <c r="OW270" s="32"/>
      <c r="OX270" s="32"/>
      <c r="OY270" s="32"/>
      <c r="OZ270" s="32"/>
      <c r="PA270" s="32"/>
      <c r="PB270" s="32"/>
      <c r="PC270" s="32"/>
      <c r="PD270" s="32"/>
      <c r="PE270" s="32"/>
      <c r="PF270" s="32"/>
      <c r="PG270" s="32"/>
      <c r="PH270" s="32"/>
      <c r="PI270" s="32"/>
      <c r="PJ270" s="32"/>
      <c r="PK270" s="32"/>
      <c r="PL270" s="32"/>
      <c r="PM270" s="32"/>
      <c r="PN270" s="32"/>
      <c r="PO270" s="32"/>
      <c r="PP270" s="32"/>
      <c r="PQ270" s="32"/>
      <c r="PR270" s="32"/>
      <c r="PS270" s="32"/>
      <c r="PT270" s="32"/>
      <c r="PU270" s="32"/>
      <c r="PV270" s="32"/>
      <c r="PW270" s="32"/>
      <c r="PX270" s="32"/>
      <c r="PY270" s="32"/>
      <c r="PZ270" s="32"/>
      <c r="QA270" s="32"/>
      <c r="QB270" s="32"/>
      <c r="QC270" s="32"/>
      <c r="QD270" s="32"/>
      <c r="QE270" s="32"/>
      <c r="QF270" s="32"/>
      <c r="QG270" s="32"/>
      <c r="QH270" s="32"/>
      <c r="QI270" s="32"/>
      <c r="QJ270" s="32"/>
      <c r="QK270" s="32"/>
      <c r="QL270" s="32"/>
      <c r="QM270" s="32"/>
      <c r="QN270" s="32"/>
      <c r="QO270" s="32"/>
      <c r="QP270" s="32"/>
      <c r="QQ270" s="32"/>
      <c r="QR270" s="32"/>
      <c r="QS270" s="32"/>
      <c r="QT270" s="32"/>
      <c r="QU270" s="32"/>
      <c r="QV270" s="32"/>
      <c r="QW270" s="32"/>
      <c r="QX270" s="32"/>
      <c r="QY270" s="32"/>
      <c r="QZ270" s="32"/>
      <c r="RA270" s="32"/>
      <c r="RB270" s="32"/>
      <c r="RC270" s="32"/>
      <c r="RD270" s="32"/>
      <c r="RE270" s="32"/>
      <c r="RF270" s="32"/>
      <c r="RG270" s="32"/>
      <c r="RH270" s="32"/>
      <c r="RI270" s="32"/>
      <c r="RJ270" s="32"/>
      <c r="RK270" s="32"/>
      <c r="RL270" s="32"/>
      <c r="RM270" s="32"/>
      <c r="RN270" s="32"/>
      <c r="RO270" s="32"/>
      <c r="RP270" s="32"/>
      <c r="RQ270" s="32"/>
      <c r="RR270" s="32"/>
      <c r="RS270" s="32"/>
      <c r="RT270" s="32"/>
      <c r="RU270" s="32"/>
      <c r="RV270" s="32"/>
      <c r="RW270" s="32"/>
      <c r="RX270" s="32"/>
      <c r="RY270" s="32"/>
      <c r="RZ270" s="32"/>
      <c r="SA270" s="32"/>
      <c r="SB270" s="32"/>
      <c r="SC270" s="32"/>
      <c r="SD270" s="32"/>
      <c r="SE270" s="32"/>
      <c r="SF270" s="32"/>
      <c r="SG270" s="32"/>
      <c r="SH270" s="32"/>
      <c r="SI270" s="32"/>
      <c r="SJ270" s="32"/>
      <c r="SK270" s="32"/>
      <c r="SL270" s="32"/>
      <c r="SM270" s="32"/>
      <c r="SN270" s="32"/>
      <c r="SO270" s="32"/>
      <c r="SP270" s="32"/>
      <c r="SQ270" s="32"/>
      <c r="SR270" s="32"/>
      <c r="SS270" s="32"/>
      <c r="ST270" s="32"/>
      <c r="SU270" s="32"/>
      <c r="SV270" s="32"/>
      <c r="SW270" s="32"/>
      <c r="SX270" s="32"/>
      <c r="SY270" s="32"/>
      <c r="SZ270" s="32"/>
      <c r="TA270" s="32"/>
      <c r="TB270" s="32"/>
      <c r="TC270" s="32"/>
      <c r="TD270" s="32"/>
      <c r="TE270" s="32"/>
      <c r="TF270" s="32"/>
      <c r="TG270" s="32"/>
    </row>
    <row r="271" spans="1:527" s="34" customFormat="1" ht="33.75" customHeight="1" x14ac:dyDescent="0.25">
      <c r="A271" s="100" t="s">
        <v>216</v>
      </c>
      <c r="B271" s="113"/>
      <c r="C271" s="113"/>
      <c r="D271" s="81" t="s">
        <v>40</v>
      </c>
      <c r="E271" s="102">
        <f>E272+E273++E274+E275+E276+E277</f>
        <v>21461300</v>
      </c>
      <c r="F271" s="102">
        <f t="shared" ref="F271:P271" si="152">F272+F273++F274+F275+F276+F277</f>
        <v>20961300</v>
      </c>
      <c r="G271" s="102">
        <f t="shared" si="152"/>
        <v>14962200</v>
      </c>
      <c r="H271" s="102">
        <f t="shared" si="152"/>
        <v>286600</v>
      </c>
      <c r="I271" s="102">
        <f t="shared" si="152"/>
        <v>500000</v>
      </c>
      <c r="J271" s="102">
        <f t="shared" si="152"/>
        <v>65000</v>
      </c>
      <c r="K271" s="102">
        <f>K272+K273++K274+K275+K276+K277</f>
        <v>65000</v>
      </c>
      <c r="L271" s="102">
        <f t="shared" si="152"/>
        <v>0</v>
      </c>
      <c r="M271" s="102">
        <f t="shared" si="152"/>
        <v>0</v>
      </c>
      <c r="N271" s="102">
        <f t="shared" si="152"/>
        <v>0</v>
      </c>
      <c r="O271" s="102">
        <f t="shared" si="152"/>
        <v>65000</v>
      </c>
      <c r="P271" s="102">
        <f t="shared" si="152"/>
        <v>21526300</v>
      </c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  <c r="HP271" s="33"/>
      <c r="HQ271" s="33"/>
      <c r="HR271" s="33"/>
      <c r="HS271" s="33"/>
      <c r="HT271" s="33"/>
      <c r="HU271" s="33"/>
      <c r="HV271" s="33"/>
      <c r="HW271" s="33"/>
      <c r="HX271" s="33"/>
      <c r="HY271" s="33"/>
      <c r="HZ271" s="33"/>
      <c r="IA271" s="33"/>
      <c r="IB271" s="33"/>
      <c r="IC271" s="33"/>
      <c r="ID271" s="33"/>
      <c r="IE271" s="33"/>
      <c r="IF271" s="33"/>
      <c r="IG271" s="33"/>
      <c r="IH271" s="33"/>
      <c r="II271" s="33"/>
      <c r="IJ271" s="33"/>
      <c r="IK271" s="33"/>
      <c r="IL271" s="33"/>
      <c r="IM271" s="33"/>
      <c r="IN271" s="33"/>
      <c r="IO271" s="33"/>
      <c r="IP271" s="33"/>
      <c r="IQ271" s="33"/>
      <c r="IR271" s="33"/>
      <c r="IS271" s="33"/>
      <c r="IT271" s="33"/>
      <c r="IU271" s="33"/>
      <c r="IV271" s="33"/>
      <c r="IW271" s="33"/>
      <c r="IX271" s="33"/>
      <c r="IY271" s="33"/>
      <c r="IZ271" s="33"/>
      <c r="JA271" s="33"/>
      <c r="JB271" s="33"/>
      <c r="JC271" s="33"/>
      <c r="JD271" s="33"/>
      <c r="JE271" s="33"/>
      <c r="JF271" s="33"/>
      <c r="JG271" s="33"/>
      <c r="JH271" s="33"/>
      <c r="JI271" s="33"/>
      <c r="JJ271" s="33"/>
      <c r="JK271" s="33"/>
      <c r="JL271" s="33"/>
      <c r="JM271" s="33"/>
      <c r="JN271" s="33"/>
      <c r="JO271" s="33"/>
      <c r="JP271" s="33"/>
      <c r="JQ271" s="33"/>
      <c r="JR271" s="33"/>
      <c r="JS271" s="33"/>
      <c r="JT271" s="33"/>
      <c r="JU271" s="33"/>
      <c r="JV271" s="33"/>
      <c r="JW271" s="33"/>
      <c r="JX271" s="33"/>
      <c r="JY271" s="33"/>
      <c r="JZ271" s="33"/>
      <c r="KA271" s="33"/>
      <c r="KB271" s="33"/>
      <c r="KC271" s="33"/>
      <c r="KD271" s="33"/>
      <c r="KE271" s="33"/>
      <c r="KF271" s="33"/>
      <c r="KG271" s="33"/>
      <c r="KH271" s="33"/>
      <c r="KI271" s="33"/>
      <c r="KJ271" s="33"/>
      <c r="KK271" s="33"/>
      <c r="KL271" s="33"/>
      <c r="KM271" s="33"/>
      <c r="KN271" s="33"/>
      <c r="KO271" s="33"/>
      <c r="KP271" s="33"/>
      <c r="KQ271" s="33"/>
      <c r="KR271" s="33"/>
      <c r="KS271" s="33"/>
      <c r="KT271" s="33"/>
      <c r="KU271" s="33"/>
      <c r="KV271" s="33"/>
      <c r="KW271" s="33"/>
      <c r="KX271" s="33"/>
      <c r="KY271" s="33"/>
      <c r="KZ271" s="33"/>
      <c r="LA271" s="33"/>
      <c r="LB271" s="33"/>
      <c r="LC271" s="33"/>
      <c r="LD271" s="33"/>
      <c r="LE271" s="33"/>
      <c r="LF271" s="33"/>
      <c r="LG271" s="33"/>
      <c r="LH271" s="33"/>
      <c r="LI271" s="33"/>
      <c r="LJ271" s="33"/>
      <c r="LK271" s="33"/>
      <c r="LL271" s="33"/>
      <c r="LM271" s="33"/>
      <c r="LN271" s="33"/>
      <c r="LO271" s="33"/>
      <c r="LP271" s="33"/>
      <c r="LQ271" s="33"/>
      <c r="LR271" s="33"/>
      <c r="LS271" s="33"/>
      <c r="LT271" s="33"/>
      <c r="LU271" s="33"/>
      <c r="LV271" s="33"/>
      <c r="LW271" s="33"/>
      <c r="LX271" s="33"/>
      <c r="LY271" s="33"/>
      <c r="LZ271" s="33"/>
      <c r="MA271" s="33"/>
      <c r="MB271" s="33"/>
      <c r="MC271" s="33"/>
      <c r="MD271" s="33"/>
      <c r="ME271" s="33"/>
      <c r="MF271" s="33"/>
      <c r="MG271" s="33"/>
      <c r="MH271" s="33"/>
      <c r="MI271" s="33"/>
      <c r="MJ271" s="33"/>
      <c r="MK271" s="33"/>
      <c r="ML271" s="33"/>
      <c r="MM271" s="33"/>
      <c r="MN271" s="33"/>
      <c r="MO271" s="33"/>
      <c r="MP271" s="33"/>
      <c r="MQ271" s="33"/>
      <c r="MR271" s="33"/>
      <c r="MS271" s="33"/>
      <c r="MT271" s="33"/>
      <c r="MU271" s="33"/>
      <c r="MV271" s="33"/>
      <c r="MW271" s="33"/>
      <c r="MX271" s="33"/>
      <c r="MY271" s="33"/>
      <c r="MZ271" s="33"/>
      <c r="NA271" s="33"/>
      <c r="NB271" s="33"/>
      <c r="NC271" s="33"/>
      <c r="ND271" s="33"/>
      <c r="NE271" s="33"/>
      <c r="NF271" s="33"/>
      <c r="NG271" s="33"/>
      <c r="NH271" s="33"/>
      <c r="NI271" s="33"/>
      <c r="NJ271" s="33"/>
      <c r="NK271" s="33"/>
      <c r="NL271" s="33"/>
      <c r="NM271" s="33"/>
      <c r="NN271" s="33"/>
      <c r="NO271" s="33"/>
      <c r="NP271" s="33"/>
      <c r="NQ271" s="33"/>
      <c r="NR271" s="33"/>
      <c r="NS271" s="33"/>
      <c r="NT271" s="33"/>
      <c r="NU271" s="33"/>
      <c r="NV271" s="33"/>
      <c r="NW271" s="33"/>
      <c r="NX271" s="33"/>
      <c r="NY271" s="33"/>
      <c r="NZ271" s="33"/>
      <c r="OA271" s="33"/>
      <c r="OB271" s="33"/>
      <c r="OC271" s="33"/>
      <c r="OD271" s="33"/>
      <c r="OE271" s="33"/>
      <c r="OF271" s="33"/>
      <c r="OG271" s="33"/>
      <c r="OH271" s="33"/>
      <c r="OI271" s="33"/>
      <c r="OJ271" s="33"/>
      <c r="OK271" s="33"/>
      <c r="OL271" s="33"/>
      <c r="OM271" s="33"/>
      <c r="ON271" s="33"/>
      <c r="OO271" s="33"/>
      <c r="OP271" s="33"/>
      <c r="OQ271" s="33"/>
      <c r="OR271" s="33"/>
      <c r="OS271" s="33"/>
      <c r="OT271" s="33"/>
      <c r="OU271" s="33"/>
      <c r="OV271" s="33"/>
      <c r="OW271" s="33"/>
      <c r="OX271" s="33"/>
      <c r="OY271" s="33"/>
      <c r="OZ271" s="33"/>
      <c r="PA271" s="33"/>
      <c r="PB271" s="33"/>
      <c r="PC271" s="33"/>
      <c r="PD271" s="33"/>
      <c r="PE271" s="33"/>
      <c r="PF271" s="33"/>
      <c r="PG271" s="33"/>
      <c r="PH271" s="33"/>
      <c r="PI271" s="33"/>
      <c r="PJ271" s="33"/>
      <c r="PK271" s="33"/>
      <c r="PL271" s="33"/>
      <c r="PM271" s="33"/>
      <c r="PN271" s="33"/>
      <c r="PO271" s="33"/>
      <c r="PP271" s="33"/>
      <c r="PQ271" s="33"/>
      <c r="PR271" s="33"/>
      <c r="PS271" s="33"/>
      <c r="PT271" s="33"/>
      <c r="PU271" s="33"/>
      <c r="PV271" s="33"/>
      <c r="PW271" s="33"/>
      <c r="PX271" s="33"/>
      <c r="PY271" s="33"/>
      <c r="PZ271" s="33"/>
      <c r="QA271" s="33"/>
      <c r="QB271" s="33"/>
      <c r="QC271" s="33"/>
      <c r="QD271" s="33"/>
      <c r="QE271" s="33"/>
      <c r="QF271" s="33"/>
      <c r="QG271" s="33"/>
      <c r="QH271" s="33"/>
      <c r="QI271" s="33"/>
      <c r="QJ271" s="33"/>
      <c r="QK271" s="33"/>
      <c r="QL271" s="33"/>
      <c r="QM271" s="33"/>
      <c r="QN271" s="33"/>
      <c r="QO271" s="33"/>
      <c r="QP271" s="33"/>
      <c r="QQ271" s="33"/>
      <c r="QR271" s="33"/>
      <c r="QS271" s="33"/>
      <c r="QT271" s="33"/>
      <c r="QU271" s="33"/>
      <c r="QV271" s="33"/>
      <c r="QW271" s="33"/>
      <c r="QX271" s="33"/>
      <c r="QY271" s="33"/>
      <c r="QZ271" s="33"/>
      <c r="RA271" s="33"/>
      <c r="RB271" s="33"/>
      <c r="RC271" s="33"/>
      <c r="RD271" s="33"/>
      <c r="RE271" s="33"/>
      <c r="RF271" s="33"/>
      <c r="RG271" s="33"/>
      <c r="RH271" s="33"/>
      <c r="RI271" s="33"/>
      <c r="RJ271" s="33"/>
      <c r="RK271" s="33"/>
      <c r="RL271" s="33"/>
      <c r="RM271" s="33"/>
      <c r="RN271" s="33"/>
      <c r="RO271" s="33"/>
      <c r="RP271" s="33"/>
      <c r="RQ271" s="33"/>
      <c r="RR271" s="33"/>
      <c r="RS271" s="33"/>
      <c r="RT271" s="33"/>
      <c r="RU271" s="33"/>
      <c r="RV271" s="33"/>
      <c r="RW271" s="33"/>
      <c r="RX271" s="33"/>
      <c r="RY271" s="33"/>
      <c r="RZ271" s="33"/>
      <c r="SA271" s="33"/>
      <c r="SB271" s="33"/>
      <c r="SC271" s="33"/>
      <c r="SD271" s="33"/>
      <c r="SE271" s="33"/>
      <c r="SF271" s="33"/>
      <c r="SG271" s="33"/>
      <c r="SH271" s="33"/>
      <c r="SI271" s="33"/>
      <c r="SJ271" s="33"/>
      <c r="SK271" s="33"/>
      <c r="SL271" s="33"/>
      <c r="SM271" s="33"/>
      <c r="SN271" s="33"/>
      <c r="SO271" s="33"/>
      <c r="SP271" s="33"/>
      <c r="SQ271" s="33"/>
      <c r="SR271" s="33"/>
      <c r="SS271" s="33"/>
      <c r="ST271" s="33"/>
      <c r="SU271" s="33"/>
      <c r="SV271" s="33"/>
      <c r="SW271" s="33"/>
      <c r="SX271" s="33"/>
      <c r="SY271" s="33"/>
      <c r="SZ271" s="33"/>
      <c r="TA271" s="33"/>
      <c r="TB271" s="33"/>
      <c r="TC271" s="33"/>
      <c r="TD271" s="33"/>
      <c r="TE271" s="33"/>
      <c r="TF271" s="33"/>
      <c r="TG271" s="33"/>
    </row>
    <row r="272" spans="1:527" s="22" customFormat="1" ht="47.25" x14ac:dyDescent="0.25">
      <c r="A272" s="60" t="s">
        <v>217</v>
      </c>
      <c r="B272" s="97" t="str">
        <f>'дод 8'!A19</f>
        <v>0160</v>
      </c>
      <c r="C272" s="97" t="str">
        <f>'дод 8'!B19</f>
        <v>0111</v>
      </c>
      <c r="D272" s="36" t="s">
        <v>504</v>
      </c>
      <c r="E272" s="103">
        <f t="shared" ref="E272:E277" si="153">F272+I272</f>
        <v>19308300</v>
      </c>
      <c r="F272" s="103">
        <f>19290300+18000</f>
        <v>19308300</v>
      </c>
      <c r="G272" s="103">
        <v>14962200</v>
      </c>
      <c r="H272" s="103">
        <v>286600</v>
      </c>
      <c r="I272" s="103"/>
      <c r="J272" s="103">
        <f>L272+O272</f>
        <v>0</v>
      </c>
      <c r="K272" s="103">
        <f>18000-18000</f>
        <v>0</v>
      </c>
      <c r="L272" s="103"/>
      <c r="M272" s="103"/>
      <c r="N272" s="103"/>
      <c r="O272" s="103">
        <f>18000-18000</f>
        <v>0</v>
      </c>
      <c r="P272" s="103">
        <f t="shared" ref="P272:P277" si="154">E272+J272</f>
        <v>19308300</v>
      </c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  <c r="IW272" s="23"/>
      <c r="IX272" s="23"/>
      <c r="IY272" s="23"/>
      <c r="IZ272" s="23"/>
      <c r="JA272" s="23"/>
      <c r="JB272" s="23"/>
      <c r="JC272" s="23"/>
      <c r="JD272" s="23"/>
      <c r="JE272" s="23"/>
      <c r="JF272" s="23"/>
      <c r="JG272" s="23"/>
      <c r="JH272" s="23"/>
      <c r="JI272" s="23"/>
      <c r="JJ272" s="23"/>
      <c r="JK272" s="23"/>
      <c r="JL272" s="23"/>
      <c r="JM272" s="23"/>
      <c r="JN272" s="23"/>
      <c r="JO272" s="23"/>
      <c r="JP272" s="23"/>
      <c r="JQ272" s="23"/>
      <c r="JR272" s="23"/>
      <c r="JS272" s="23"/>
      <c r="JT272" s="23"/>
      <c r="JU272" s="23"/>
      <c r="JV272" s="23"/>
      <c r="JW272" s="23"/>
      <c r="JX272" s="23"/>
      <c r="JY272" s="23"/>
      <c r="JZ272" s="23"/>
      <c r="KA272" s="23"/>
      <c r="KB272" s="23"/>
      <c r="KC272" s="23"/>
      <c r="KD272" s="23"/>
      <c r="KE272" s="23"/>
      <c r="KF272" s="23"/>
      <c r="KG272" s="23"/>
      <c r="KH272" s="23"/>
      <c r="KI272" s="23"/>
      <c r="KJ272" s="23"/>
      <c r="KK272" s="23"/>
      <c r="KL272" s="23"/>
      <c r="KM272" s="23"/>
      <c r="KN272" s="23"/>
      <c r="KO272" s="23"/>
      <c r="KP272" s="23"/>
      <c r="KQ272" s="23"/>
      <c r="KR272" s="23"/>
      <c r="KS272" s="23"/>
      <c r="KT272" s="23"/>
      <c r="KU272" s="23"/>
      <c r="KV272" s="23"/>
      <c r="KW272" s="23"/>
      <c r="KX272" s="23"/>
      <c r="KY272" s="23"/>
      <c r="KZ272" s="23"/>
      <c r="LA272" s="23"/>
      <c r="LB272" s="23"/>
      <c r="LC272" s="23"/>
      <c r="LD272" s="23"/>
      <c r="LE272" s="23"/>
      <c r="LF272" s="23"/>
      <c r="LG272" s="23"/>
      <c r="LH272" s="23"/>
      <c r="LI272" s="23"/>
      <c r="LJ272" s="23"/>
      <c r="LK272" s="23"/>
      <c r="LL272" s="23"/>
      <c r="LM272" s="23"/>
      <c r="LN272" s="23"/>
      <c r="LO272" s="23"/>
      <c r="LP272" s="23"/>
      <c r="LQ272" s="23"/>
      <c r="LR272" s="23"/>
      <c r="LS272" s="23"/>
      <c r="LT272" s="23"/>
      <c r="LU272" s="23"/>
      <c r="LV272" s="23"/>
      <c r="LW272" s="23"/>
      <c r="LX272" s="23"/>
      <c r="LY272" s="23"/>
      <c r="LZ272" s="23"/>
      <c r="MA272" s="23"/>
      <c r="MB272" s="23"/>
      <c r="MC272" s="23"/>
      <c r="MD272" s="23"/>
      <c r="ME272" s="23"/>
      <c r="MF272" s="23"/>
      <c r="MG272" s="23"/>
      <c r="MH272" s="23"/>
      <c r="MI272" s="23"/>
      <c r="MJ272" s="23"/>
      <c r="MK272" s="23"/>
      <c r="ML272" s="23"/>
      <c r="MM272" s="23"/>
      <c r="MN272" s="23"/>
      <c r="MO272" s="23"/>
      <c r="MP272" s="23"/>
      <c r="MQ272" s="23"/>
      <c r="MR272" s="23"/>
      <c r="MS272" s="23"/>
      <c r="MT272" s="23"/>
      <c r="MU272" s="23"/>
      <c r="MV272" s="23"/>
      <c r="MW272" s="23"/>
      <c r="MX272" s="23"/>
      <c r="MY272" s="23"/>
      <c r="MZ272" s="23"/>
      <c r="NA272" s="23"/>
      <c r="NB272" s="23"/>
      <c r="NC272" s="23"/>
      <c r="ND272" s="23"/>
      <c r="NE272" s="23"/>
      <c r="NF272" s="23"/>
      <c r="NG272" s="23"/>
      <c r="NH272" s="23"/>
      <c r="NI272" s="23"/>
      <c r="NJ272" s="23"/>
      <c r="NK272" s="23"/>
      <c r="NL272" s="23"/>
      <c r="NM272" s="23"/>
      <c r="NN272" s="23"/>
      <c r="NO272" s="23"/>
      <c r="NP272" s="23"/>
      <c r="NQ272" s="23"/>
      <c r="NR272" s="23"/>
      <c r="NS272" s="23"/>
      <c r="NT272" s="23"/>
      <c r="NU272" s="23"/>
      <c r="NV272" s="23"/>
      <c r="NW272" s="23"/>
      <c r="NX272" s="23"/>
      <c r="NY272" s="23"/>
      <c r="NZ272" s="23"/>
      <c r="OA272" s="23"/>
      <c r="OB272" s="23"/>
      <c r="OC272" s="23"/>
      <c r="OD272" s="23"/>
      <c r="OE272" s="23"/>
      <c r="OF272" s="23"/>
      <c r="OG272" s="23"/>
      <c r="OH272" s="23"/>
      <c r="OI272" s="23"/>
      <c r="OJ272" s="23"/>
      <c r="OK272" s="23"/>
      <c r="OL272" s="23"/>
      <c r="OM272" s="23"/>
      <c r="ON272" s="23"/>
      <c r="OO272" s="23"/>
      <c r="OP272" s="23"/>
      <c r="OQ272" s="23"/>
      <c r="OR272" s="23"/>
      <c r="OS272" s="23"/>
      <c r="OT272" s="23"/>
      <c r="OU272" s="23"/>
      <c r="OV272" s="23"/>
      <c r="OW272" s="23"/>
      <c r="OX272" s="23"/>
      <c r="OY272" s="23"/>
      <c r="OZ272" s="23"/>
      <c r="PA272" s="23"/>
      <c r="PB272" s="23"/>
      <c r="PC272" s="23"/>
      <c r="PD272" s="23"/>
      <c r="PE272" s="23"/>
      <c r="PF272" s="23"/>
      <c r="PG272" s="23"/>
      <c r="PH272" s="23"/>
      <c r="PI272" s="23"/>
      <c r="PJ272" s="23"/>
      <c r="PK272" s="23"/>
      <c r="PL272" s="23"/>
      <c r="PM272" s="23"/>
      <c r="PN272" s="23"/>
      <c r="PO272" s="23"/>
      <c r="PP272" s="23"/>
      <c r="PQ272" s="23"/>
      <c r="PR272" s="23"/>
      <c r="PS272" s="23"/>
      <c r="PT272" s="23"/>
      <c r="PU272" s="23"/>
      <c r="PV272" s="23"/>
      <c r="PW272" s="23"/>
      <c r="PX272" s="23"/>
      <c r="PY272" s="23"/>
      <c r="PZ272" s="23"/>
      <c r="QA272" s="23"/>
      <c r="QB272" s="23"/>
      <c r="QC272" s="23"/>
      <c r="QD272" s="23"/>
      <c r="QE272" s="23"/>
      <c r="QF272" s="23"/>
      <c r="QG272" s="23"/>
      <c r="QH272" s="23"/>
      <c r="QI272" s="23"/>
      <c r="QJ272" s="23"/>
      <c r="QK272" s="23"/>
      <c r="QL272" s="23"/>
      <c r="QM272" s="23"/>
      <c r="QN272" s="23"/>
      <c r="QO272" s="23"/>
      <c r="QP272" s="23"/>
      <c r="QQ272" s="23"/>
      <c r="QR272" s="23"/>
      <c r="QS272" s="23"/>
      <c r="QT272" s="23"/>
      <c r="QU272" s="23"/>
      <c r="QV272" s="23"/>
      <c r="QW272" s="23"/>
      <c r="QX272" s="23"/>
      <c r="QY272" s="23"/>
      <c r="QZ272" s="23"/>
      <c r="RA272" s="23"/>
      <c r="RB272" s="23"/>
      <c r="RC272" s="23"/>
      <c r="RD272" s="23"/>
      <c r="RE272" s="23"/>
      <c r="RF272" s="23"/>
      <c r="RG272" s="23"/>
      <c r="RH272" s="23"/>
      <c r="RI272" s="23"/>
      <c r="RJ272" s="23"/>
      <c r="RK272" s="23"/>
      <c r="RL272" s="23"/>
      <c r="RM272" s="23"/>
      <c r="RN272" s="23"/>
      <c r="RO272" s="23"/>
      <c r="RP272" s="23"/>
      <c r="RQ272" s="23"/>
      <c r="RR272" s="23"/>
      <c r="RS272" s="23"/>
      <c r="RT272" s="23"/>
      <c r="RU272" s="23"/>
      <c r="RV272" s="23"/>
      <c r="RW272" s="23"/>
      <c r="RX272" s="23"/>
      <c r="RY272" s="23"/>
      <c r="RZ272" s="23"/>
      <c r="SA272" s="23"/>
      <c r="SB272" s="23"/>
      <c r="SC272" s="23"/>
      <c r="SD272" s="23"/>
      <c r="SE272" s="23"/>
      <c r="SF272" s="23"/>
      <c r="SG272" s="23"/>
      <c r="SH272" s="23"/>
      <c r="SI272" s="23"/>
      <c r="SJ272" s="23"/>
      <c r="SK272" s="23"/>
      <c r="SL272" s="23"/>
      <c r="SM272" s="23"/>
      <c r="SN272" s="23"/>
      <c r="SO272" s="23"/>
      <c r="SP272" s="23"/>
      <c r="SQ272" s="23"/>
      <c r="SR272" s="23"/>
      <c r="SS272" s="23"/>
      <c r="ST272" s="23"/>
      <c r="SU272" s="23"/>
      <c r="SV272" s="23"/>
      <c r="SW272" s="23"/>
      <c r="SX272" s="23"/>
      <c r="SY272" s="23"/>
      <c r="SZ272" s="23"/>
      <c r="TA272" s="23"/>
      <c r="TB272" s="23"/>
      <c r="TC272" s="23"/>
      <c r="TD272" s="23"/>
      <c r="TE272" s="23"/>
      <c r="TF272" s="23"/>
      <c r="TG272" s="23"/>
    </row>
    <row r="273" spans="1:527" s="25" customFormat="1" ht="25.5" customHeight="1" x14ac:dyDescent="0.25">
      <c r="A273" s="60" t="s">
        <v>218</v>
      </c>
      <c r="B273" s="97" t="str">
        <f>'дод 8'!A153</f>
        <v>7130</v>
      </c>
      <c r="C273" s="97" t="str">
        <f>'дод 8'!B153</f>
        <v>0421</v>
      </c>
      <c r="D273" s="61" t="str">
        <f>'дод 8'!C153</f>
        <v>Здійснення заходів із землеустрою</v>
      </c>
      <c r="E273" s="103">
        <f t="shared" si="153"/>
        <v>450000</v>
      </c>
      <c r="F273" s="103">
        <f>150000+300000</f>
        <v>450000</v>
      </c>
      <c r="G273" s="103"/>
      <c r="H273" s="103"/>
      <c r="I273" s="103"/>
      <c r="J273" s="103">
        <f t="shared" ref="J273:J277" si="155">L273+O273</f>
        <v>0</v>
      </c>
      <c r="K273" s="103"/>
      <c r="L273" s="103"/>
      <c r="M273" s="103"/>
      <c r="N273" s="103"/>
      <c r="O273" s="103"/>
      <c r="P273" s="103">
        <f t="shared" si="154"/>
        <v>450000</v>
      </c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  <c r="IP273" s="31"/>
      <c r="IQ273" s="31"/>
      <c r="IR273" s="31"/>
      <c r="IS273" s="31"/>
      <c r="IT273" s="31"/>
      <c r="IU273" s="31"/>
      <c r="IV273" s="31"/>
      <c r="IW273" s="31"/>
      <c r="IX273" s="31"/>
      <c r="IY273" s="31"/>
      <c r="IZ273" s="31"/>
      <c r="JA273" s="31"/>
      <c r="JB273" s="31"/>
      <c r="JC273" s="31"/>
      <c r="JD273" s="31"/>
      <c r="JE273" s="31"/>
      <c r="JF273" s="31"/>
      <c r="JG273" s="31"/>
      <c r="JH273" s="31"/>
      <c r="JI273" s="31"/>
      <c r="JJ273" s="31"/>
      <c r="JK273" s="31"/>
      <c r="JL273" s="31"/>
      <c r="JM273" s="31"/>
      <c r="JN273" s="31"/>
      <c r="JO273" s="31"/>
      <c r="JP273" s="31"/>
      <c r="JQ273" s="31"/>
      <c r="JR273" s="31"/>
      <c r="JS273" s="31"/>
      <c r="JT273" s="31"/>
      <c r="JU273" s="31"/>
      <c r="JV273" s="31"/>
      <c r="JW273" s="31"/>
      <c r="JX273" s="31"/>
      <c r="JY273" s="31"/>
      <c r="JZ273" s="31"/>
      <c r="KA273" s="31"/>
      <c r="KB273" s="31"/>
      <c r="KC273" s="31"/>
      <c r="KD273" s="31"/>
      <c r="KE273" s="31"/>
      <c r="KF273" s="31"/>
      <c r="KG273" s="31"/>
      <c r="KH273" s="31"/>
      <c r="KI273" s="31"/>
      <c r="KJ273" s="31"/>
      <c r="KK273" s="31"/>
      <c r="KL273" s="31"/>
      <c r="KM273" s="31"/>
      <c r="KN273" s="31"/>
      <c r="KO273" s="31"/>
      <c r="KP273" s="31"/>
      <c r="KQ273" s="31"/>
      <c r="KR273" s="31"/>
      <c r="KS273" s="31"/>
      <c r="KT273" s="31"/>
      <c r="KU273" s="31"/>
      <c r="KV273" s="31"/>
      <c r="KW273" s="31"/>
      <c r="KX273" s="31"/>
      <c r="KY273" s="31"/>
      <c r="KZ273" s="31"/>
      <c r="LA273" s="31"/>
      <c r="LB273" s="31"/>
      <c r="LC273" s="31"/>
      <c r="LD273" s="31"/>
      <c r="LE273" s="31"/>
      <c r="LF273" s="31"/>
      <c r="LG273" s="31"/>
      <c r="LH273" s="31"/>
      <c r="LI273" s="31"/>
      <c r="LJ273" s="31"/>
      <c r="LK273" s="31"/>
      <c r="LL273" s="31"/>
      <c r="LM273" s="31"/>
      <c r="LN273" s="31"/>
      <c r="LO273" s="31"/>
      <c r="LP273" s="31"/>
      <c r="LQ273" s="31"/>
      <c r="LR273" s="31"/>
      <c r="LS273" s="31"/>
      <c r="LT273" s="31"/>
      <c r="LU273" s="31"/>
      <c r="LV273" s="31"/>
      <c r="LW273" s="31"/>
      <c r="LX273" s="31"/>
      <c r="LY273" s="31"/>
      <c r="LZ273" s="31"/>
      <c r="MA273" s="31"/>
      <c r="MB273" s="31"/>
      <c r="MC273" s="31"/>
      <c r="MD273" s="31"/>
      <c r="ME273" s="31"/>
      <c r="MF273" s="31"/>
      <c r="MG273" s="31"/>
      <c r="MH273" s="31"/>
      <c r="MI273" s="31"/>
      <c r="MJ273" s="31"/>
      <c r="MK273" s="31"/>
      <c r="ML273" s="31"/>
      <c r="MM273" s="31"/>
      <c r="MN273" s="31"/>
      <c r="MO273" s="31"/>
      <c r="MP273" s="31"/>
      <c r="MQ273" s="31"/>
      <c r="MR273" s="31"/>
      <c r="MS273" s="31"/>
      <c r="MT273" s="31"/>
      <c r="MU273" s="31"/>
      <c r="MV273" s="31"/>
      <c r="MW273" s="31"/>
      <c r="MX273" s="31"/>
      <c r="MY273" s="31"/>
      <c r="MZ273" s="31"/>
      <c r="NA273" s="31"/>
      <c r="NB273" s="31"/>
      <c r="NC273" s="31"/>
      <c r="ND273" s="31"/>
      <c r="NE273" s="31"/>
      <c r="NF273" s="31"/>
      <c r="NG273" s="31"/>
      <c r="NH273" s="31"/>
      <c r="NI273" s="31"/>
      <c r="NJ273" s="31"/>
      <c r="NK273" s="31"/>
      <c r="NL273" s="31"/>
      <c r="NM273" s="31"/>
      <c r="NN273" s="31"/>
      <c r="NO273" s="31"/>
      <c r="NP273" s="31"/>
      <c r="NQ273" s="31"/>
      <c r="NR273" s="31"/>
      <c r="NS273" s="31"/>
      <c r="NT273" s="31"/>
      <c r="NU273" s="31"/>
      <c r="NV273" s="31"/>
      <c r="NW273" s="31"/>
      <c r="NX273" s="31"/>
      <c r="NY273" s="31"/>
      <c r="NZ273" s="31"/>
      <c r="OA273" s="31"/>
      <c r="OB273" s="31"/>
      <c r="OC273" s="31"/>
      <c r="OD273" s="31"/>
      <c r="OE273" s="31"/>
      <c r="OF273" s="31"/>
      <c r="OG273" s="31"/>
      <c r="OH273" s="31"/>
      <c r="OI273" s="31"/>
      <c r="OJ273" s="31"/>
      <c r="OK273" s="31"/>
      <c r="OL273" s="31"/>
      <c r="OM273" s="31"/>
      <c r="ON273" s="31"/>
      <c r="OO273" s="31"/>
      <c r="OP273" s="31"/>
      <c r="OQ273" s="31"/>
      <c r="OR273" s="31"/>
      <c r="OS273" s="31"/>
      <c r="OT273" s="31"/>
      <c r="OU273" s="31"/>
      <c r="OV273" s="31"/>
      <c r="OW273" s="31"/>
      <c r="OX273" s="31"/>
      <c r="OY273" s="31"/>
      <c r="OZ273" s="31"/>
      <c r="PA273" s="31"/>
      <c r="PB273" s="31"/>
      <c r="PC273" s="31"/>
      <c r="PD273" s="31"/>
      <c r="PE273" s="31"/>
      <c r="PF273" s="31"/>
      <c r="PG273" s="31"/>
      <c r="PH273" s="31"/>
      <c r="PI273" s="31"/>
      <c r="PJ273" s="31"/>
      <c r="PK273" s="31"/>
      <c r="PL273" s="31"/>
      <c r="PM273" s="31"/>
      <c r="PN273" s="31"/>
      <c r="PO273" s="31"/>
      <c r="PP273" s="31"/>
      <c r="PQ273" s="31"/>
      <c r="PR273" s="31"/>
      <c r="PS273" s="31"/>
      <c r="PT273" s="31"/>
      <c r="PU273" s="31"/>
      <c r="PV273" s="31"/>
      <c r="PW273" s="31"/>
      <c r="PX273" s="31"/>
      <c r="PY273" s="31"/>
      <c r="PZ273" s="31"/>
      <c r="QA273" s="31"/>
      <c r="QB273" s="31"/>
      <c r="QC273" s="31"/>
      <c r="QD273" s="31"/>
      <c r="QE273" s="31"/>
      <c r="QF273" s="31"/>
      <c r="QG273" s="31"/>
      <c r="QH273" s="31"/>
      <c r="QI273" s="31"/>
      <c r="QJ273" s="31"/>
      <c r="QK273" s="31"/>
      <c r="QL273" s="31"/>
      <c r="QM273" s="31"/>
      <c r="QN273" s="31"/>
      <c r="QO273" s="31"/>
      <c r="QP273" s="31"/>
      <c r="QQ273" s="31"/>
      <c r="QR273" s="31"/>
      <c r="QS273" s="31"/>
      <c r="QT273" s="31"/>
      <c r="QU273" s="31"/>
      <c r="QV273" s="31"/>
      <c r="QW273" s="31"/>
      <c r="QX273" s="31"/>
      <c r="QY273" s="31"/>
      <c r="QZ273" s="31"/>
      <c r="RA273" s="31"/>
      <c r="RB273" s="31"/>
      <c r="RC273" s="31"/>
      <c r="RD273" s="31"/>
      <c r="RE273" s="31"/>
      <c r="RF273" s="31"/>
      <c r="RG273" s="31"/>
      <c r="RH273" s="31"/>
      <c r="RI273" s="31"/>
      <c r="RJ273" s="31"/>
      <c r="RK273" s="31"/>
      <c r="RL273" s="31"/>
      <c r="RM273" s="31"/>
      <c r="RN273" s="31"/>
      <c r="RO273" s="31"/>
      <c r="RP273" s="31"/>
      <c r="RQ273" s="31"/>
      <c r="RR273" s="31"/>
      <c r="RS273" s="31"/>
      <c r="RT273" s="31"/>
      <c r="RU273" s="31"/>
      <c r="RV273" s="31"/>
      <c r="RW273" s="31"/>
      <c r="RX273" s="31"/>
      <c r="RY273" s="31"/>
      <c r="RZ273" s="31"/>
      <c r="SA273" s="31"/>
      <c r="SB273" s="31"/>
      <c r="SC273" s="31"/>
      <c r="SD273" s="31"/>
      <c r="SE273" s="31"/>
      <c r="SF273" s="31"/>
      <c r="SG273" s="31"/>
      <c r="SH273" s="31"/>
      <c r="SI273" s="31"/>
      <c r="SJ273" s="31"/>
      <c r="SK273" s="31"/>
      <c r="SL273" s="31"/>
      <c r="SM273" s="31"/>
      <c r="SN273" s="31"/>
      <c r="SO273" s="31"/>
      <c r="SP273" s="31"/>
      <c r="SQ273" s="31"/>
      <c r="SR273" s="31"/>
      <c r="SS273" s="31"/>
      <c r="ST273" s="31"/>
      <c r="SU273" s="31"/>
      <c r="SV273" s="31"/>
      <c r="SW273" s="31"/>
      <c r="SX273" s="31"/>
      <c r="SY273" s="31"/>
      <c r="SZ273" s="31"/>
      <c r="TA273" s="31"/>
      <c r="TB273" s="31"/>
      <c r="TC273" s="31"/>
      <c r="TD273" s="31"/>
      <c r="TE273" s="31"/>
      <c r="TF273" s="31"/>
      <c r="TG273" s="31"/>
    </row>
    <row r="274" spans="1:527" s="22" customFormat="1" ht="29.25" customHeight="1" x14ac:dyDescent="0.25">
      <c r="A274" s="107" t="s">
        <v>219</v>
      </c>
      <c r="B274" s="42" t="str">
        <f>'дод 8'!A186</f>
        <v>7610</v>
      </c>
      <c r="C274" s="42" t="str">
        <f>'дод 8'!B186</f>
        <v>0411</v>
      </c>
      <c r="D274" s="36" t="str">
        <f>'дод 8'!C186</f>
        <v>Сприяння розвитку малого та середнього підприємництва</v>
      </c>
      <c r="E274" s="103">
        <f t="shared" si="153"/>
        <v>915000</v>
      </c>
      <c r="F274" s="103">
        <v>415000</v>
      </c>
      <c r="G274" s="103"/>
      <c r="H274" s="103"/>
      <c r="I274" s="103">
        <v>500000</v>
      </c>
      <c r="J274" s="103">
        <f t="shared" si="155"/>
        <v>0</v>
      </c>
      <c r="K274" s="103"/>
      <c r="L274" s="103"/>
      <c r="M274" s="103"/>
      <c r="N274" s="103"/>
      <c r="O274" s="103"/>
      <c r="P274" s="103">
        <f t="shared" si="154"/>
        <v>915000</v>
      </c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  <c r="SQ274" s="23"/>
      <c r="SR274" s="23"/>
      <c r="SS274" s="23"/>
      <c r="ST274" s="23"/>
      <c r="SU274" s="23"/>
      <c r="SV274" s="23"/>
      <c r="SW274" s="23"/>
      <c r="SX274" s="23"/>
      <c r="SY274" s="23"/>
      <c r="SZ274" s="23"/>
      <c r="TA274" s="23"/>
      <c r="TB274" s="23"/>
      <c r="TC274" s="23"/>
      <c r="TD274" s="23"/>
      <c r="TE274" s="23"/>
      <c r="TF274" s="23"/>
      <c r="TG274" s="23"/>
    </row>
    <row r="275" spans="1:527" s="22" customFormat="1" ht="32.25" customHeight="1" x14ac:dyDescent="0.25">
      <c r="A275" s="107" t="s">
        <v>268</v>
      </c>
      <c r="B275" s="42" t="str">
        <f>'дод 8'!A189</f>
        <v>7650</v>
      </c>
      <c r="C275" s="42" t="str">
        <f>'дод 8'!B189</f>
        <v>0490</v>
      </c>
      <c r="D275" s="36" t="str">
        <f>'дод 8'!C189</f>
        <v>Проведення експертної грошової оцінки земельної ділянки чи права на неї</v>
      </c>
      <c r="E275" s="103">
        <f t="shared" si="153"/>
        <v>0</v>
      </c>
      <c r="F275" s="103"/>
      <c r="G275" s="103"/>
      <c r="H275" s="103"/>
      <c r="I275" s="103"/>
      <c r="J275" s="103">
        <f t="shared" si="155"/>
        <v>20000</v>
      </c>
      <c r="K275" s="103">
        <v>20000</v>
      </c>
      <c r="L275" s="103"/>
      <c r="M275" s="103"/>
      <c r="N275" s="103"/>
      <c r="O275" s="103">
        <v>20000</v>
      </c>
      <c r="P275" s="103">
        <f t="shared" si="154"/>
        <v>20000</v>
      </c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  <c r="IW275" s="23"/>
      <c r="IX275" s="23"/>
      <c r="IY275" s="23"/>
      <c r="IZ275" s="23"/>
      <c r="JA275" s="23"/>
      <c r="JB275" s="23"/>
      <c r="JC275" s="23"/>
      <c r="JD275" s="23"/>
      <c r="JE275" s="23"/>
      <c r="JF275" s="23"/>
      <c r="JG275" s="23"/>
      <c r="JH275" s="23"/>
      <c r="JI275" s="23"/>
      <c r="JJ275" s="23"/>
      <c r="JK275" s="23"/>
      <c r="JL275" s="23"/>
      <c r="JM275" s="23"/>
      <c r="JN275" s="23"/>
      <c r="JO275" s="23"/>
      <c r="JP275" s="23"/>
      <c r="JQ275" s="23"/>
      <c r="JR275" s="23"/>
      <c r="JS275" s="23"/>
      <c r="JT275" s="23"/>
      <c r="JU275" s="23"/>
      <c r="JV275" s="23"/>
      <c r="JW275" s="23"/>
      <c r="JX275" s="23"/>
      <c r="JY275" s="23"/>
      <c r="JZ275" s="23"/>
      <c r="KA275" s="23"/>
      <c r="KB275" s="23"/>
      <c r="KC275" s="23"/>
      <c r="KD275" s="23"/>
      <c r="KE275" s="23"/>
      <c r="KF275" s="23"/>
      <c r="KG275" s="23"/>
      <c r="KH275" s="23"/>
      <c r="KI275" s="23"/>
      <c r="KJ275" s="23"/>
      <c r="KK275" s="23"/>
      <c r="KL275" s="23"/>
      <c r="KM275" s="23"/>
      <c r="KN275" s="23"/>
      <c r="KO275" s="23"/>
      <c r="KP275" s="23"/>
      <c r="KQ275" s="23"/>
      <c r="KR275" s="23"/>
      <c r="KS275" s="23"/>
      <c r="KT275" s="23"/>
      <c r="KU275" s="23"/>
      <c r="KV275" s="23"/>
      <c r="KW275" s="23"/>
      <c r="KX275" s="23"/>
      <c r="KY275" s="23"/>
      <c r="KZ275" s="23"/>
      <c r="LA275" s="23"/>
      <c r="LB275" s="23"/>
      <c r="LC275" s="23"/>
      <c r="LD275" s="23"/>
      <c r="LE275" s="23"/>
      <c r="LF275" s="23"/>
      <c r="LG275" s="23"/>
      <c r="LH275" s="23"/>
      <c r="LI275" s="23"/>
      <c r="LJ275" s="23"/>
      <c r="LK275" s="23"/>
      <c r="LL275" s="23"/>
      <c r="LM275" s="23"/>
      <c r="LN275" s="23"/>
      <c r="LO275" s="23"/>
      <c r="LP275" s="23"/>
      <c r="LQ275" s="23"/>
      <c r="LR275" s="23"/>
      <c r="LS275" s="23"/>
      <c r="LT275" s="23"/>
      <c r="LU275" s="23"/>
      <c r="LV275" s="23"/>
      <c r="LW275" s="23"/>
      <c r="LX275" s="23"/>
      <c r="LY275" s="23"/>
      <c r="LZ275" s="23"/>
      <c r="MA275" s="23"/>
      <c r="MB275" s="23"/>
      <c r="MC275" s="23"/>
      <c r="MD275" s="23"/>
      <c r="ME275" s="23"/>
      <c r="MF275" s="23"/>
      <c r="MG275" s="23"/>
      <c r="MH275" s="23"/>
      <c r="MI275" s="23"/>
      <c r="MJ275" s="23"/>
      <c r="MK275" s="23"/>
      <c r="ML275" s="23"/>
      <c r="MM275" s="23"/>
      <c r="MN275" s="23"/>
      <c r="MO275" s="23"/>
      <c r="MP275" s="23"/>
      <c r="MQ275" s="23"/>
      <c r="MR275" s="23"/>
      <c r="MS275" s="23"/>
      <c r="MT275" s="23"/>
      <c r="MU275" s="23"/>
      <c r="MV275" s="23"/>
      <c r="MW275" s="23"/>
      <c r="MX275" s="23"/>
      <c r="MY275" s="23"/>
      <c r="MZ275" s="23"/>
      <c r="NA275" s="23"/>
      <c r="NB275" s="23"/>
      <c r="NC275" s="23"/>
      <c r="ND275" s="23"/>
      <c r="NE275" s="23"/>
      <c r="NF275" s="23"/>
      <c r="NG275" s="23"/>
      <c r="NH275" s="23"/>
      <c r="NI275" s="23"/>
      <c r="NJ275" s="23"/>
      <c r="NK275" s="23"/>
      <c r="NL275" s="23"/>
      <c r="NM275" s="23"/>
      <c r="NN275" s="23"/>
      <c r="NO275" s="23"/>
      <c r="NP275" s="23"/>
      <c r="NQ275" s="23"/>
      <c r="NR275" s="23"/>
      <c r="NS275" s="23"/>
      <c r="NT275" s="23"/>
      <c r="NU275" s="23"/>
      <c r="NV275" s="23"/>
      <c r="NW275" s="23"/>
      <c r="NX275" s="23"/>
      <c r="NY275" s="23"/>
      <c r="NZ275" s="23"/>
      <c r="OA275" s="23"/>
      <c r="OB275" s="23"/>
      <c r="OC275" s="23"/>
      <c r="OD275" s="23"/>
      <c r="OE275" s="23"/>
      <c r="OF275" s="23"/>
      <c r="OG275" s="23"/>
      <c r="OH275" s="23"/>
      <c r="OI275" s="23"/>
      <c r="OJ275" s="23"/>
      <c r="OK275" s="23"/>
      <c r="OL275" s="23"/>
      <c r="OM275" s="23"/>
      <c r="ON275" s="23"/>
      <c r="OO275" s="23"/>
      <c r="OP275" s="23"/>
      <c r="OQ275" s="23"/>
      <c r="OR275" s="23"/>
      <c r="OS275" s="23"/>
      <c r="OT275" s="23"/>
      <c r="OU275" s="23"/>
      <c r="OV275" s="23"/>
      <c r="OW275" s="23"/>
      <c r="OX275" s="23"/>
      <c r="OY275" s="23"/>
      <c r="OZ275" s="23"/>
      <c r="PA275" s="23"/>
      <c r="PB275" s="23"/>
      <c r="PC275" s="23"/>
      <c r="PD275" s="23"/>
      <c r="PE275" s="23"/>
      <c r="PF275" s="23"/>
      <c r="PG275" s="23"/>
      <c r="PH275" s="23"/>
      <c r="PI275" s="23"/>
      <c r="PJ275" s="23"/>
      <c r="PK275" s="23"/>
      <c r="PL275" s="23"/>
      <c r="PM275" s="23"/>
      <c r="PN275" s="23"/>
      <c r="PO275" s="23"/>
      <c r="PP275" s="23"/>
      <c r="PQ275" s="23"/>
      <c r="PR275" s="23"/>
      <c r="PS275" s="23"/>
      <c r="PT275" s="23"/>
      <c r="PU275" s="23"/>
      <c r="PV275" s="23"/>
      <c r="PW275" s="23"/>
      <c r="PX275" s="23"/>
      <c r="PY275" s="23"/>
      <c r="PZ275" s="23"/>
      <c r="QA275" s="23"/>
      <c r="QB275" s="23"/>
      <c r="QC275" s="23"/>
      <c r="QD275" s="23"/>
      <c r="QE275" s="23"/>
      <c r="QF275" s="23"/>
      <c r="QG275" s="23"/>
      <c r="QH275" s="23"/>
      <c r="QI275" s="23"/>
      <c r="QJ275" s="23"/>
      <c r="QK275" s="23"/>
      <c r="QL275" s="23"/>
      <c r="QM275" s="23"/>
      <c r="QN275" s="23"/>
      <c r="QO275" s="23"/>
      <c r="QP275" s="23"/>
      <c r="QQ275" s="23"/>
      <c r="QR275" s="23"/>
      <c r="QS275" s="23"/>
      <c r="QT275" s="23"/>
      <c r="QU275" s="23"/>
      <c r="QV275" s="23"/>
      <c r="QW275" s="23"/>
      <c r="QX275" s="23"/>
      <c r="QY275" s="23"/>
      <c r="QZ275" s="23"/>
      <c r="RA275" s="23"/>
      <c r="RB275" s="23"/>
      <c r="RC275" s="23"/>
      <c r="RD275" s="23"/>
      <c r="RE275" s="23"/>
      <c r="RF275" s="23"/>
      <c r="RG275" s="23"/>
      <c r="RH275" s="23"/>
      <c r="RI275" s="23"/>
      <c r="RJ275" s="23"/>
      <c r="RK275" s="23"/>
      <c r="RL275" s="23"/>
      <c r="RM275" s="23"/>
      <c r="RN275" s="23"/>
      <c r="RO275" s="23"/>
      <c r="RP275" s="23"/>
      <c r="RQ275" s="23"/>
      <c r="RR275" s="23"/>
      <c r="RS275" s="23"/>
      <c r="RT275" s="23"/>
      <c r="RU275" s="23"/>
      <c r="RV275" s="23"/>
      <c r="RW275" s="23"/>
      <c r="RX275" s="23"/>
      <c r="RY275" s="23"/>
      <c r="RZ275" s="23"/>
      <c r="SA275" s="23"/>
      <c r="SB275" s="23"/>
      <c r="SC275" s="23"/>
      <c r="SD275" s="23"/>
      <c r="SE275" s="23"/>
      <c r="SF275" s="23"/>
      <c r="SG275" s="23"/>
      <c r="SH275" s="23"/>
      <c r="SI275" s="23"/>
      <c r="SJ275" s="23"/>
      <c r="SK275" s="23"/>
      <c r="SL275" s="23"/>
      <c r="SM275" s="23"/>
      <c r="SN275" s="23"/>
      <c r="SO275" s="23"/>
      <c r="SP275" s="23"/>
      <c r="SQ275" s="23"/>
      <c r="SR275" s="23"/>
      <c r="SS275" s="23"/>
      <c r="ST275" s="23"/>
      <c r="SU275" s="23"/>
      <c r="SV275" s="23"/>
      <c r="SW275" s="23"/>
      <c r="SX275" s="23"/>
      <c r="SY275" s="23"/>
      <c r="SZ275" s="23"/>
      <c r="TA275" s="23"/>
      <c r="TB275" s="23"/>
      <c r="TC275" s="23"/>
      <c r="TD275" s="23"/>
      <c r="TE275" s="23"/>
      <c r="TF275" s="23"/>
      <c r="TG275" s="23"/>
    </row>
    <row r="276" spans="1:527" s="22" customFormat="1" ht="67.5" customHeight="1" x14ac:dyDescent="0.25">
      <c r="A276" s="107" t="s">
        <v>270</v>
      </c>
      <c r="B276" s="42" t="str">
        <f>'дод 8'!A190</f>
        <v>7660</v>
      </c>
      <c r="C276" s="42" t="str">
        <f>'дод 8'!B190</f>
        <v>0490</v>
      </c>
      <c r="D276" s="36" t="str">
        <f>'дод 8'!C190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76" s="103">
        <f t="shared" si="153"/>
        <v>0</v>
      </c>
      <c r="F276" s="103"/>
      <c r="G276" s="103"/>
      <c r="H276" s="103"/>
      <c r="I276" s="103"/>
      <c r="J276" s="103">
        <f t="shared" si="155"/>
        <v>45000</v>
      </c>
      <c r="K276" s="103">
        <v>45000</v>
      </c>
      <c r="L276" s="103"/>
      <c r="M276" s="103"/>
      <c r="N276" s="103"/>
      <c r="O276" s="103">
        <v>45000</v>
      </c>
      <c r="P276" s="103">
        <f t="shared" si="154"/>
        <v>45000</v>
      </c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  <c r="IW276" s="23"/>
      <c r="IX276" s="23"/>
      <c r="IY276" s="23"/>
      <c r="IZ276" s="23"/>
      <c r="JA276" s="23"/>
      <c r="JB276" s="23"/>
      <c r="JC276" s="23"/>
      <c r="JD276" s="23"/>
      <c r="JE276" s="23"/>
      <c r="JF276" s="23"/>
      <c r="JG276" s="23"/>
      <c r="JH276" s="23"/>
      <c r="JI276" s="23"/>
      <c r="JJ276" s="23"/>
      <c r="JK276" s="23"/>
      <c r="JL276" s="23"/>
      <c r="JM276" s="23"/>
      <c r="JN276" s="23"/>
      <c r="JO276" s="23"/>
      <c r="JP276" s="23"/>
      <c r="JQ276" s="23"/>
      <c r="JR276" s="23"/>
      <c r="JS276" s="23"/>
      <c r="JT276" s="23"/>
      <c r="JU276" s="23"/>
      <c r="JV276" s="23"/>
      <c r="JW276" s="23"/>
      <c r="JX276" s="23"/>
      <c r="JY276" s="23"/>
      <c r="JZ276" s="23"/>
      <c r="KA276" s="23"/>
      <c r="KB276" s="23"/>
      <c r="KC276" s="23"/>
      <c r="KD276" s="23"/>
      <c r="KE276" s="23"/>
      <c r="KF276" s="23"/>
      <c r="KG276" s="23"/>
      <c r="KH276" s="23"/>
      <c r="KI276" s="23"/>
      <c r="KJ276" s="23"/>
      <c r="KK276" s="23"/>
      <c r="KL276" s="23"/>
      <c r="KM276" s="23"/>
      <c r="KN276" s="23"/>
      <c r="KO276" s="23"/>
      <c r="KP276" s="23"/>
      <c r="KQ276" s="23"/>
      <c r="KR276" s="23"/>
      <c r="KS276" s="23"/>
      <c r="KT276" s="23"/>
      <c r="KU276" s="23"/>
      <c r="KV276" s="23"/>
      <c r="KW276" s="23"/>
      <c r="KX276" s="23"/>
      <c r="KY276" s="23"/>
      <c r="KZ276" s="23"/>
      <c r="LA276" s="23"/>
      <c r="LB276" s="23"/>
      <c r="LC276" s="23"/>
      <c r="LD276" s="23"/>
      <c r="LE276" s="23"/>
      <c r="LF276" s="23"/>
      <c r="LG276" s="23"/>
      <c r="LH276" s="23"/>
      <c r="LI276" s="23"/>
      <c r="LJ276" s="23"/>
      <c r="LK276" s="23"/>
      <c r="LL276" s="23"/>
      <c r="LM276" s="23"/>
      <c r="LN276" s="23"/>
      <c r="LO276" s="23"/>
      <c r="LP276" s="23"/>
      <c r="LQ276" s="23"/>
      <c r="LR276" s="23"/>
      <c r="LS276" s="23"/>
      <c r="LT276" s="23"/>
      <c r="LU276" s="23"/>
      <c r="LV276" s="23"/>
      <c r="LW276" s="23"/>
      <c r="LX276" s="23"/>
      <c r="LY276" s="23"/>
      <c r="LZ276" s="23"/>
      <c r="MA276" s="23"/>
      <c r="MB276" s="23"/>
      <c r="MC276" s="23"/>
      <c r="MD276" s="23"/>
      <c r="ME276" s="23"/>
      <c r="MF276" s="23"/>
      <c r="MG276" s="23"/>
      <c r="MH276" s="23"/>
      <c r="MI276" s="23"/>
      <c r="MJ276" s="23"/>
      <c r="MK276" s="23"/>
      <c r="ML276" s="23"/>
      <c r="MM276" s="23"/>
      <c r="MN276" s="23"/>
      <c r="MO276" s="23"/>
      <c r="MP276" s="23"/>
      <c r="MQ276" s="23"/>
      <c r="MR276" s="23"/>
      <c r="MS276" s="23"/>
      <c r="MT276" s="23"/>
      <c r="MU276" s="23"/>
      <c r="MV276" s="23"/>
      <c r="MW276" s="23"/>
      <c r="MX276" s="23"/>
      <c r="MY276" s="23"/>
      <c r="MZ276" s="23"/>
      <c r="NA276" s="23"/>
      <c r="NB276" s="23"/>
      <c r="NC276" s="23"/>
      <c r="ND276" s="23"/>
      <c r="NE276" s="23"/>
      <c r="NF276" s="23"/>
      <c r="NG276" s="23"/>
      <c r="NH276" s="23"/>
      <c r="NI276" s="23"/>
      <c r="NJ276" s="23"/>
      <c r="NK276" s="23"/>
      <c r="NL276" s="23"/>
      <c r="NM276" s="23"/>
      <c r="NN276" s="23"/>
      <c r="NO276" s="23"/>
      <c r="NP276" s="23"/>
      <c r="NQ276" s="23"/>
      <c r="NR276" s="23"/>
      <c r="NS276" s="23"/>
      <c r="NT276" s="23"/>
      <c r="NU276" s="23"/>
      <c r="NV276" s="23"/>
      <c r="NW276" s="23"/>
      <c r="NX276" s="23"/>
      <c r="NY276" s="23"/>
      <c r="NZ276" s="23"/>
      <c r="OA276" s="23"/>
      <c r="OB276" s="23"/>
      <c r="OC276" s="23"/>
      <c r="OD276" s="23"/>
      <c r="OE276" s="23"/>
      <c r="OF276" s="23"/>
      <c r="OG276" s="23"/>
      <c r="OH276" s="23"/>
      <c r="OI276" s="23"/>
      <c r="OJ276" s="23"/>
      <c r="OK276" s="23"/>
      <c r="OL276" s="23"/>
      <c r="OM276" s="23"/>
      <c r="ON276" s="23"/>
      <c r="OO276" s="23"/>
      <c r="OP276" s="23"/>
      <c r="OQ276" s="23"/>
      <c r="OR276" s="23"/>
      <c r="OS276" s="23"/>
      <c r="OT276" s="23"/>
      <c r="OU276" s="23"/>
      <c r="OV276" s="23"/>
      <c r="OW276" s="23"/>
      <c r="OX276" s="23"/>
      <c r="OY276" s="23"/>
      <c r="OZ276" s="23"/>
      <c r="PA276" s="23"/>
      <c r="PB276" s="23"/>
      <c r="PC276" s="23"/>
      <c r="PD276" s="23"/>
      <c r="PE276" s="23"/>
      <c r="PF276" s="23"/>
      <c r="PG276" s="23"/>
      <c r="PH276" s="23"/>
      <c r="PI276" s="23"/>
      <c r="PJ276" s="23"/>
      <c r="PK276" s="23"/>
      <c r="PL276" s="23"/>
      <c r="PM276" s="23"/>
      <c r="PN276" s="23"/>
      <c r="PO276" s="23"/>
      <c r="PP276" s="23"/>
      <c r="PQ276" s="23"/>
      <c r="PR276" s="23"/>
      <c r="PS276" s="23"/>
      <c r="PT276" s="23"/>
      <c r="PU276" s="23"/>
      <c r="PV276" s="23"/>
      <c r="PW276" s="23"/>
      <c r="PX276" s="23"/>
      <c r="PY276" s="23"/>
      <c r="PZ276" s="23"/>
      <c r="QA276" s="23"/>
      <c r="QB276" s="23"/>
      <c r="QC276" s="23"/>
      <c r="QD276" s="23"/>
      <c r="QE276" s="23"/>
      <c r="QF276" s="23"/>
      <c r="QG276" s="23"/>
      <c r="QH276" s="23"/>
      <c r="QI276" s="23"/>
      <c r="QJ276" s="23"/>
      <c r="QK276" s="23"/>
      <c r="QL276" s="23"/>
      <c r="QM276" s="23"/>
      <c r="QN276" s="23"/>
      <c r="QO276" s="23"/>
      <c r="QP276" s="23"/>
      <c r="QQ276" s="23"/>
      <c r="QR276" s="23"/>
      <c r="QS276" s="23"/>
      <c r="QT276" s="23"/>
      <c r="QU276" s="23"/>
      <c r="QV276" s="23"/>
      <c r="QW276" s="23"/>
      <c r="QX276" s="23"/>
      <c r="QY276" s="23"/>
      <c r="QZ276" s="23"/>
      <c r="RA276" s="23"/>
      <c r="RB276" s="23"/>
      <c r="RC276" s="23"/>
      <c r="RD276" s="23"/>
      <c r="RE276" s="23"/>
      <c r="RF276" s="23"/>
      <c r="RG276" s="23"/>
      <c r="RH276" s="23"/>
      <c r="RI276" s="23"/>
      <c r="RJ276" s="23"/>
      <c r="RK276" s="23"/>
      <c r="RL276" s="23"/>
      <c r="RM276" s="23"/>
      <c r="RN276" s="23"/>
      <c r="RO276" s="23"/>
      <c r="RP276" s="23"/>
      <c r="RQ276" s="23"/>
      <c r="RR276" s="23"/>
      <c r="RS276" s="23"/>
      <c r="RT276" s="23"/>
      <c r="RU276" s="23"/>
      <c r="RV276" s="23"/>
      <c r="RW276" s="23"/>
      <c r="RX276" s="23"/>
      <c r="RY276" s="23"/>
      <c r="RZ276" s="23"/>
      <c r="SA276" s="23"/>
      <c r="SB276" s="23"/>
      <c r="SC276" s="23"/>
      <c r="SD276" s="23"/>
      <c r="SE276" s="23"/>
      <c r="SF276" s="23"/>
      <c r="SG276" s="23"/>
      <c r="SH276" s="23"/>
      <c r="SI276" s="23"/>
      <c r="SJ276" s="23"/>
      <c r="SK276" s="23"/>
      <c r="SL276" s="23"/>
      <c r="SM276" s="23"/>
      <c r="SN276" s="23"/>
      <c r="SO276" s="23"/>
      <c r="SP276" s="23"/>
      <c r="SQ276" s="23"/>
      <c r="SR276" s="23"/>
      <c r="SS276" s="23"/>
      <c r="ST276" s="23"/>
      <c r="SU276" s="23"/>
      <c r="SV276" s="23"/>
      <c r="SW276" s="23"/>
      <c r="SX276" s="23"/>
      <c r="SY276" s="23"/>
      <c r="SZ276" s="23"/>
      <c r="TA276" s="23"/>
      <c r="TB276" s="23"/>
      <c r="TC276" s="23"/>
      <c r="TD276" s="23"/>
      <c r="TE276" s="23"/>
      <c r="TF276" s="23"/>
      <c r="TG276" s="23"/>
    </row>
    <row r="277" spans="1:527" s="22" customFormat="1" ht="23.25" customHeight="1" x14ac:dyDescent="0.25">
      <c r="A277" s="107" t="s">
        <v>266</v>
      </c>
      <c r="B277" s="42" t="str">
        <f>'дод 8'!A195</f>
        <v>7693</v>
      </c>
      <c r="C277" s="42" t="str">
        <f>'дод 8'!B195</f>
        <v>0490</v>
      </c>
      <c r="D277" s="36" t="str">
        <f>'дод 8'!C195</f>
        <v>Інші заходи, пов'язані з економічною діяльністю</v>
      </c>
      <c r="E277" s="103">
        <f t="shared" si="153"/>
        <v>788000</v>
      </c>
      <c r="F277" s="103">
        <f>788000</f>
        <v>788000</v>
      </c>
      <c r="G277" s="103"/>
      <c r="H277" s="103"/>
      <c r="I277" s="103"/>
      <c r="J277" s="103">
        <f t="shared" si="155"/>
        <v>0</v>
      </c>
      <c r="K277" s="103"/>
      <c r="L277" s="103"/>
      <c r="M277" s="103"/>
      <c r="N277" s="103"/>
      <c r="O277" s="103"/>
      <c r="P277" s="103">
        <f t="shared" si="154"/>
        <v>788000</v>
      </c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  <c r="IW277" s="23"/>
      <c r="IX277" s="23"/>
      <c r="IY277" s="23"/>
      <c r="IZ277" s="23"/>
      <c r="JA277" s="23"/>
      <c r="JB277" s="23"/>
      <c r="JC277" s="23"/>
      <c r="JD277" s="23"/>
      <c r="JE277" s="23"/>
      <c r="JF277" s="23"/>
      <c r="JG277" s="23"/>
      <c r="JH277" s="23"/>
      <c r="JI277" s="23"/>
      <c r="JJ277" s="23"/>
      <c r="JK277" s="23"/>
      <c r="JL277" s="23"/>
      <c r="JM277" s="23"/>
      <c r="JN277" s="23"/>
      <c r="JO277" s="23"/>
      <c r="JP277" s="23"/>
      <c r="JQ277" s="23"/>
      <c r="JR277" s="23"/>
      <c r="JS277" s="23"/>
      <c r="JT277" s="23"/>
      <c r="JU277" s="23"/>
      <c r="JV277" s="23"/>
      <c r="JW277" s="23"/>
      <c r="JX277" s="23"/>
      <c r="JY277" s="23"/>
      <c r="JZ277" s="23"/>
      <c r="KA277" s="23"/>
      <c r="KB277" s="23"/>
      <c r="KC277" s="23"/>
      <c r="KD277" s="23"/>
      <c r="KE277" s="23"/>
      <c r="KF277" s="23"/>
      <c r="KG277" s="23"/>
      <c r="KH277" s="23"/>
      <c r="KI277" s="23"/>
      <c r="KJ277" s="23"/>
      <c r="KK277" s="23"/>
      <c r="KL277" s="23"/>
      <c r="KM277" s="23"/>
      <c r="KN277" s="23"/>
      <c r="KO277" s="23"/>
      <c r="KP277" s="23"/>
      <c r="KQ277" s="23"/>
      <c r="KR277" s="23"/>
      <c r="KS277" s="23"/>
      <c r="KT277" s="23"/>
      <c r="KU277" s="23"/>
      <c r="KV277" s="23"/>
      <c r="KW277" s="23"/>
      <c r="KX277" s="23"/>
      <c r="KY277" s="23"/>
      <c r="KZ277" s="23"/>
      <c r="LA277" s="23"/>
      <c r="LB277" s="23"/>
      <c r="LC277" s="23"/>
      <c r="LD277" s="23"/>
      <c r="LE277" s="23"/>
      <c r="LF277" s="23"/>
      <c r="LG277" s="23"/>
      <c r="LH277" s="23"/>
      <c r="LI277" s="23"/>
      <c r="LJ277" s="23"/>
      <c r="LK277" s="23"/>
      <c r="LL277" s="23"/>
      <c r="LM277" s="23"/>
      <c r="LN277" s="23"/>
      <c r="LO277" s="23"/>
      <c r="LP277" s="23"/>
      <c r="LQ277" s="23"/>
      <c r="LR277" s="23"/>
      <c r="LS277" s="23"/>
      <c r="LT277" s="23"/>
      <c r="LU277" s="23"/>
      <c r="LV277" s="23"/>
      <c r="LW277" s="23"/>
      <c r="LX277" s="23"/>
      <c r="LY277" s="23"/>
      <c r="LZ277" s="23"/>
      <c r="MA277" s="23"/>
      <c r="MB277" s="23"/>
      <c r="MC277" s="23"/>
      <c r="MD277" s="23"/>
      <c r="ME277" s="23"/>
      <c r="MF277" s="23"/>
      <c r="MG277" s="23"/>
      <c r="MH277" s="23"/>
      <c r="MI277" s="23"/>
      <c r="MJ277" s="23"/>
      <c r="MK277" s="23"/>
      <c r="ML277" s="23"/>
      <c r="MM277" s="23"/>
      <c r="MN277" s="23"/>
      <c r="MO277" s="23"/>
      <c r="MP277" s="23"/>
      <c r="MQ277" s="23"/>
      <c r="MR277" s="23"/>
      <c r="MS277" s="23"/>
      <c r="MT277" s="23"/>
      <c r="MU277" s="23"/>
      <c r="MV277" s="23"/>
      <c r="MW277" s="23"/>
      <c r="MX277" s="23"/>
      <c r="MY277" s="23"/>
      <c r="MZ277" s="23"/>
      <c r="NA277" s="23"/>
      <c r="NB277" s="23"/>
      <c r="NC277" s="23"/>
      <c r="ND277" s="23"/>
      <c r="NE277" s="23"/>
      <c r="NF277" s="23"/>
      <c r="NG277" s="23"/>
      <c r="NH277" s="23"/>
      <c r="NI277" s="23"/>
      <c r="NJ277" s="23"/>
      <c r="NK277" s="23"/>
      <c r="NL277" s="23"/>
      <c r="NM277" s="23"/>
      <c r="NN277" s="23"/>
      <c r="NO277" s="23"/>
      <c r="NP277" s="23"/>
      <c r="NQ277" s="23"/>
      <c r="NR277" s="23"/>
      <c r="NS277" s="23"/>
      <c r="NT277" s="23"/>
      <c r="NU277" s="23"/>
      <c r="NV277" s="23"/>
      <c r="NW277" s="23"/>
      <c r="NX277" s="23"/>
      <c r="NY277" s="23"/>
      <c r="NZ277" s="23"/>
      <c r="OA277" s="23"/>
      <c r="OB277" s="23"/>
      <c r="OC277" s="23"/>
      <c r="OD277" s="23"/>
      <c r="OE277" s="23"/>
      <c r="OF277" s="23"/>
      <c r="OG277" s="23"/>
      <c r="OH277" s="23"/>
      <c r="OI277" s="23"/>
      <c r="OJ277" s="23"/>
      <c r="OK277" s="23"/>
      <c r="OL277" s="23"/>
      <c r="OM277" s="23"/>
      <c r="ON277" s="23"/>
      <c r="OO277" s="23"/>
      <c r="OP277" s="23"/>
      <c r="OQ277" s="23"/>
      <c r="OR277" s="23"/>
      <c r="OS277" s="23"/>
      <c r="OT277" s="23"/>
      <c r="OU277" s="23"/>
      <c r="OV277" s="23"/>
      <c r="OW277" s="23"/>
      <c r="OX277" s="23"/>
      <c r="OY277" s="23"/>
      <c r="OZ277" s="23"/>
      <c r="PA277" s="23"/>
      <c r="PB277" s="23"/>
      <c r="PC277" s="23"/>
      <c r="PD277" s="23"/>
      <c r="PE277" s="23"/>
      <c r="PF277" s="23"/>
      <c r="PG277" s="23"/>
      <c r="PH277" s="23"/>
      <c r="PI277" s="23"/>
      <c r="PJ277" s="23"/>
      <c r="PK277" s="23"/>
      <c r="PL277" s="23"/>
      <c r="PM277" s="23"/>
      <c r="PN277" s="23"/>
      <c r="PO277" s="23"/>
      <c r="PP277" s="23"/>
      <c r="PQ277" s="23"/>
      <c r="PR277" s="23"/>
      <c r="PS277" s="23"/>
      <c r="PT277" s="23"/>
      <c r="PU277" s="23"/>
      <c r="PV277" s="23"/>
      <c r="PW277" s="23"/>
      <c r="PX277" s="23"/>
      <c r="PY277" s="23"/>
      <c r="PZ277" s="23"/>
      <c r="QA277" s="23"/>
      <c r="QB277" s="23"/>
      <c r="QC277" s="23"/>
      <c r="QD277" s="23"/>
      <c r="QE277" s="23"/>
      <c r="QF277" s="23"/>
      <c r="QG277" s="23"/>
      <c r="QH277" s="23"/>
      <c r="QI277" s="23"/>
      <c r="QJ277" s="23"/>
      <c r="QK277" s="23"/>
      <c r="QL277" s="23"/>
      <c r="QM277" s="23"/>
      <c r="QN277" s="23"/>
      <c r="QO277" s="23"/>
      <c r="QP277" s="23"/>
      <c r="QQ277" s="23"/>
      <c r="QR277" s="23"/>
      <c r="QS277" s="23"/>
      <c r="QT277" s="23"/>
      <c r="QU277" s="23"/>
      <c r="QV277" s="23"/>
      <c r="QW277" s="23"/>
      <c r="QX277" s="23"/>
      <c r="QY277" s="23"/>
      <c r="QZ277" s="23"/>
      <c r="RA277" s="23"/>
      <c r="RB277" s="23"/>
      <c r="RC277" s="23"/>
      <c r="RD277" s="23"/>
      <c r="RE277" s="23"/>
      <c r="RF277" s="23"/>
      <c r="RG277" s="23"/>
      <c r="RH277" s="23"/>
      <c r="RI277" s="23"/>
      <c r="RJ277" s="23"/>
      <c r="RK277" s="23"/>
      <c r="RL277" s="23"/>
      <c r="RM277" s="23"/>
      <c r="RN277" s="23"/>
      <c r="RO277" s="23"/>
      <c r="RP277" s="23"/>
      <c r="RQ277" s="23"/>
      <c r="RR277" s="23"/>
      <c r="RS277" s="23"/>
      <c r="RT277" s="23"/>
      <c r="RU277" s="23"/>
      <c r="RV277" s="23"/>
      <c r="RW277" s="23"/>
      <c r="RX277" s="23"/>
      <c r="RY277" s="23"/>
      <c r="RZ277" s="23"/>
      <c r="SA277" s="23"/>
      <c r="SB277" s="23"/>
      <c r="SC277" s="23"/>
      <c r="SD277" s="23"/>
      <c r="SE277" s="23"/>
      <c r="SF277" s="23"/>
      <c r="SG277" s="23"/>
      <c r="SH277" s="23"/>
      <c r="SI277" s="23"/>
      <c r="SJ277" s="23"/>
      <c r="SK277" s="23"/>
      <c r="SL277" s="23"/>
      <c r="SM277" s="23"/>
      <c r="SN277" s="23"/>
      <c r="SO277" s="23"/>
      <c r="SP277" s="23"/>
      <c r="SQ277" s="23"/>
      <c r="SR277" s="23"/>
      <c r="SS277" s="23"/>
      <c r="ST277" s="23"/>
      <c r="SU277" s="23"/>
      <c r="SV277" s="23"/>
      <c r="SW277" s="23"/>
      <c r="SX277" s="23"/>
      <c r="SY277" s="23"/>
      <c r="SZ277" s="23"/>
      <c r="TA277" s="23"/>
      <c r="TB277" s="23"/>
      <c r="TC277" s="23"/>
      <c r="TD277" s="23"/>
      <c r="TE277" s="23"/>
      <c r="TF277" s="23"/>
      <c r="TG277" s="23"/>
    </row>
    <row r="278" spans="1:527" s="22" customFormat="1" ht="35.25" customHeight="1" x14ac:dyDescent="0.25">
      <c r="A278" s="110" t="s">
        <v>428</v>
      </c>
      <c r="B278" s="39"/>
      <c r="C278" s="39"/>
      <c r="D278" s="111" t="s">
        <v>429</v>
      </c>
      <c r="E278" s="99">
        <f>E279</f>
        <v>20000</v>
      </c>
      <c r="F278" s="99">
        <f t="shared" ref="F278:P278" si="156">F279</f>
        <v>20000</v>
      </c>
      <c r="G278" s="99">
        <f t="shared" si="156"/>
        <v>0</v>
      </c>
      <c r="H278" s="99">
        <f t="shared" si="156"/>
        <v>0</v>
      </c>
      <c r="I278" s="99">
        <f t="shared" si="156"/>
        <v>0</v>
      </c>
      <c r="J278" s="99">
        <f t="shared" si="156"/>
        <v>0</v>
      </c>
      <c r="K278" s="99">
        <f t="shared" si="156"/>
        <v>0</v>
      </c>
      <c r="L278" s="99">
        <f t="shared" si="156"/>
        <v>0</v>
      </c>
      <c r="M278" s="99">
        <f t="shared" si="156"/>
        <v>0</v>
      </c>
      <c r="N278" s="99">
        <f t="shared" si="156"/>
        <v>0</v>
      </c>
      <c r="O278" s="99">
        <f t="shared" si="156"/>
        <v>0</v>
      </c>
      <c r="P278" s="99">
        <f t="shared" si="156"/>
        <v>20000</v>
      </c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  <c r="TF278" s="23"/>
      <c r="TG278" s="23"/>
    </row>
    <row r="279" spans="1:527" s="34" customFormat="1" ht="34.5" customHeight="1" x14ac:dyDescent="0.25">
      <c r="A279" s="112" t="s">
        <v>427</v>
      </c>
      <c r="B279" s="78"/>
      <c r="C279" s="78"/>
      <c r="D279" s="81" t="s">
        <v>429</v>
      </c>
      <c r="E279" s="102">
        <f>E280</f>
        <v>20000</v>
      </c>
      <c r="F279" s="102">
        <f t="shared" ref="F279:P279" si="157">F280</f>
        <v>20000</v>
      </c>
      <c r="G279" s="102">
        <f t="shared" si="157"/>
        <v>0</v>
      </c>
      <c r="H279" s="102">
        <f t="shared" si="157"/>
        <v>0</v>
      </c>
      <c r="I279" s="102">
        <f t="shared" si="157"/>
        <v>0</v>
      </c>
      <c r="J279" s="102">
        <f t="shared" si="157"/>
        <v>0</v>
      </c>
      <c r="K279" s="102">
        <f t="shared" si="157"/>
        <v>0</v>
      </c>
      <c r="L279" s="102">
        <f t="shared" si="157"/>
        <v>0</v>
      </c>
      <c r="M279" s="102">
        <f t="shared" si="157"/>
        <v>0</v>
      </c>
      <c r="N279" s="102">
        <f t="shared" si="157"/>
        <v>0</v>
      </c>
      <c r="O279" s="102">
        <f t="shared" si="157"/>
        <v>0</v>
      </c>
      <c r="P279" s="102">
        <f t="shared" si="157"/>
        <v>20000</v>
      </c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  <c r="HP279" s="33"/>
      <c r="HQ279" s="33"/>
      <c r="HR279" s="33"/>
      <c r="HS279" s="33"/>
      <c r="HT279" s="33"/>
      <c r="HU279" s="33"/>
      <c r="HV279" s="33"/>
      <c r="HW279" s="33"/>
      <c r="HX279" s="33"/>
      <c r="HY279" s="33"/>
      <c r="HZ279" s="33"/>
      <c r="IA279" s="33"/>
      <c r="IB279" s="33"/>
      <c r="IC279" s="33"/>
      <c r="ID279" s="33"/>
      <c r="IE279" s="33"/>
      <c r="IF279" s="33"/>
      <c r="IG279" s="33"/>
      <c r="IH279" s="33"/>
      <c r="II279" s="33"/>
      <c r="IJ279" s="33"/>
      <c r="IK279" s="33"/>
      <c r="IL279" s="33"/>
      <c r="IM279" s="33"/>
      <c r="IN279" s="33"/>
      <c r="IO279" s="33"/>
      <c r="IP279" s="33"/>
      <c r="IQ279" s="33"/>
      <c r="IR279" s="33"/>
      <c r="IS279" s="33"/>
      <c r="IT279" s="33"/>
      <c r="IU279" s="33"/>
      <c r="IV279" s="33"/>
      <c r="IW279" s="33"/>
      <c r="IX279" s="33"/>
      <c r="IY279" s="33"/>
      <c r="IZ279" s="33"/>
      <c r="JA279" s="33"/>
      <c r="JB279" s="33"/>
      <c r="JC279" s="33"/>
      <c r="JD279" s="33"/>
      <c r="JE279" s="33"/>
      <c r="JF279" s="33"/>
      <c r="JG279" s="33"/>
      <c r="JH279" s="33"/>
      <c r="JI279" s="33"/>
      <c r="JJ279" s="33"/>
      <c r="JK279" s="33"/>
      <c r="JL279" s="33"/>
      <c r="JM279" s="33"/>
      <c r="JN279" s="33"/>
      <c r="JO279" s="33"/>
      <c r="JP279" s="33"/>
      <c r="JQ279" s="33"/>
      <c r="JR279" s="33"/>
      <c r="JS279" s="33"/>
      <c r="JT279" s="33"/>
      <c r="JU279" s="33"/>
      <c r="JV279" s="33"/>
      <c r="JW279" s="33"/>
      <c r="JX279" s="33"/>
      <c r="JY279" s="33"/>
      <c r="JZ279" s="33"/>
      <c r="KA279" s="33"/>
      <c r="KB279" s="33"/>
      <c r="KC279" s="33"/>
      <c r="KD279" s="33"/>
      <c r="KE279" s="33"/>
      <c r="KF279" s="33"/>
      <c r="KG279" s="33"/>
      <c r="KH279" s="33"/>
      <c r="KI279" s="33"/>
      <c r="KJ279" s="33"/>
      <c r="KK279" s="33"/>
      <c r="KL279" s="33"/>
      <c r="KM279" s="33"/>
      <c r="KN279" s="33"/>
      <c r="KO279" s="33"/>
      <c r="KP279" s="33"/>
      <c r="KQ279" s="33"/>
      <c r="KR279" s="33"/>
      <c r="KS279" s="33"/>
      <c r="KT279" s="33"/>
      <c r="KU279" s="33"/>
      <c r="KV279" s="33"/>
      <c r="KW279" s="33"/>
      <c r="KX279" s="33"/>
      <c r="KY279" s="33"/>
      <c r="KZ279" s="33"/>
      <c r="LA279" s="33"/>
      <c r="LB279" s="33"/>
      <c r="LC279" s="33"/>
      <c r="LD279" s="33"/>
      <c r="LE279" s="33"/>
      <c r="LF279" s="33"/>
      <c r="LG279" s="33"/>
      <c r="LH279" s="33"/>
      <c r="LI279" s="33"/>
      <c r="LJ279" s="33"/>
      <c r="LK279" s="33"/>
      <c r="LL279" s="33"/>
      <c r="LM279" s="33"/>
      <c r="LN279" s="33"/>
      <c r="LO279" s="33"/>
      <c r="LP279" s="33"/>
      <c r="LQ279" s="33"/>
      <c r="LR279" s="33"/>
      <c r="LS279" s="33"/>
      <c r="LT279" s="33"/>
      <c r="LU279" s="33"/>
      <c r="LV279" s="33"/>
      <c r="LW279" s="33"/>
      <c r="LX279" s="33"/>
      <c r="LY279" s="33"/>
      <c r="LZ279" s="33"/>
      <c r="MA279" s="33"/>
      <c r="MB279" s="33"/>
      <c r="MC279" s="33"/>
      <c r="MD279" s="33"/>
      <c r="ME279" s="33"/>
      <c r="MF279" s="33"/>
      <c r="MG279" s="33"/>
      <c r="MH279" s="33"/>
      <c r="MI279" s="33"/>
      <c r="MJ279" s="33"/>
      <c r="MK279" s="33"/>
      <c r="ML279" s="33"/>
      <c r="MM279" s="33"/>
      <c r="MN279" s="33"/>
      <c r="MO279" s="33"/>
      <c r="MP279" s="33"/>
      <c r="MQ279" s="33"/>
      <c r="MR279" s="33"/>
      <c r="MS279" s="33"/>
      <c r="MT279" s="33"/>
      <c r="MU279" s="33"/>
      <c r="MV279" s="33"/>
      <c r="MW279" s="33"/>
      <c r="MX279" s="33"/>
      <c r="MY279" s="33"/>
      <c r="MZ279" s="33"/>
      <c r="NA279" s="33"/>
      <c r="NB279" s="33"/>
      <c r="NC279" s="33"/>
      <c r="ND279" s="33"/>
      <c r="NE279" s="33"/>
      <c r="NF279" s="33"/>
      <c r="NG279" s="33"/>
      <c r="NH279" s="33"/>
      <c r="NI279" s="33"/>
      <c r="NJ279" s="33"/>
      <c r="NK279" s="33"/>
      <c r="NL279" s="33"/>
      <c r="NM279" s="33"/>
      <c r="NN279" s="33"/>
      <c r="NO279" s="33"/>
      <c r="NP279" s="33"/>
      <c r="NQ279" s="33"/>
      <c r="NR279" s="33"/>
      <c r="NS279" s="33"/>
      <c r="NT279" s="33"/>
      <c r="NU279" s="33"/>
      <c r="NV279" s="33"/>
      <c r="NW279" s="33"/>
      <c r="NX279" s="33"/>
      <c r="NY279" s="33"/>
      <c r="NZ279" s="33"/>
      <c r="OA279" s="33"/>
      <c r="OB279" s="33"/>
      <c r="OC279" s="33"/>
      <c r="OD279" s="33"/>
      <c r="OE279" s="33"/>
      <c r="OF279" s="33"/>
      <c r="OG279" s="33"/>
      <c r="OH279" s="33"/>
      <c r="OI279" s="33"/>
      <c r="OJ279" s="33"/>
      <c r="OK279" s="33"/>
      <c r="OL279" s="33"/>
      <c r="OM279" s="33"/>
      <c r="ON279" s="33"/>
      <c r="OO279" s="33"/>
      <c r="OP279" s="33"/>
      <c r="OQ279" s="33"/>
      <c r="OR279" s="33"/>
      <c r="OS279" s="33"/>
      <c r="OT279" s="33"/>
      <c r="OU279" s="33"/>
      <c r="OV279" s="33"/>
      <c r="OW279" s="33"/>
      <c r="OX279" s="33"/>
      <c r="OY279" s="33"/>
      <c r="OZ279" s="33"/>
      <c r="PA279" s="33"/>
      <c r="PB279" s="33"/>
      <c r="PC279" s="33"/>
      <c r="PD279" s="33"/>
      <c r="PE279" s="33"/>
      <c r="PF279" s="33"/>
      <c r="PG279" s="33"/>
      <c r="PH279" s="33"/>
      <c r="PI279" s="33"/>
      <c r="PJ279" s="33"/>
      <c r="PK279" s="33"/>
      <c r="PL279" s="33"/>
      <c r="PM279" s="33"/>
      <c r="PN279" s="33"/>
      <c r="PO279" s="33"/>
      <c r="PP279" s="33"/>
      <c r="PQ279" s="33"/>
      <c r="PR279" s="33"/>
      <c r="PS279" s="33"/>
      <c r="PT279" s="33"/>
      <c r="PU279" s="33"/>
      <c r="PV279" s="33"/>
      <c r="PW279" s="33"/>
      <c r="PX279" s="33"/>
      <c r="PY279" s="33"/>
      <c r="PZ279" s="33"/>
      <c r="QA279" s="33"/>
      <c r="QB279" s="33"/>
      <c r="QC279" s="33"/>
      <c r="QD279" s="33"/>
      <c r="QE279" s="33"/>
      <c r="QF279" s="33"/>
      <c r="QG279" s="33"/>
      <c r="QH279" s="33"/>
      <c r="QI279" s="33"/>
      <c r="QJ279" s="33"/>
      <c r="QK279" s="33"/>
      <c r="QL279" s="33"/>
      <c r="QM279" s="33"/>
      <c r="QN279" s="33"/>
      <c r="QO279" s="33"/>
      <c r="QP279" s="33"/>
      <c r="QQ279" s="33"/>
      <c r="QR279" s="33"/>
      <c r="QS279" s="33"/>
      <c r="QT279" s="33"/>
      <c r="QU279" s="33"/>
      <c r="QV279" s="33"/>
      <c r="QW279" s="33"/>
      <c r="QX279" s="33"/>
      <c r="QY279" s="33"/>
      <c r="QZ279" s="33"/>
      <c r="RA279" s="33"/>
      <c r="RB279" s="33"/>
      <c r="RC279" s="33"/>
      <c r="RD279" s="33"/>
      <c r="RE279" s="33"/>
      <c r="RF279" s="33"/>
      <c r="RG279" s="33"/>
      <c r="RH279" s="33"/>
      <c r="RI279" s="33"/>
      <c r="RJ279" s="33"/>
      <c r="RK279" s="33"/>
      <c r="RL279" s="33"/>
      <c r="RM279" s="33"/>
      <c r="RN279" s="33"/>
      <c r="RO279" s="33"/>
      <c r="RP279" s="33"/>
      <c r="RQ279" s="33"/>
      <c r="RR279" s="33"/>
      <c r="RS279" s="33"/>
      <c r="RT279" s="33"/>
      <c r="RU279" s="33"/>
      <c r="RV279" s="33"/>
      <c r="RW279" s="33"/>
      <c r="RX279" s="33"/>
      <c r="RY279" s="33"/>
      <c r="RZ279" s="33"/>
      <c r="SA279" s="33"/>
      <c r="SB279" s="33"/>
      <c r="SC279" s="33"/>
      <c r="SD279" s="33"/>
      <c r="SE279" s="33"/>
      <c r="SF279" s="33"/>
      <c r="SG279" s="33"/>
      <c r="SH279" s="33"/>
      <c r="SI279" s="33"/>
      <c r="SJ279" s="33"/>
      <c r="SK279" s="33"/>
      <c r="SL279" s="33"/>
      <c r="SM279" s="33"/>
      <c r="SN279" s="33"/>
      <c r="SO279" s="33"/>
      <c r="SP279" s="33"/>
      <c r="SQ279" s="33"/>
      <c r="SR279" s="33"/>
      <c r="SS279" s="33"/>
      <c r="ST279" s="33"/>
      <c r="SU279" s="33"/>
      <c r="SV279" s="33"/>
      <c r="SW279" s="33"/>
      <c r="SX279" s="33"/>
      <c r="SY279" s="33"/>
      <c r="SZ279" s="33"/>
      <c r="TA279" s="33"/>
      <c r="TB279" s="33"/>
      <c r="TC279" s="33"/>
      <c r="TD279" s="33"/>
      <c r="TE279" s="33"/>
      <c r="TF279" s="33"/>
      <c r="TG279" s="33"/>
    </row>
    <row r="280" spans="1:527" s="22" customFormat="1" ht="42.75" customHeight="1" x14ac:dyDescent="0.25">
      <c r="A280" s="107" t="s">
        <v>426</v>
      </c>
      <c r="B280" s="107" t="s">
        <v>121</v>
      </c>
      <c r="C280" s="107" t="s">
        <v>47</v>
      </c>
      <c r="D280" s="36" t="s">
        <v>504</v>
      </c>
      <c r="E280" s="103">
        <f t="shared" ref="E280" si="158">F280+I280</f>
        <v>20000</v>
      </c>
      <c r="F280" s="103">
        <v>20000</v>
      </c>
      <c r="G280" s="103"/>
      <c r="H280" s="103"/>
      <c r="I280" s="103"/>
      <c r="J280" s="103">
        <f>L280+O280</f>
        <v>0</v>
      </c>
      <c r="K280" s="103"/>
      <c r="L280" s="103"/>
      <c r="M280" s="103"/>
      <c r="N280" s="103"/>
      <c r="O280" s="103"/>
      <c r="P280" s="103">
        <f t="shared" ref="P280" si="159">E280+J280</f>
        <v>20000</v>
      </c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  <c r="TF280" s="23"/>
      <c r="TG280" s="23"/>
    </row>
    <row r="281" spans="1:527" s="27" customFormat="1" ht="38.25" customHeight="1" x14ac:dyDescent="0.25">
      <c r="A281" s="114" t="s">
        <v>220</v>
      </c>
      <c r="B281" s="116"/>
      <c r="C281" s="116"/>
      <c r="D281" s="111" t="s">
        <v>42</v>
      </c>
      <c r="E281" s="99">
        <f>E282</f>
        <v>124782512.44</v>
      </c>
      <c r="F281" s="99">
        <f t="shared" ref="F281:J281" si="160">F282</f>
        <v>123811039</v>
      </c>
      <c r="G281" s="99">
        <f t="shared" si="160"/>
        <v>15760200</v>
      </c>
      <c r="H281" s="99">
        <f t="shared" si="160"/>
        <v>257700</v>
      </c>
      <c r="I281" s="99">
        <f t="shared" si="160"/>
        <v>0</v>
      </c>
      <c r="J281" s="99">
        <f t="shared" si="160"/>
        <v>502000</v>
      </c>
      <c r="K281" s="99">
        <f t="shared" ref="K281" si="161">K282</f>
        <v>0</v>
      </c>
      <c r="L281" s="99">
        <f t="shared" ref="L281" si="162">L282</f>
        <v>502000</v>
      </c>
      <c r="M281" s="99">
        <f t="shared" ref="M281" si="163">M282</f>
        <v>0</v>
      </c>
      <c r="N281" s="99">
        <f t="shared" ref="N281" si="164">N282</f>
        <v>0</v>
      </c>
      <c r="O281" s="99">
        <f t="shared" ref="O281:P281" si="165">O282</f>
        <v>0</v>
      </c>
      <c r="P281" s="99">
        <f t="shared" si="165"/>
        <v>125284512.44</v>
      </c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  <c r="EH281" s="32"/>
      <c r="EI281" s="32"/>
      <c r="EJ281" s="32"/>
      <c r="EK281" s="32"/>
      <c r="EL281" s="32"/>
      <c r="EM281" s="32"/>
      <c r="EN281" s="32"/>
      <c r="EO281" s="32"/>
      <c r="EP281" s="32"/>
      <c r="EQ281" s="32"/>
      <c r="ER281" s="32"/>
      <c r="ES281" s="32"/>
      <c r="ET281" s="32"/>
      <c r="EU281" s="32"/>
      <c r="EV281" s="32"/>
      <c r="EW281" s="32"/>
      <c r="EX281" s="32"/>
      <c r="EY281" s="32"/>
      <c r="EZ281" s="32"/>
      <c r="FA281" s="32"/>
      <c r="FB281" s="32"/>
      <c r="FC281" s="32"/>
      <c r="FD281" s="32"/>
      <c r="FE281" s="32"/>
      <c r="FF281" s="32"/>
      <c r="FG281" s="32"/>
      <c r="FH281" s="32"/>
      <c r="FI281" s="32"/>
      <c r="FJ281" s="32"/>
      <c r="FK281" s="32"/>
      <c r="FL281" s="32"/>
      <c r="FM281" s="32"/>
      <c r="FN281" s="32"/>
      <c r="FO281" s="32"/>
      <c r="FP281" s="32"/>
      <c r="FQ281" s="32"/>
      <c r="FR281" s="32"/>
      <c r="FS281" s="32"/>
      <c r="FT281" s="32"/>
      <c r="FU281" s="32"/>
      <c r="FV281" s="32"/>
      <c r="FW281" s="32"/>
      <c r="FX281" s="32"/>
      <c r="FY281" s="32"/>
      <c r="FZ281" s="32"/>
      <c r="GA281" s="32"/>
      <c r="GB281" s="32"/>
      <c r="GC281" s="32"/>
      <c r="GD281" s="32"/>
      <c r="GE281" s="32"/>
      <c r="GF281" s="32"/>
      <c r="GG281" s="32"/>
      <c r="GH281" s="32"/>
      <c r="GI281" s="32"/>
      <c r="GJ281" s="32"/>
      <c r="GK281" s="32"/>
      <c r="GL281" s="32"/>
      <c r="GM281" s="32"/>
      <c r="GN281" s="32"/>
      <c r="GO281" s="32"/>
      <c r="GP281" s="32"/>
      <c r="GQ281" s="32"/>
      <c r="GR281" s="32"/>
      <c r="GS281" s="32"/>
      <c r="GT281" s="32"/>
      <c r="GU281" s="32"/>
      <c r="GV281" s="32"/>
      <c r="GW281" s="32"/>
      <c r="GX281" s="32"/>
      <c r="GY281" s="32"/>
      <c r="GZ281" s="32"/>
      <c r="HA281" s="32"/>
      <c r="HB281" s="32"/>
      <c r="HC281" s="32"/>
      <c r="HD281" s="32"/>
      <c r="HE281" s="32"/>
      <c r="HF281" s="32"/>
      <c r="HG281" s="32"/>
      <c r="HH281" s="32"/>
      <c r="HI281" s="32"/>
      <c r="HJ281" s="32"/>
      <c r="HK281" s="32"/>
      <c r="HL281" s="32"/>
      <c r="HM281" s="32"/>
      <c r="HN281" s="32"/>
      <c r="HO281" s="32"/>
      <c r="HP281" s="32"/>
      <c r="HQ281" s="32"/>
      <c r="HR281" s="32"/>
      <c r="HS281" s="32"/>
      <c r="HT281" s="32"/>
      <c r="HU281" s="32"/>
      <c r="HV281" s="32"/>
      <c r="HW281" s="32"/>
      <c r="HX281" s="32"/>
      <c r="HY281" s="32"/>
      <c r="HZ281" s="32"/>
      <c r="IA281" s="32"/>
      <c r="IB281" s="32"/>
      <c r="IC281" s="32"/>
      <c r="ID281" s="32"/>
      <c r="IE281" s="32"/>
      <c r="IF281" s="32"/>
      <c r="IG281" s="32"/>
      <c r="IH281" s="32"/>
      <c r="II281" s="32"/>
      <c r="IJ281" s="32"/>
      <c r="IK281" s="32"/>
      <c r="IL281" s="32"/>
      <c r="IM281" s="32"/>
      <c r="IN281" s="32"/>
      <c r="IO281" s="32"/>
      <c r="IP281" s="32"/>
      <c r="IQ281" s="32"/>
      <c r="IR281" s="32"/>
      <c r="IS281" s="32"/>
      <c r="IT281" s="32"/>
      <c r="IU281" s="32"/>
      <c r="IV281" s="32"/>
      <c r="IW281" s="32"/>
      <c r="IX281" s="32"/>
      <c r="IY281" s="32"/>
      <c r="IZ281" s="32"/>
      <c r="JA281" s="32"/>
      <c r="JB281" s="32"/>
      <c r="JC281" s="32"/>
      <c r="JD281" s="32"/>
      <c r="JE281" s="32"/>
      <c r="JF281" s="32"/>
      <c r="JG281" s="32"/>
      <c r="JH281" s="32"/>
      <c r="JI281" s="32"/>
      <c r="JJ281" s="32"/>
      <c r="JK281" s="32"/>
      <c r="JL281" s="32"/>
      <c r="JM281" s="32"/>
      <c r="JN281" s="32"/>
      <c r="JO281" s="32"/>
      <c r="JP281" s="32"/>
      <c r="JQ281" s="32"/>
      <c r="JR281" s="32"/>
      <c r="JS281" s="32"/>
      <c r="JT281" s="32"/>
      <c r="JU281" s="32"/>
      <c r="JV281" s="32"/>
      <c r="JW281" s="32"/>
      <c r="JX281" s="32"/>
      <c r="JY281" s="32"/>
      <c r="JZ281" s="32"/>
      <c r="KA281" s="32"/>
      <c r="KB281" s="32"/>
      <c r="KC281" s="32"/>
      <c r="KD281" s="32"/>
      <c r="KE281" s="32"/>
      <c r="KF281" s="32"/>
      <c r="KG281" s="32"/>
      <c r="KH281" s="32"/>
      <c r="KI281" s="32"/>
      <c r="KJ281" s="32"/>
      <c r="KK281" s="32"/>
      <c r="KL281" s="32"/>
      <c r="KM281" s="32"/>
      <c r="KN281" s="32"/>
      <c r="KO281" s="32"/>
      <c r="KP281" s="32"/>
      <c r="KQ281" s="32"/>
      <c r="KR281" s="32"/>
      <c r="KS281" s="32"/>
      <c r="KT281" s="32"/>
      <c r="KU281" s="32"/>
      <c r="KV281" s="32"/>
      <c r="KW281" s="32"/>
      <c r="KX281" s="32"/>
      <c r="KY281" s="32"/>
      <c r="KZ281" s="32"/>
      <c r="LA281" s="32"/>
      <c r="LB281" s="32"/>
      <c r="LC281" s="32"/>
      <c r="LD281" s="32"/>
      <c r="LE281" s="32"/>
      <c r="LF281" s="32"/>
      <c r="LG281" s="32"/>
      <c r="LH281" s="32"/>
      <c r="LI281" s="32"/>
      <c r="LJ281" s="32"/>
      <c r="LK281" s="32"/>
      <c r="LL281" s="32"/>
      <c r="LM281" s="32"/>
      <c r="LN281" s="32"/>
      <c r="LO281" s="32"/>
      <c r="LP281" s="32"/>
      <c r="LQ281" s="32"/>
      <c r="LR281" s="32"/>
      <c r="LS281" s="32"/>
      <c r="LT281" s="32"/>
      <c r="LU281" s="32"/>
      <c r="LV281" s="32"/>
      <c r="LW281" s="32"/>
      <c r="LX281" s="32"/>
      <c r="LY281" s="32"/>
      <c r="LZ281" s="32"/>
      <c r="MA281" s="32"/>
      <c r="MB281" s="32"/>
      <c r="MC281" s="32"/>
      <c r="MD281" s="32"/>
      <c r="ME281" s="32"/>
      <c r="MF281" s="32"/>
      <c r="MG281" s="32"/>
      <c r="MH281" s="32"/>
      <c r="MI281" s="32"/>
      <c r="MJ281" s="32"/>
      <c r="MK281" s="32"/>
      <c r="ML281" s="32"/>
      <c r="MM281" s="32"/>
      <c r="MN281" s="32"/>
      <c r="MO281" s="32"/>
      <c r="MP281" s="32"/>
      <c r="MQ281" s="32"/>
      <c r="MR281" s="32"/>
      <c r="MS281" s="32"/>
      <c r="MT281" s="32"/>
      <c r="MU281" s="32"/>
      <c r="MV281" s="32"/>
      <c r="MW281" s="32"/>
      <c r="MX281" s="32"/>
      <c r="MY281" s="32"/>
      <c r="MZ281" s="32"/>
      <c r="NA281" s="32"/>
      <c r="NB281" s="32"/>
      <c r="NC281" s="32"/>
      <c r="ND281" s="32"/>
      <c r="NE281" s="32"/>
      <c r="NF281" s="32"/>
      <c r="NG281" s="32"/>
      <c r="NH281" s="32"/>
      <c r="NI281" s="32"/>
      <c r="NJ281" s="32"/>
      <c r="NK281" s="32"/>
      <c r="NL281" s="32"/>
      <c r="NM281" s="32"/>
      <c r="NN281" s="32"/>
      <c r="NO281" s="32"/>
      <c r="NP281" s="32"/>
      <c r="NQ281" s="32"/>
      <c r="NR281" s="32"/>
      <c r="NS281" s="32"/>
      <c r="NT281" s="32"/>
      <c r="NU281" s="32"/>
      <c r="NV281" s="32"/>
      <c r="NW281" s="32"/>
      <c r="NX281" s="32"/>
      <c r="NY281" s="32"/>
      <c r="NZ281" s="32"/>
      <c r="OA281" s="32"/>
      <c r="OB281" s="32"/>
      <c r="OC281" s="32"/>
      <c r="OD281" s="32"/>
      <c r="OE281" s="32"/>
      <c r="OF281" s="32"/>
      <c r="OG281" s="32"/>
      <c r="OH281" s="32"/>
      <c r="OI281" s="32"/>
      <c r="OJ281" s="32"/>
      <c r="OK281" s="32"/>
      <c r="OL281" s="32"/>
      <c r="OM281" s="32"/>
      <c r="ON281" s="32"/>
      <c r="OO281" s="32"/>
      <c r="OP281" s="32"/>
      <c r="OQ281" s="32"/>
      <c r="OR281" s="32"/>
      <c r="OS281" s="32"/>
      <c r="OT281" s="32"/>
      <c r="OU281" s="32"/>
      <c r="OV281" s="32"/>
      <c r="OW281" s="32"/>
      <c r="OX281" s="32"/>
      <c r="OY281" s="32"/>
      <c r="OZ281" s="32"/>
      <c r="PA281" s="32"/>
      <c r="PB281" s="32"/>
      <c r="PC281" s="32"/>
      <c r="PD281" s="32"/>
      <c r="PE281" s="32"/>
      <c r="PF281" s="32"/>
      <c r="PG281" s="32"/>
      <c r="PH281" s="32"/>
      <c r="PI281" s="32"/>
      <c r="PJ281" s="32"/>
      <c r="PK281" s="32"/>
      <c r="PL281" s="32"/>
      <c r="PM281" s="32"/>
      <c r="PN281" s="32"/>
      <c r="PO281" s="32"/>
      <c r="PP281" s="32"/>
      <c r="PQ281" s="32"/>
      <c r="PR281" s="32"/>
      <c r="PS281" s="32"/>
      <c r="PT281" s="32"/>
      <c r="PU281" s="32"/>
      <c r="PV281" s="32"/>
      <c r="PW281" s="32"/>
      <c r="PX281" s="32"/>
      <c r="PY281" s="32"/>
      <c r="PZ281" s="32"/>
      <c r="QA281" s="32"/>
      <c r="QB281" s="32"/>
      <c r="QC281" s="32"/>
      <c r="QD281" s="32"/>
      <c r="QE281" s="32"/>
      <c r="QF281" s="32"/>
      <c r="QG281" s="32"/>
      <c r="QH281" s="32"/>
      <c r="QI281" s="32"/>
      <c r="QJ281" s="32"/>
      <c r="QK281" s="32"/>
      <c r="QL281" s="32"/>
      <c r="QM281" s="32"/>
      <c r="QN281" s="32"/>
      <c r="QO281" s="32"/>
      <c r="QP281" s="32"/>
      <c r="QQ281" s="32"/>
      <c r="QR281" s="32"/>
      <c r="QS281" s="32"/>
      <c r="QT281" s="32"/>
      <c r="QU281" s="32"/>
      <c r="QV281" s="32"/>
      <c r="QW281" s="32"/>
      <c r="QX281" s="32"/>
      <c r="QY281" s="32"/>
      <c r="QZ281" s="32"/>
      <c r="RA281" s="32"/>
      <c r="RB281" s="32"/>
      <c r="RC281" s="32"/>
      <c r="RD281" s="32"/>
      <c r="RE281" s="32"/>
      <c r="RF281" s="32"/>
      <c r="RG281" s="32"/>
      <c r="RH281" s="32"/>
      <c r="RI281" s="32"/>
      <c r="RJ281" s="32"/>
      <c r="RK281" s="32"/>
      <c r="RL281" s="32"/>
      <c r="RM281" s="32"/>
      <c r="RN281" s="32"/>
      <c r="RO281" s="32"/>
      <c r="RP281" s="32"/>
      <c r="RQ281" s="32"/>
      <c r="RR281" s="32"/>
      <c r="RS281" s="32"/>
      <c r="RT281" s="32"/>
      <c r="RU281" s="32"/>
      <c r="RV281" s="32"/>
      <c r="RW281" s="32"/>
      <c r="RX281" s="32"/>
      <c r="RY281" s="32"/>
      <c r="RZ281" s="32"/>
      <c r="SA281" s="32"/>
      <c r="SB281" s="32"/>
      <c r="SC281" s="32"/>
      <c r="SD281" s="32"/>
      <c r="SE281" s="32"/>
      <c r="SF281" s="32"/>
      <c r="SG281" s="32"/>
      <c r="SH281" s="32"/>
      <c r="SI281" s="32"/>
      <c r="SJ281" s="32"/>
      <c r="SK281" s="32"/>
      <c r="SL281" s="32"/>
      <c r="SM281" s="32"/>
      <c r="SN281" s="32"/>
      <c r="SO281" s="32"/>
      <c r="SP281" s="32"/>
      <c r="SQ281" s="32"/>
      <c r="SR281" s="32"/>
      <c r="SS281" s="32"/>
      <c r="ST281" s="32"/>
      <c r="SU281" s="32"/>
      <c r="SV281" s="32"/>
      <c r="SW281" s="32"/>
      <c r="SX281" s="32"/>
      <c r="SY281" s="32"/>
      <c r="SZ281" s="32"/>
      <c r="TA281" s="32"/>
      <c r="TB281" s="32"/>
      <c r="TC281" s="32"/>
      <c r="TD281" s="32"/>
      <c r="TE281" s="32"/>
      <c r="TF281" s="32"/>
      <c r="TG281" s="32"/>
    </row>
    <row r="282" spans="1:527" s="34" customFormat="1" ht="34.5" customHeight="1" x14ac:dyDescent="0.25">
      <c r="A282" s="100" t="s">
        <v>221</v>
      </c>
      <c r="B282" s="113"/>
      <c r="C282" s="113"/>
      <c r="D282" s="81" t="s">
        <v>42</v>
      </c>
      <c r="E282" s="102">
        <f>SUM(E283+E284+E285+E287+E288+E289+E290+E286)</f>
        <v>124782512.44</v>
      </c>
      <c r="F282" s="102">
        <f t="shared" ref="F282:P282" si="166">SUM(F283+F284+F285+F287+F288+F289+F290+F286)</f>
        <v>123811039</v>
      </c>
      <c r="G282" s="102">
        <f t="shared" si="166"/>
        <v>15760200</v>
      </c>
      <c r="H282" s="102">
        <f t="shared" si="166"/>
        <v>257700</v>
      </c>
      <c r="I282" s="102">
        <f t="shared" si="166"/>
        <v>0</v>
      </c>
      <c r="J282" s="102">
        <f t="shared" si="166"/>
        <v>502000</v>
      </c>
      <c r="K282" s="102">
        <f t="shared" si="166"/>
        <v>0</v>
      </c>
      <c r="L282" s="102">
        <f t="shared" si="166"/>
        <v>502000</v>
      </c>
      <c r="M282" s="102">
        <f t="shared" si="166"/>
        <v>0</v>
      </c>
      <c r="N282" s="102">
        <f t="shared" si="166"/>
        <v>0</v>
      </c>
      <c r="O282" s="102">
        <f t="shared" si="166"/>
        <v>0</v>
      </c>
      <c r="P282" s="102">
        <f t="shared" si="166"/>
        <v>125284512.44</v>
      </c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  <c r="HP282" s="33"/>
      <c r="HQ282" s="33"/>
      <c r="HR282" s="33"/>
      <c r="HS282" s="33"/>
      <c r="HT282" s="33"/>
      <c r="HU282" s="33"/>
      <c r="HV282" s="33"/>
      <c r="HW282" s="33"/>
      <c r="HX282" s="33"/>
      <c r="HY282" s="33"/>
      <c r="HZ282" s="33"/>
      <c r="IA282" s="33"/>
      <c r="IB282" s="33"/>
      <c r="IC282" s="33"/>
      <c r="ID282" s="33"/>
      <c r="IE282" s="33"/>
      <c r="IF282" s="33"/>
      <c r="IG282" s="33"/>
      <c r="IH282" s="33"/>
      <c r="II282" s="33"/>
      <c r="IJ282" s="33"/>
      <c r="IK282" s="33"/>
      <c r="IL282" s="33"/>
      <c r="IM282" s="33"/>
      <c r="IN282" s="33"/>
      <c r="IO282" s="33"/>
      <c r="IP282" s="33"/>
      <c r="IQ282" s="33"/>
      <c r="IR282" s="33"/>
      <c r="IS282" s="33"/>
      <c r="IT282" s="33"/>
      <c r="IU282" s="33"/>
      <c r="IV282" s="33"/>
      <c r="IW282" s="33"/>
      <c r="IX282" s="33"/>
      <c r="IY282" s="33"/>
      <c r="IZ282" s="33"/>
      <c r="JA282" s="33"/>
      <c r="JB282" s="33"/>
      <c r="JC282" s="33"/>
      <c r="JD282" s="33"/>
      <c r="JE282" s="33"/>
      <c r="JF282" s="33"/>
      <c r="JG282" s="33"/>
      <c r="JH282" s="33"/>
      <c r="JI282" s="33"/>
      <c r="JJ282" s="33"/>
      <c r="JK282" s="33"/>
      <c r="JL282" s="33"/>
      <c r="JM282" s="33"/>
      <c r="JN282" s="33"/>
      <c r="JO282" s="33"/>
      <c r="JP282" s="33"/>
      <c r="JQ282" s="33"/>
      <c r="JR282" s="33"/>
      <c r="JS282" s="33"/>
      <c r="JT282" s="33"/>
      <c r="JU282" s="33"/>
      <c r="JV282" s="33"/>
      <c r="JW282" s="33"/>
      <c r="JX282" s="33"/>
      <c r="JY282" s="33"/>
      <c r="JZ282" s="33"/>
      <c r="KA282" s="33"/>
      <c r="KB282" s="33"/>
      <c r="KC282" s="33"/>
      <c r="KD282" s="33"/>
      <c r="KE282" s="33"/>
      <c r="KF282" s="33"/>
      <c r="KG282" s="33"/>
      <c r="KH282" s="33"/>
      <c r="KI282" s="33"/>
      <c r="KJ282" s="33"/>
      <c r="KK282" s="33"/>
      <c r="KL282" s="33"/>
      <c r="KM282" s="33"/>
      <c r="KN282" s="33"/>
      <c r="KO282" s="33"/>
      <c r="KP282" s="33"/>
      <c r="KQ282" s="33"/>
      <c r="KR282" s="33"/>
      <c r="KS282" s="33"/>
      <c r="KT282" s="33"/>
      <c r="KU282" s="33"/>
      <c r="KV282" s="33"/>
      <c r="KW282" s="33"/>
      <c r="KX282" s="33"/>
      <c r="KY282" s="33"/>
      <c r="KZ282" s="33"/>
      <c r="LA282" s="33"/>
      <c r="LB282" s="33"/>
      <c r="LC282" s="33"/>
      <c r="LD282" s="33"/>
      <c r="LE282" s="33"/>
      <c r="LF282" s="33"/>
      <c r="LG282" s="33"/>
      <c r="LH282" s="33"/>
      <c r="LI282" s="33"/>
      <c r="LJ282" s="33"/>
      <c r="LK282" s="33"/>
      <c r="LL282" s="33"/>
      <c r="LM282" s="33"/>
      <c r="LN282" s="33"/>
      <c r="LO282" s="33"/>
      <c r="LP282" s="33"/>
      <c r="LQ282" s="33"/>
      <c r="LR282" s="33"/>
      <c r="LS282" s="33"/>
      <c r="LT282" s="33"/>
      <c r="LU282" s="33"/>
      <c r="LV282" s="33"/>
      <c r="LW282" s="33"/>
      <c r="LX282" s="33"/>
      <c r="LY282" s="33"/>
      <c r="LZ282" s="33"/>
      <c r="MA282" s="33"/>
      <c r="MB282" s="33"/>
      <c r="MC282" s="33"/>
      <c r="MD282" s="33"/>
      <c r="ME282" s="33"/>
      <c r="MF282" s="33"/>
      <c r="MG282" s="33"/>
      <c r="MH282" s="33"/>
      <c r="MI282" s="33"/>
      <c r="MJ282" s="33"/>
      <c r="MK282" s="33"/>
      <c r="ML282" s="33"/>
      <c r="MM282" s="33"/>
      <c r="MN282" s="33"/>
      <c r="MO282" s="33"/>
      <c r="MP282" s="33"/>
      <c r="MQ282" s="33"/>
      <c r="MR282" s="33"/>
      <c r="MS282" s="33"/>
      <c r="MT282" s="33"/>
      <c r="MU282" s="33"/>
      <c r="MV282" s="33"/>
      <c r="MW282" s="33"/>
      <c r="MX282" s="33"/>
      <c r="MY282" s="33"/>
      <c r="MZ282" s="33"/>
      <c r="NA282" s="33"/>
      <c r="NB282" s="33"/>
      <c r="NC282" s="33"/>
      <c r="ND282" s="33"/>
      <c r="NE282" s="33"/>
      <c r="NF282" s="33"/>
      <c r="NG282" s="33"/>
      <c r="NH282" s="33"/>
      <c r="NI282" s="33"/>
      <c r="NJ282" s="33"/>
      <c r="NK282" s="33"/>
      <c r="NL282" s="33"/>
      <c r="NM282" s="33"/>
      <c r="NN282" s="33"/>
      <c r="NO282" s="33"/>
      <c r="NP282" s="33"/>
      <c r="NQ282" s="33"/>
      <c r="NR282" s="33"/>
      <c r="NS282" s="33"/>
      <c r="NT282" s="33"/>
      <c r="NU282" s="33"/>
      <c r="NV282" s="33"/>
      <c r="NW282" s="33"/>
      <c r="NX282" s="33"/>
      <c r="NY282" s="33"/>
      <c r="NZ282" s="33"/>
      <c r="OA282" s="33"/>
      <c r="OB282" s="33"/>
      <c r="OC282" s="33"/>
      <c r="OD282" s="33"/>
      <c r="OE282" s="33"/>
      <c r="OF282" s="33"/>
      <c r="OG282" s="33"/>
      <c r="OH282" s="33"/>
      <c r="OI282" s="33"/>
      <c r="OJ282" s="33"/>
      <c r="OK282" s="33"/>
      <c r="OL282" s="33"/>
      <c r="OM282" s="33"/>
      <c r="ON282" s="33"/>
      <c r="OO282" s="33"/>
      <c r="OP282" s="33"/>
      <c r="OQ282" s="33"/>
      <c r="OR282" s="33"/>
      <c r="OS282" s="33"/>
      <c r="OT282" s="33"/>
      <c r="OU282" s="33"/>
      <c r="OV282" s="33"/>
      <c r="OW282" s="33"/>
      <c r="OX282" s="33"/>
      <c r="OY282" s="33"/>
      <c r="OZ282" s="33"/>
      <c r="PA282" s="33"/>
      <c r="PB282" s="33"/>
      <c r="PC282" s="33"/>
      <c r="PD282" s="33"/>
      <c r="PE282" s="33"/>
      <c r="PF282" s="33"/>
      <c r="PG282" s="33"/>
      <c r="PH282" s="33"/>
      <c r="PI282" s="33"/>
      <c r="PJ282" s="33"/>
      <c r="PK282" s="33"/>
      <c r="PL282" s="33"/>
      <c r="PM282" s="33"/>
      <c r="PN282" s="33"/>
      <c r="PO282" s="33"/>
      <c r="PP282" s="33"/>
      <c r="PQ282" s="33"/>
      <c r="PR282" s="33"/>
      <c r="PS282" s="33"/>
      <c r="PT282" s="33"/>
      <c r="PU282" s="33"/>
      <c r="PV282" s="33"/>
      <c r="PW282" s="33"/>
      <c r="PX282" s="33"/>
      <c r="PY282" s="33"/>
      <c r="PZ282" s="33"/>
      <c r="QA282" s="33"/>
      <c r="QB282" s="33"/>
      <c r="QC282" s="33"/>
      <c r="QD282" s="33"/>
      <c r="QE282" s="33"/>
      <c r="QF282" s="33"/>
      <c r="QG282" s="33"/>
      <c r="QH282" s="33"/>
      <c r="QI282" s="33"/>
      <c r="QJ282" s="33"/>
      <c r="QK282" s="33"/>
      <c r="QL282" s="33"/>
      <c r="QM282" s="33"/>
      <c r="QN282" s="33"/>
      <c r="QO282" s="33"/>
      <c r="QP282" s="33"/>
      <c r="QQ282" s="33"/>
      <c r="QR282" s="33"/>
      <c r="QS282" s="33"/>
      <c r="QT282" s="33"/>
      <c r="QU282" s="33"/>
      <c r="QV282" s="33"/>
      <c r="QW282" s="33"/>
      <c r="QX282" s="33"/>
      <c r="QY282" s="33"/>
      <c r="QZ282" s="33"/>
      <c r="RA282" s="33"/>
      <c r="RB282" s="33"/>
      <c r="RC282" s="33"/>
      <c r="RD282" s="33"/>
      <c r="RE282" s="33"/>
      <c r="RF282" s="33"/>
      <c r="RG282" s="33"/>
      <c r="RH282" s="33"/>
      <c r="RI282" s="33"/>
      <c r="RJ282" s="33"/>
      <c r="RK282" s="33"/>
      <c r="RL282" s="33"/>
      <c r="RM282" s="33"/>
      <c r="RN282" s="33"/>
      <c r="RO282" s="33"/>
      <c r="RP282" s="33"/>
      <c r="RQ282" s="33"/>
      <c r="RR282" s="33"/>
      <c r="RS282" s="33"/>
      <c r="RT282" s="33"/>
      <c r="RU282" s="33"/>
      <c r="RV282" s="33"/>
      <c r="RW282" s="33"/>
      <c r="RX282" s="33"/>
      <c r="RY282" s="33"/>
      <c r="RZ282" s="33"/>
      <c r="SA282" s="33"/>
      <c r="SB282" s="33"/>
      <c r="SC282" s="33"/>
      <c r="SD282" s="33"/>
      <c r="SE282" s="33"/>
      <c r="SF282" s="33"/>
      <c r="SG282" s="33"/>
      <c r="SH282" s="33"/>
      <c r="SI282" s="33"/>
      <c r="SJ282" s="33"/>
      <c r="SK282" s="33"/>
      <c r="SL282" s="33"/>
      <c r="SM282" s="33"/>
      <c r="SN282" s="33"/>
      <c r="SO282" s="33"/>
      <c r="SP282" s="33"/>
      <c r="SQ282" s="33"/>
      <c r="SR282" s="33"/>
      <c r="SS282" s="33"/>
      <c r="ST282" s="33"/>
      <c r="SU282" s="33"/>
      <c r="SV282" s="33"/>
      <c r="SW282" s="33"/>
      <c r="SX282" s="33"/>
      <c r="SY282" s="33"/>
      <c r="SZ282" s="33"/>
      <c r="TA282" s="33"/>
      <c r="TB282" s="33"/>
      <c r="TC282" s="33"/>
      <c r="TD282" s="33"/>
      <c r="TE282" s="33"/>
      <c r="TF282" s="33"/>
      <c r="TG282" s="33"/>
    </row>
    <row r="283" spans="1:527" s="22" customFormat="1" ht="33.75" customHeight="1" x14ac:dyDescent="0.25">
      <c r="A283" s="60" t="s">
        <v>222</v>
      </c>
      <c r="B283" s="97" t="str">
        <f>'дод 8'!A19</f>
        <v>0160</v>
      </c>
      <c r="C283" s="97" t="str">
        <f>'дод 8'!B19</f>
        <v>0111</v>
      </c>
      <c r="D283" s="36" t="s">
        <v>504</v>
      </c>
      <c r="E283" s="103">
        <f t="shared" ref="E283:E288" si="167">F283+I283</f>
        <v>20132100</v>
      </c>
      <c r="F283" s="103">
        <f>20122100+1000000-1000000+10000</f>
        <v>20132100</v>
      </c>
      <c r="G283" s="103">
        <v>15760200</v>
      </c>
      <c r="H283" s="103">
        <v>257700</v>
      </c>
      <c r="I283" s="103"/>
      <c r="J283" s="103">
        <f>L283+O283</f>
        <v>0</v>
      </c>
      <c r="K283" s="103"/>
      <c r="L283" s="103"/>
      <c r="M283" s="103"/>
      <c r="N283" s="103"/>
      <c r="O283" s="103"/>
      <c r="P283" s="103">
        <f t="shared" ref="P283:P290" si="168">E283+J283</f>
        <v>20132100</v>
      </c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  <c r="SQ283" s="23"/>
      <c r="SR283" s="23"/>
      <c r="SS283" s="23"/>
      <c r="ST283" s="23"/>
      <c r="SU283" s="23"/>
      <c r="SV283" s="23"/>
      <c r="SW283" s="23"/>
      <c r="SX283" s="23"/>
      <c r="SY283" s="23"/>
      <c r="SZ283" s="23"/>
      <c r="TA283" s="23"/>
      <c r="TB283" s="23"/>
      <c r="TC283" s="23"/>
      <c r="TD283" s="23"/>
      <c r="TE283" s="23"/>
      <c r="TF283" s="23"/>
      <c r="TG283" s="23"/>
    </row>
    <row r="284" spans="1:527" s="22" customFormat="1" ht="25.5" customHeight="1" x14ac:dyDescent="0.25">
      <c r="A284" s="60" t="s">
        <v>260</v>
      </c>
      <c r="B284" s="97" t="str">
        <f>'дод 8'!A187</f>
        <v>7640</v>
      </c>
      <c r="C284" s="97" t="str">
        <f>'дод 8'!B187</f>
        <v>0470</v>
      </c>
      <c r="D284" s="61" t="s">
        <v>424</v>
      </c>
      <c r="E284" s="103">
        <f t="shared" si="167"/>
        <v>426000</v>
      </c>
      <c r="F284" s="103">
        <v>426000</v>
      </c>
      <c r="G284" s="103"/>
      <c r="H284" s="103"/>
      <c r="I284" s="103"/>
      <c r="J284" s="103">
        <f t="shared" ref="J284:J290" si="169">L284+O284</f>
        <v>0</v>
      </c>
      <c r="K284" s="103"/>
      <c r="L284" s="103"/>
      <c r="M284" s="103"/>
      <c r="N284" s="103"/>
      <c r="O284" s="103"/>
      <c r="P284" s="103">
        <f t="shared" si="168"/>
        <v>426000</v>
      </c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  <c r="TF284" s="23"/>
      <c r="TG284" s="23"/>
    </row>
    <row r="285" spans="1:527" s="22" customFormat="1" ht="29.25" customHeight="1" x14ac:dyDescent="0.25">
      <c r="A285" s="60" t="s">
        <v>332</v>
      </c>
      <c r="B285" s="97" t="str">
        <f>'дод 8'!A195</f>
        <v>7693</v>
      </c>
      <c r="C285" s="97" t="str">
        <f>'дод 8'!B195</f>
        <v>0490</v>
      </c>
      <c r="D285" s="61" t="str">
        <f>'дод 8'!C195</f>
        <v>Інші заходи, пов'язані з економічною діяльністю</v>
      </c>
      <c r="E285" s="103">
        <f t="shared" si="167"/>
        <v>343000</v>
      </c>
      <c r="F285" s="103">
        <f>483750-130750-10000</f>
        <v>343000</v>
      </c>
      <c r="G285" s="103"/>
      <c r="H285" s="103"/>
      <c r="I285" s="103"/>
      <c r="J285" s="103">
        <f t="shared" si="169"/>
        <v>0</v>
      </c>
      <c r="K285" s="103"/>
      <c r="L285" s="103"/>
      <c r="M285" s="103"/>
      <c r="N285" s="103"/>
      <c r="O285" s="103"/>
      <c r="P285" s="103">
        <f t="shared" si="168"/>
        <v>343000</v>
      </c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  <c r="SQ285" s="23"/>
      <c r="SR285" s="23"/>
      <c r="SS285" s="23"/>
      <c r="ST285" s="23"/>
      <c r="SU285" s="23"/>
      <c r="SV285" s="23"/>
      <c r="SW285" s="23"/>
      <c r="SX285" s="23"/>
      <c r="SY285" s="23"/>
      <c r="SZ285" s="23"/>
      <c r="TA285" s="23"/>
      <c r="TB285" s="23"/>
      <c r="TC285" s="23"/>
      <c r="TD285" s="23"/>
      <c r="TE285" s="23"/>
      <c r="TF285" s="23"/>
      <c r="TG285" s="23"/>
    </row>
    <row r="286" spans="1:527" s="22" customFormat="1" ht="42.75" customHeight="1" x14ac:dyDescent="0.25">
      <c r="A286" s="60">
        <v>3718330</v>
      </c>
      <c r="B286" s="97">
        <f>'дод 8'!A208</f>
        <v>8330</v>
      </c>
      <c r="C286" s="60" t="s">
        <v>94</v>
      </c>
      <c r="D286" s="61" t="str">
        <f>'дод 8'!C208</f>
        <v xml:space="preserve">Інша діяльність у сфері екології та охорони природних ресурсів </v>
      </c>
      <c r="E286" s="103">
        <f t="shared" si="167"/>
        <v>75000</v>
      </c>
      <c r="F286" s="103">
        <v>75000</v>
      </c>
      <c r="G286" s="103"/>
      <c r="H286" s="103"/>
      <c r="I286" s="103"/>
      <c r="J286" s="103">
        <f t="shared" si="169"/>
        <v>0</v>
      </c>
      <c r="K286" s="103"/>
      <c r="L286" s="103"/>
      <c r="M286" s="103"/>
      <c r="N286" s="103"/>
      <c r="O286" s="103"/>
      <c r="P286" s="103">
        <f t="shared" si="168"/>
        <v>75000</v>
      </c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  <c r="SQ286" s="23"/>
      <c r="SR286" s="23"/>
      <c r="SS286" s="23"/>
      <c r="ST286" s="23"/>
      <c r="SU286" s="23"/>
      <c r="SV286" s="23"/>
      <c r="SW286" s="23"/>
      <c r="SX286" s="23"/>
      <c r="SY286" s="23"/>
      <c r="SZ286" s="23"/>
      <c r="TA286" s="23"/>
      <c r="TB286" s="23"/>
      <c r="TC286" s="23"/>
      <c r="TD286" s="23"/>
      <c r="TE286" s="23"/>
      <c r="TF286" s="23"/>
      <c r="TG286" s="23"/>
    </row>
    <row r="287" spans="1:527" s="22" customFormat="1" ht="27.75" customHeight="1" x14ac:dyDescent="0.25">
      <c r="A287" s="60" t="s">
        <v>223</v>
      </c>
      <c r="B287" s="97" t="str">
        <f>'дод 8'!A209</f>
        <v>8340</v>
      </c>
      <c r="C287" s="60" t="str">
        <f>'дод 8'!B209</f>
        <v>0540</v>
      </c>
      <c r="D287" s="61" t="str">
        <f>'дод 8'!C209</f>
        <v>Природоохоронні заходи за рахунок цільових фондів</v>
      </c>
      <c r="E287" s="103">
        <f t="shared" si="167"/>
        <v>0</v>
      </c>
      <c r="F287" s="103"/>
      <c r="G287" s="103"/>
      <c r="H287" s="103"/>
      <c r="I287" s="103"/>
      <c r="J287" s="103">
        <f t="shared" si="169"/>
        <v>502000</v>
      </c>
      <c r="K287" s="103"/>
      <c r="L287" s="103">
        <f>103000+399000</f>
        <v>502000</v>
      </c>
      <c r="M287" s="103"/>
      <c r="N287" s="103"/>
      <c r="O287" s="103"/>
      <c r="P287" s="103">
        <f t="shared" si="168"/>
        <v>502000</v>
      </c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  <c r="TF287" s="23"/>
      <c r="TG287" s="23"/>
    </row>
    <row r="288" spans="1:527" s="22" customFormat="1" ht="27" customHeight="1" x14ac:dyDescent="0.25">
      <c r="A288" s="60" t="s">
        <v>224</v>
      </c>
      <c r="B288" s="97" t="str">
        <f>'дод 8'!A212</f>
        <v>8600</v>
      </c>
      <c r="C288" s="97" t="str">
        <f>'дод 8'!B212</f>
        <v>0170</v>
      </c>
      <c r="D288" s="61" t="str">
        <f>'дод 8'!C212</f>
        <v>Обслуговування місцевого боргу</v>
      </c>
      <c r="E288" s="103">
        <f t="shared" si="167"/>
        <v>1964239</v>
      </c>
      <c r="F288" s="103">
        <f>1833489+130750</f>
        <v>1964239</v>
      </c>
      <c r="G288" s="103"/>
      <c r="H288" s="103"/>
      <c r="I288" s="103"/>
      <c r="J288" s="103">
        <f t="shared" si="169"/>
        <v>0</v>
      </c>
      <c r="K288" s="103"/>
      <c r="L288" s="103"/>
      <c r="M288" s="103"/>
      <c r="N288" s="103"/>
      <c r="O288" s="103"/>
      <c r="P288" s="103">
        <f t="shared" si="168"/>
        <v>1964239</v>
      </c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  <c r="TF288" s="23"/>
      <c r="TG288" s="23"/>
    </row>
    <row r="289" spans="1:527" s="22" customFormat="1" ht="25.5" customHeight="1" x14ac:dyDescent="0.25">
      <c r="A289" s="60" t="s">
        <v>527</v>
      </c>
      <c r="B289" s="97">
        <v>8710</v>
      </c>
      <c r="C289" s="97" t="str">
        <f>'дод 8'!B213</f>
        <v>0133</v>
      </c>
      <c r="D289" s="61" t="str">
        <f>'дод 8'!C213</f>
        <v>Резервний фонд місцевого бюджету</v>
      </c>
      <c r="E289" s="103">
        <f>16076686.44+30260-2902100-6378100+81980-1553963+117260-370000-4100550-30000</f>
        <v>971473.43999999948</v>
      </c>
      <c r="F289" s="103"/>
      <c r="G289" s="103"/>
      <c r="H289" s="103"/>
      <c r="I289" s="103"/>
      <c r="J289" s="103">
        <f t="shared" si="169"/>
        <v>0</v>
      </c>
      <c r="K289" s="103"/>
      <c r="L289" s="103"/>
      <c r="M289" s="103"/>
      <c r="N289" s="103"/>
      <c r="O289" s="103"/>
      <c r="P289" s="103">
        <f t="shared" si="168"/>
        <v>971473.43999999948</v>
      </c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  <c r="TF289" s="23"/>
      <c r="TG289" s="23"/>
    </row>
    <row r="290" spans="1:527" s="22" customFormat="1" ht="29.25" customHeight="1" x14ac:dyDescent="0.25">
      <c r="A290" s="60" t="s">
        <v>234</v>
      </c>
      <c r="B290" s="97" t="str">
        <f>'дод 8'!A217</f>
        <v>9110</v>
      </c>
      <c r="C290" s="97" t="str">
        <f>'дод 8'!B217</f>
        <v>0180</v>
      </c>
      <c r="D290" s="61" t="str">
        <f>'дод 8'!C217</f>
        <v>Реверсна дотація</v>
      </c>
      <c r="E290" s="103">
        <f>F290+I290</f>
        <v>100870700</v>
      </c>
      <c r="F290" s="103">
        <v>100870700</v>
      </c>
      <c r="G290" s="103"/>
      <c r="H290" s="103"/>
      <c r="I290" s="103"/>
      <c r="J290" s="103">
        <f t="shared" si="169"/>
        <v>0</v>
      </c>
      <c r="K290" s="103"/>
      <c r="L290" s="103"/>
      <c r="M290" s="103"/>
      <c r="N290" s="103"/>
      <c r="O290" s="103"/>
      <c r="P290" s="103">
        <f t="shared" si="168"/>
        <v>100870700</v>
      </c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  <c r="TF290" s="23"/>
      <c r="TG290" s="23"/>
    </row>
    <row r="291" spans="1:527" s="27" customFormat="1" ht="26.25" customHeight="1" x14ac:dyDescent="0.25">
      <c r="A291" s="123"/>
      <c r="B291" s="116"/>
      <c r="C291" s="146"/>
      <c r="D291" s="111" t="s">
        <v>410</v>
      </c>
      <c r="E291" s="99">
        <f>E17+E61+E112+E146+E183+E191+E202+E238+E241+E260+E267+E270+E278+E281</f>
        <v>2212803209.1599998</v>
      </c>
      <c r="F291" s="99">
        <f t="shared" ref="F291:I291" si="170">F17+F61+F112+F146+F183+F191+F202+F238+F241+F260+F267+F270+F278+F281</f>
        <v>2129430281.24</v>
      </c>
      <c r="G291" s="99">
        <f t="shared" si="170"/>
        <v>1079211630</v>
      </c>
      <c r="H291" s="99">
        <f t="shared" si="170"/>
        <v>99122524</v>
      </c>
      <c r="I291" s="99">
        <f t="shared" si="170"/>
        <v>82401454.480000004</v>
      </c>
      <c r="J291" s="99">
        <f>J17+J61+J112+J146+J183+J191+J202+J238+J241+J260+J267+J270+J278+J281</f>
        <v>666278992.39999986</v>
      </c>
      <c r="K291" s="99">
        <f t="shared" ref="K291:P291" si="171">K17+K61+K112+K146+K183+K191+K202+K238+K241+K260+K267+K270+K278+K281</f>
        <v>601205697.88</v>
      </c>
      <c r="L291" s="99">
        <f t="shared" si="171"/>
        <v>47765901.869999997</v>
      </c>
      <c r="M291" s="99">
        <f t="shared" si="171"/>
        <v>6033355</v>
      </c>
      <c r="N291" s="99">
        <f t="shared" si="171"/>
        <v>266522</v>
      </c>
      <c r="O291" s="99">
        <f t="shared" si="171"/>
        <v>618513090.52999997</v>
      </c>
      <c r="P291" s="99">
        <f t="shared" si="171"/>
        <v>2879082201.5599999</v>
      </c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/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  <c r="FK291" s="32"/>
      <c r="FL291" s="32"/>
      <c r="FM291" s="32"/>
      <c r="FN291" s="32"/>
      <c r="FO291" s="32"/>
      <c r="FP291" s="32"/>
      <c r="FQ291" s="32"/>
      <c r="FR291" s="32"/>
      <c r="FS291" s="32"/>
      <c r="FT291" s="32"/>
      <c r="FU291" s="32"/>
      <c r="FV291" s="32"/>
      <c r="FW291" s="32"/>
      <c r="FX291" s="32"/>
      <c r="FY291" s="32"/>
      <c r="FZ291" s="32"/>
      <c r="GA291" s="32"/>
      <c r="GB291" s="32"/>
      <c r="GC291" s="32"/>
      <c r="GD291" s="32"/>
      <c r="GE291" s="32"/>
      <c r="GF291" s="32"/>
      <c r="GG291" s="32"/>
      <c r="GH291" s="32"/>
      <c r="GI291" s="32"/>
      <c r="GJ291" s="32"/>
      <c r="GK291" s="32"/>
      <c r="GL291" s="32"/>
      <c r="GM291" s="32"/>
      <c r="GN291" s="32"/>
      <c r="GO291" s="32"/>
      <c r="GP291" s="32"/>
      <c r="GQ291" s="32"/>
      <c r="GR291" s="32"/>
      <c r="GS291" s="32"/>
      <c r="GT291" s="32"/>
      <c r="GU291" s="32"/>
      <c r="GV291" s="32"/>
      <c r="GW291" s="32"/>
      <c r="GX291" s="32"/>
      <c r="GY291" s="32"/>
      <c r="GZ291" s="32"/>
      <c r="HA291" s="32"/>
      <c r="HB291" s="32"/>
      <c r="HC291" s="32"/>
      <c r="HD291" s="32"/>
      <c r="HE291" s="32"/>
      <c r="HF291" s="32"/>
      <c r="HG291" s="32"/>
      <c r="HH291" s="32"/>
      <c r="HI291" s="32"/>
      <c r="HJ291" s="32"/>
      <c r="HK291" s="32"/>
      <c r="HL291" s="32"/>
      <c r="HM291" s="32"/>
      <c r="HN291" s="32"/>
      <c r="HO291" s="32"/>
      <c r="HP291" s="32"/>
      <c r="HQ291" s="32"/>
      <c r="HR291" s="32"/>
      <c r="HS291" s="32"/>
      <c r="HT291" s="32"/>
      <c r="HU291" s="32"/>
      <c r="HV291" s="32"/>
      <c r="HW291" s="32"/>
      <c r="HX291" s="32"/>
      <c r="HY291" s="32"/>
      <c r="HZ291" s="32"/>
      <c r="IA291" s="32"/>
      <c r="IB291" s="32"/>
      <c r="IC291" s="32"/>
      <c r="ID291" s="32"/>
      <c r="IE291" s="32"/>
      <c r="IF291" s="32"/>
      <c r="IG291" s="32"/>
      <c r="IH291" s="32"/>
      <c r="II291" s="32"/>
      <c r="IJ291" s="32"/>
      <c r="IK291" s="32"/>
      <c r="IL291" s="32"/>
      <c r="IM291" s="32"/>
      <c r="IN291" s="32"/>
      <c r="IO291" s="32"/>
      <c r="IP291" s="32"/>
      <c r="IQ291" s="32"/>
      <c r="IR291" s="32"/>
      <c r="IS291" s="32"/>
      <c r="IT291" s="32"/>
      <c r="IU291" s="32"/>
      <c r="IV291" s="32"/>
      <c r="IW291" s="32"/>
      <c r="IX291" s="32"/>
      <c r="IY291" s="32"/>
      <c r="IZ291" s="32"/>
      <c r="JA291" s="32"/>
      <c r="JB291" s="32"/>
      <c r="JC291" s="32"/>
      <c r="JD291" s="32"/>
      <c r="JE291" s="32"/>
      <c r="JF291" s="32"/>
      <c r="JG291" s="32"/>
      <c r="JH291" s="32"/>
      <c r="JI291" s="32"/>
      <c r="JJ291" s="32"/>
      <c r="JK291" s="32"/>
      <c r="JL291" s="32"/>
      <c r="JM291" s="32"/>
      <c r="JN291" s="32"/>
      <c r="JO291" s="32"/>
      <c r="JP291" s="32"/>
      <c r="JQ291" s="32"/>
      <c r="JR291" s="32"/>
      <c r="JS291" s="32"/>
      <c r="JT291" s="32"/>
      <c r="JU291" s="32"/>
      <c r="JV291" s="32"/>
      <c r="JW291" s="32"/>
      <c r="JX291" s="32"/>
      <c r="JY291" s="32"/>
      <c r="JZ291" s="32"/>
      <c r="KA291" s="32"/>
      <c r="KB291" s="32"/>
      <c r="KC291" s="32"/>
      <c r="KD291" s="32"/>
      <c r="KE291" s="32"/>
      <c r="KF291" s="32"/>
      <c r="KG291" s="32"/>
      <c r="KH291" s="32"/>
      <c r="KI291" s="32"/>
      <c r="KJ291" s="32"/>
      <c r="KK291" s="32"/>
      <c r="KL291" s="32"/>
      <c r="KM291" s="32"/>
      <c r="KN291" s="32"/>
      <c r="KO291" s="32"/>
      <c r="KP291" s="32"/>
      <c r="KQ291" s="32"/>
      <c r="KR291" s="32"/>
      <c r="KS291" s="32"/>
      <c r="KT291" s="32"/>
      <c r="KU291" s="32"/>
      <c r="KV291" s="32"/>
      <c r="KW291" s="32"/>
      <c r="KX291" s="32"/>
      <c r="KY291" s="32"/>
      <c r="KZ291" s="32"/>
      <c r="LA291" s="32"/>
      <c r="LB291" s="32"/>
      <c r="LC291" s="32"/>
      <c r="LD291" s="32"/>
      <c r="LE291" s="32"/>
      <c r="LF291" s="32"/>
      <c r="LG291" s="32"/>
      <c r="LH291" s="32"/>
      <c r="LI291" s="32"/>
      <c r="LJ291" s="32"/>
      <c r="LK291" s="32"/>
      <c r="LL291" s="32"/>
      <c r="LM291" s="32"/>
      <c r="LN291" s="32"/>
      <c r="LO291" s="32"/>
      <c r="LP291" s="32"/>
      <c r="LQ291" s="32"/>
      <c r="LR291" s="32"/>
      <c r="LS291" s="32"/>
      <c r="LT291" s="32"/>
      <c r="LU291" s="32"/>
      <c r="LV291" s="32"/>
      <c r="LW291" s="32"/>
      <c r="LX291" s="32"/>
      <c r="LY291" s="32"/>
      <c r="LZ291" s="32"/>
      <c r="MA291" s="32"/>
      <c r="MB291" s="32"/>
      <c r="MC291" s="32"/>
      <c r="MD291" s="32"/>
      <c r="ME291" s="32"/>
      <c r="MF291" s="32"/>
      <c r="MG291" s="32"/>
      <c r="MH291" s="32"/>
      <c r="MI291" s="32"/>
      <c r="MJ291" s="32"/>
      <c r="MK291" s="32"/>
      <c r="ML291" s="32"/>
      <c r="MM291" s="32"/>
      <c r="MN291" s="32"/>
      <c r="MO291" s="32"/>
      <c r="MP291" s="32"/>
      <c r="MQ291" s="32"/>
      <c r="MR291" s="32"/>
      <c r="MS291" s="32"/>
      <c r="MT291" s="32"/>
      <c r="MU291" s="32"/>
      <c r="MV291" s="32"/>
      <c r="MW291" s="32"/>
      <c r="MX291" s="32"/>
      <c r="MY291" s="32"/>
      <c r="MZ291" s="32"/>
      <c r="NA291" s="32"/>
      <c r="NB291" s="32"/>
      <c r="NC291" s="32"/>
      <c r="ND291" s="32"/>
      <c r="NE291" s="32"/>
      <c r="NF291" s="32"/>
      <c r="NG291" s="32"/>
      <c r="NH291" s="32"/>
      <c r="NI291" s="32"/>
      <c r="NJ291" s="32"/>
      <c r="NK291" s="32"/>
      <c r="NL291" s="32"/>
      <c r="NM291" s="32"/>
      <c r="NN291" s="32"/>
      <c r="NO291" s="32"/>
      <c r="NP291" s="32"/>
      <c r="NQ291" s="32"/>
      <c r="NR291" s="32"/>
      <c r="NS291" s="32"/>
      <c r="NT291" s="32"/>
      <c r="NU291" s="32"/>
      <c r="NV291" s="32"/>
      <c r="NW291" s="32"/>
      <c r="NX291" s="32"/>
      <c r="NY291" s="32"/>
      <c r="NZ291" s="32"/>
      <c r="OA291" s="32"/>
      <c r="OB291" s="32"/>
      <c r="OC291" s="32"/>
      <c r="OD291" s="32"/>
      <c r="OE291" s="32"/>
      <c r="OF291" s="32"/>
      <c r="OG291" s="32"/>
      <c r="OH291" s="32"/>
      <c r="OI291" s="32"/>
      <c r="OJ291" s="32"/>
      <c r="OK291" s="32"/>
      <c r="OL291" s="32"/>
      <c r="OM291" s="32"/>
      <c r="ON291" s="32"/>
      <c r="OO291" s="32"/>
      <c r="OP291" s="32"/>
      <c r="OQ291" s="32"/>
      <c r="OR291" s="32"/>
      <c r="OS291" s="32"/>
      <c r="OT291" s="32"/>
      <c r="OU291" s="32"/>
      <c r="OV291" s="32"/>
      <c r="OW291" s="32"/>
      <c r="OX291" s="32"/>
      <c r="OY291" s="32"/>
      <c r="OZ291" s="32"/>
      <c r="PA291" s="32"/>
      <c r="PB291" s="32"/>
      <c r="PC291" s="32"/>
      <c r="PD291" s="32"/>
      <c r="PE291" s="32"/>
      <c r="PF291" s="32"/>
      <c r="PG291" s="32"/>
      <c r="PH291" s="32"/>
      <c r="PI291" s="32"/>
      <c r="PJ291" s="32"/>
      <c r="PK291" s="32"/>
      <c r="PL291" s="32"/>
      <c r="PM291" s="32"/>
      <c r="PN291" s="32"/>
      <c r="PO291" s="32"/>
      <c r="PP291" s="32"/>
      <c r="PQ291" s="32"/>
      <c r="PR291" s="32"/>
      <c r="PS291" s="32"/>
      <c r="PT291" s="32"/>
      <c r="PU291" s="32"/>
      <c r="PV291" s="32"/>
      <c r="PW291" s="32"/>
      <c r="PX291" s="32"/>
      <c r="PY291" s="32"/>
      <c r="PZ291" s="32"/>
      <c r="QA291" s="32"/>
      <c r="QB291" s="32"/>
      <c r="QC291" s="32"/>
      <c r="QD291" s="32"/>
      <c r="QE291" s="32"/>
      <c r="QF291" s="32"/>
      <c r="QG291" s="32"/>
      <c r="QH291" s="32"/>
      <c r="QI291" s="32"/>
      <c r="QJ291" s="32"/>
      <c r="QK291" s="32"/>
      <c r="QL291" s="32"/>
      <c r="QM291" s="32"/>
      <c r="QN291" s="32"/>
      <c r="QO291" s="32"/>
      <c r="QP291" s="32"/>
      <c r="QQ291" s="32"/>
      <c r="QR291" s="32"/>
      <c r="QS291" s="32"/>
      <c r="QT291" s="32"/>
      <c r="QU291" s="32"/>
      <c r="QV291" s="32"/>
      <c r="QW291" s="32"/>
      <c r="QX291" s="32"/>
      <c r="QY291" s="32"/>
      <c r="QZ291" s="32"/>
      <c r="RA291" s="32"/>
      <c r="RB291" s="32"/>
      <c r="RC291" s="32"/>
      <c r="RD291" s="32"/>
      <c r="RE291" s="32"/>
      <c r="RF291" s="32"/>
      <c r="RG291" s="32"/>
      <c r="RH291" s="32"/>
      <c r="RI291" s="32"/>
      <c r="RJ291" s="32"/>
      <c r="RK291" s="32"/>
      <c r="RL291" s="32"/>
      <c r="RM291" s="32"/>
      <c r="RN291" s="32"/>
      <c r="RO291" s="32"/>
      <c r="RP291" s="32"/>
      <c r="RQ291" s="32"/>
      <c r="RR291" s="32"/>
      <c r="RS291" s="32"/>
      <c r="RT291" s="32"/>
      <c r="RU291" s="32"/>
      <c r="RV291" s="32"/>
      <c r="RW291" s="32"/>
      <c r="RX291" s="32"/>
      <c r="RY291" s="32"/>
      <c r="RZ291" s="32"/>
      <c r="SA291" s="32"/>
      <c r="SB291" s="32"/>
      <c r="SC291" s="32"/>
      <c r="SD291" s="32"/>
      <c r="SE291" s="32"/>
      <c r="SF291" s="32"/>
      <c r="SG291" s="32"/>
      <c r="SH291" s="32"/>
      <c r="SI291" s="32"/>
      <c r="SJ291" s="32"/>
      <c r="SK291" s="32"/>
      <c r="SL291" s="32"/>
      <c r="SM291" s="32"/>
      <c r="SN291" s="32"/>
      <c r="SO291" s="32"/>
      <c r="SP291" s="32"/>
      <c r="SQ291" s="32"/>
      <c r="SR291" s="32"/>
      <c r="SS291" s="32"/>
      <c r="ST291" s="32"/>
      <c r="SU291" s="32"/>
      <c r="SV291" s="32"/>
      <c r="SW291" s="32"/>
      <c r="SX291" s="32"/>
      <c r="SY291" s="32"/>
      <c r="SZ291" s="32"/>
      <c r="TA291" s="32"/>
      <c r="TB291" s="32"/>
      <c r="TC291" s="32"/>
      <c r="TD291" s="32"/>
      <c r="TE291" s="32"/>
      <c r="TF291" s="32"/>
      <c r="TG291" s="32"/>
    </row>
    <row r="292" spans="1:527" s="34" customFormat="1" ht="34.5" customHeight="1" x14ac:dyDescent="0.25">
      <c r="A292" s="124"/>
      <c r="B292" s="113"/>
      <c r="C292" s="101"/>
      <c r="D292" s="81" t="s">
        <v>403</v>
      </c>
      <c r="E292" s="102">
        <f>E63+E70+E206+E207+E71+E119</f>
        <v>485337827.60000002</v>
      </c>
      <c r="F292" s="102">
        <f t="shared" ref="F292:P292" si="172">F63+F70+F206+F207+F71+F119</f>
        <v>485337827.60000002</v>
      </c>
      <c r="G292" s="102">
        <f t="shared" si="172"/>
        <v>396066000</v>
      </c>
      <c r="H292" s="102">
        <f t="shared" si="172"/>
        <v>0</v>
      </c>
      <c r="I292" s="102">
        <f t="shared" si="172"/>
        <v>0</v>
      </c>
      <c r="J292" s="102">
        <f t="shared" si="172"/>
        <v>15521220.18</v>
      </c>
      <c r="K292" s="102">
        <f t="shared" si="172"/>
        <v>15521220.18</v>
      </c>
      <c r="L292" s="102">
        <f t="shared" si="172"/>
        <v>0</v>
      </c>
      <c r="M292" s="102">
        <f t="shared" si="172"/>
        <v>0</v>
      </c>
      <c r="N292" s="102">
        <f t="shared" si="172"/>
        <v>0</v>
      </c>
      <c r="O292" s="102">
        <f t="shared" si="172"/>
        <v>15521220.18</v>
      </c>
      <c r="P292" s="102">
        <f t="shared" si="172"/>
        <v>500859047.77999997</v>
      </c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  <c r="GE292" s="33"/>
      <c r="GF292" s="33"/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3"/>
      <c r="HP292" s="33"/>
      <c r="HQ292" s="33"/>
      <c r="HR292" s="33"/>
      <c r="HS292" s="33"/>
      <c r="HT292" s="33"/>
      <c r="HU292" s="33"/>
      <c r="HV292" s="33"/>
      <c r="HW292" s="33"/>
      <c r="HX292" s="33"/>
      <c r="HY292" s="33"/>
      <c r="HZ292" s="33"/>
      <c r="IA292" s="33"/>
      <c r="IB292" s="33"/>
      <c r="IC292" s="33"/>
      <c r="ID292" s="33"/>
      <c r="IE292" s="33"/>
      <c r="IF292" s="33"/>
      <c r="IG292" s="33"/>
      <c r="IH292" s="33"/>
      <c r="II292" s="33"/>
      <c r="IJ292" s="33"/>
      <c r="IK292" s="33"/>
      <c r="IL292" s="33"/>
      <c r="IM292" s="33"/>
      <c r="IN292" s="33"/>
      <c r="IO292" s="33"/>
      <c r="IP292" s="33"/>
      <c r="IQ292" s="33"/>
      <c r="IR292" s="33"/>
      <c r="IS292" s="33"/>
      <c r="IT292" s="33"/>
      <c r="IU292" s="33"/>
      <c r="IV292" s="33"/>
      <c r="IW292" s="33"/>
      <c r="IX292" s="33"/>
      <c r="IY292" s="33"/>
      <c r="IZ292" s="33"/>
      <c r="JA292" s="33"/>
      <c r="JB292" s="33"/>
      <c r="JC292" s="33"/>
      <c r="JD292" s="33"/>
      <c r="JE292" s="33"/>
      <c r="JF292" s="33"/>
      <c r="JG292" s="33"/>
      <c r="JH292" s="33"/>
      <c r="JI292" s="33"/>
      <c r="JJ292" s="33"/>
      <c r="JK292" s="33"/>
      <c r="JL292" s="33"/>
      <c r="JM292" s="33"/>
      <c r="JN292" s="33"/>
      <c r="JO292" s="33"/>
      <c r="JP292" s="33"/>
      <c r="JQ292" s="33"/>
      <c r="JR292" s="33"/>
      <c r="JS292" s="33"/>
      <c r="JT292" s="33"/>
      <c r="JU292" s="33"/>
      <c r="JV292" s="33"/>
      <c r="JW292" s="33"/>
      <c r="JX292" s="33"/>
      <c r="JY292" s="33"/>
      <c r="JZ292" s="33"/>
      <c r="KA292" s="33"/>
      <c r="KB292" s="33"/>
      <c r="KC292" s="33"/>
      <c r="KD292" s="33"/>
      <c r="KE292" s="33"/>
      <c r="KF292" s="33"/>
      <c r="KG292" s="33"/>
      <c r="KH292" s="33"/>
      <c r="KI292" s="33"/>
      <c r="KJ292" s="33"/>
      <c r="KK292" s="33"/>
      <c r="KL292" s="33"/>
      <c r="KM292" s="33"/>
      <c r="KN292" s="33"/>
      <c r="KO292" s="33"/>
      <c r="KP292" s="33"/>
      <c r="KQ292" s="33"/>
      <c r="KR292" s="33"/>
      <c r="KS292" s="33"/>
      <c r="KT292" s="33"/>
      <c r="KU292" s="33"/>
      <c r="KV292" s="33"/>
      <c r="KW292" s="33"/>
      <c r="KX292" s="33"/>
      <c r="KY292" s="33"/>
      <c r="KZ292" s="33"/>
      <c r="LA292" s="33"/>
      <c r="LB292" s="33"/>
      <c r="LC292" s="33"/>
      <c r="LD292" s="33"/>
      <c r="LE292" s="33"/>
      <c r="LF292" s="33"/>
      <c r="LG292" s="33"/>
      <c r="LH292" s="33"/>
      <c r="LI292" s="33"/>
      <c r="LJ292" s="33"/>
      <c r="LK292" s="33"/>
      <c r="LL292" s="33"/>
      <c r="LM292" s="33"/>
      <c r="LN292" s="33"/>
      <c r="LO292" s="33"/>
      <c r="LP292" s="33"/>
      <c r="LQ292" s="33"/>
      <c r="LR292" s="33"/>
      <c r="LS292" s="33"/>
      <c r="LT292" s="33"/>
      <c r="LU292" s="33"/>
      <c r="LV292" s="33"/>
      <c r="LW292" s="33"/>
      <c r="LX292" s="33"/>
      <c r="LY292" s="33"/>
      <c r="LZ292" s="33"/>
      <c r="MA292" s="33"/>
      <c r="MB292" s="33"/>
      <c r="MC292" s="33"/>
      <c r="MD292" s="33"/>
      <c r="ME292" s="33"/>
      <c r="MF292" s="33"/>
      <c r="MG292" s="33"/>
      <c r="MH292" s="33"/>
      <c r="MI292" s="33"/>
      <c r="MJ292" s="33"/>
      <c r="MK292" s="33"/>
      <c r="ML292" s="33"/>
      <c r="MM292" s="33"/>
      <c r="MN292" s="33"/>
      <c r="MO292" s="33"/>
      <c r="MP292" s="33"/>
      <c r="MQ292" s="33"/>
      <c r="MR292" s="33"/>
      <c r="MS292" s="33"/>
      <c r="MT292" s="33"/>
      <c r="MU292" s="33"/>
      <c r="MV292" s="33"/>
      <c r="MW292" s="33"/>
      <c r="MX292" s="33"/>
      <c r="MY292" s="33"/>
      <c r="MZ292" s="33"/>
      <c r="NA292" s="33"/>
      <c r="NB292" s="33"/>
      <c r="NC292" s="33"/>
      <c r="ND292" s="33"/>
      <c r="NE292" s="33"/>
      <c r="NF292" s="33"/>
      <c r="NG292" s="33"/>
      <c r="NH292" s="33"/>
      <c r="NI292" s="33"/>
      <c r="NJ292" s="33"/>
      <c r="NK292" s="33"/>
      <c r="NL292" s="33"/>
      <c r="NM292" s="33"/>
      <c r="NN292" s="33"/>
      <c r="NO292" s="33"/>
      <c r="NP292" s="33"/>
      <c r="NQ292" s="33"/>
      <c r="NR292" s="33"/>
      <c r="NS292" s="33"/>
      <c r="NT292" s="33"/>
      <c r="NU292" s="33"/>
      <c r="NV292" s="33"/>
      <c r="NW292" s="33"/>
      <c r="NX292" s="33"/>
      <c r="NY292" s="33"/>
      <c r="NZ292" s="33"/>
      <c r="OA292" s="33"/>
      <c r="OB292" s="33"/>
      <c r="OC292" s="33"/>
      <c r="OD292" s="33"/>
      <c r="OE292" s="33"/>
      <c r="OF292" s="33"/>
      <c r="OG292" s="33"/>
      <c r="OH292" s="33"/>
      <c r="OI292" s="33"/>
      <c r="OJ292" s="33"/>
      <c r="OK292" s="33"/>
      <c r="OL292" s="33"/>
      <c r="OM292" s="33"/>
      <c r="ON292" s="33"/>
      <c r="OO292" s="33"/>
      <c r="OP292" s="33"/>
      <c r="OQ292" s="33"/>
      <c r="OR292" s="33"/>
      <c r="OS292" s="33"/>
      <c r="OT292" s="33"/>
      <c r="OU292" s="33"/>
      <c r="OV292" s="33"/>
      <c r="OW292" s="33"/>
      <c r="OX292" s="33"/>
      <c r="OY292" s="33"/>
      <c r="OZ292" s="33"/>
      <c r="PA292" s="33"/>
      <c r="PB292" s="33"/>
      <c r="PC292" s="33"/>
      <c r="PD292" s="33"/>
      <c r="PE292" s="33"/>
      <c r="PF292" s="33"/>
      <c r="PG292" s="33"/>
      <c r="PH292" s="33"/>
      <c r="PI292" s="33"/>
      <c r="PJ292" s="33"/>
      <c r="PK292" s="33"/>
      <c r="PL292" s="33"/>
      <c r="PM292" s="33"/>
      <c r="PN292" s="33"/>
      <c r="PO292" s="33"/>
      <c r="PP292" s="33"/>
      <c r="PQ292" s="33"/>
      <c r="PR292" s="33"/>
      <c r="PS292" s="33"/>
      <c r="PT292" s="33"/>
      <c r="PU292" s="33"/>
      <c r="PV292" s="33"/>
      <c r="PW292" s="33"/>
      <c r="PX292" s="33"/>
      <c r="PY292" s="33"/>
      <c r="PZ292" s="33"/>
      <c r="QA292" s="33"/>
      <c r="QB292" s="33"/>
      <c r="QC292" s="33"/>
      <c r="QD292" s="33"/>
      <c r="QE292" s="33"/>
      <c r="QF292" s="33"/>
      <c r="QG292" s="33"/>
      <c r="QH292" s="33"/>
      <c r="QI292" s="33"/>
      <c r="QJ292" s="33"/>
      <c r="QK292" s="33"/>
      <c r="QL292" s="33"/>
      <c r="QM292" s="33"/>
      <c r="QN292" s="33"/>
      <c r="QO292" s="33"/>
      <c r="QP292" s="33"/>
      <c r="QQ292" s="33"/>
      <c r="QR292" s="33"/>
      <c r="QS292" s="33"/>
      <c r="QT292" s="33"/>
      <c r="QU292" s="33"/>
      <c r="QV292" s="33"/>
      <c r="QW292" s="33"/>
      <c r="QX292" s="33"/>
      <c r="QY292" s="33"/>
      <c r="QZ292" s="33"/>
      <c r="RA292" s="33"/>
      <c r="RB292" s="33"/>
      <c r="RC292" s="33"/>
      <c r="RD292" s="33"/>
      <c r="RE292" s="33"/>
      <c r="RF292" s="33"/>
      <c r="RG292" s="33"/>
      <c r="RH292" s="33"/>
      <c r="RI292" s="33"/>
      <c r="RJ292" s="33"/>
      <c r="RK292" s="33"/>
      <c r="RL292" s="33"/>
      <c r="RM292" s="33"/>
      <c r="RN292" s="33"/>
      <c r="RO292" s="33"/>
      <c r="RP292" s="33"/>
      <c r="RQ292" s="33"/>
      <c r="RR292" s="33"/>
      <c r="RS292" s="33"/>
      <c r="RT292" s="33"/>
      <c r="RU292" s="33"/>
      <c r="RV292" s="33"/>
      <c r="RW292" s="33"/>
      <c r="RX292" s="33"/>
      <c r="RY292" s="33"/>
      <c r="RZ292" s="33"/>
      <c r="SA292" s="33"/>
      <c r="SB292" s="33"/>
      <c r="SC292" s="33"/>
      <c r="SD292" s="33"/>
      <c r="SE292" s="33"/>
      <c r="SF292" s="33"/>
      <c r="SG292" s="33"/>
      <c r="SH292" s="33"/>
      <c r="SI292" s="33"/>
      <c r="SJ292" s="33"/>
      <c r="SK292" s="33"/>
      <c r="SL292" s="33"/>
      <c r="SM292" s="33"/>
      <c r="SN292" s="33"/>
      <c r="SO292" s="33"/>
      <c r="SP292" s="33"/>
      <c r="SQ292" s="33"/>
      <c r="SR292" s="33"/>
      <c r="SS292" s="33"/>
      <c r="ST292" s="33"/>
      <c r="SU292" s="33"/>
      <c r="SV292" s="33"/>
      <c r="SW292" s="33"/>
      <c r="SX292" s="33"/>
      <c r="SY292" s="33"/>
      <c r="SZ292" s="33"/>
      <c r="TA292" s="33"/>
      <c r="TB292" s="33"/>
      <c r="TC292" s="33"/>
      <c r="TD292" s="33"/>
      <c r="TE292" s="33"/>
      <c r="TF292" s="33"/>
      <c r="TG292" s="33"/>
    </row>
    <row r="293" spans="1:527" s="34" customFormat="1" ht="39" customHeight="1" x14ac:dyDescent="0.25">
      <c r="A293" s="124"/>
      <c r="B293" s="113"/>
      <c r="C293" s="101"/>
      <c r="D293" s="81" t="s">
        <v>404</v>
      </c>
      <c r="E293" s="102">
        <f>E19+E66+E68+E150+E65+E69+E118</f>
        <v>24462322.240000002</v>
      </c>
      <c r="F293" s="102">
        <f t="shared" ref="F293:P293" si="173">F19+F66+F68+F150+F65+F69+F118</f>
        <v>24462322.240000002</v>
      </c>
      <c r="G293" s="102">
        <f t="shared" si="173"/>
        <v>4133559</v>
      </c>
      <c r="H293" s="102">
        <f t="shared" si="173"/>
        <v>0</v>
      </c>
      <c r="I293" s="102">
        <f t="shared" si="173"/>
        <v>0</v>
      </c>
      <c r="J293" s="102">
        <f t="shared" si="173"/>
        <v>1826000</v>
      </c>
      <c r="K293" s="102">
        <f t="shared" si="173"/>
        <v>1826000</v>
      </c>
      <c r="L293" s="102">
        <f t="shared" si="173"/>
        <v>0</v>
      </c>
      <c r="M293" s="102">
        <f t="shared" si="173"/>
        <v>0</v>
      </c>
      <c r="N293" s="102">
        <f t="shared" si="173"/>
        <v>0</v>
      </c>
      <c r="O293" s="102">
        <f t="shared" si="173"/>
        <v>1826000</v>
      </c>
      <c r="P293" s="102">
        <f t="shared" si="173"/>
        <v>26288322.240000002</v>
      </c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  <c r="HP293" s="33"/>
      <c r="HQ293" s="33"/>
      <c r="HR293" s="33"/>
      <c r="HS293" s="33"/>
      <c r="HT293" s="33"/>
      <c r="HU293" s="33"/>
      <c r="HV293" s="33"/>
      <c r="HW293" s="33"/>
      <c r="HX293" s="33"/>
      <c r="HY293" s="33"/>
      <c r="HZ293" s="33"/>
      <c r="IA293" s="33"/>
      <c r="IB293" s="33"/>
      <c r="IC293" s="33"/>
      <c r="ID293" s="33"/>
      <c r="IE293" s="33"/>
      <c r="IF293" s="33"/>
      <c r="IG293" s="33"/>
      <c r="IH293" s="33"/>
      <c r="II293" s="33"/>
      <c r="IJ293" s="33"/>
      <c r="IK293" s="33"/>
      <c r="IL293" s="33"/>
      <c r="IM293" s="33"/>
      <c r="IN293" s="33"/>
      <c r="IO293" s="33"/>
      <c r="IP293" s="33"/>
      <c r="IQ293" s="33"/>
      <c r="IR293" s="33"/>
      <c r="IS293" s="33"/>
      <c r="IT293" s="33"/>
      <c r="IU293" s="33"/>
      <c r="IV293" s="33"/>
      <c r="IW293" s="33"/>
      <c r="IX293" s="33"/>
      <c r="IY293" s="33"/>
      <c r="IZ293" s="33"/>
      <c r="JA293" s="33"/>
      <c r="JB293" s="33"/>
      <c r="JC293" s="33"/>
      <c r="JD293" s="33"/>
      <c r="JE293" s="33"/>
      <c r="JF293" s="33"/>
      <c r="JG293" s="33"/>
      <c r="JH293" s="33"/>
      <c r="JI293" s="33"/>
      <c r="JJ293" s="33"/>
      <c r="JK293" s="33"/>
      <c r="JL293" s="33"/>
      <c r="JM293" s="33"/>
      <c r="JN293" s="33"/>
      <c r="JO293" s="33"/>
      <c r="JP293" s="33"/>
      <c r="JQ293" s="33"/>
      <c r="JR293" s="33"/>
      <c r="JS293" s="33"/>
      <c r="JT293" s="33"/>
      <c r="JU293" s="33"/>
      <c r="JV293" s="33"/>
      <c r="JW293" s="33"/>
      <c r="JX293" s="33"/>
      <c r="JY293" s="33"/>
      <c r="JZ293" s="33"/>
      <c r="KA293" s="33"/>
      <c r="KB293" s="33"/>
      <c r="KC293" s="33"/>
      <c r="KD293" s="33"/>
      <c r="KE293" s="33"/>
      <c r="KF293" s="33"/>
      <c r="KG293" s="33"/>
      <c r="KH293" s="33"/>
      <c r="KI293" s="33"/>
      <c r="KJ293" s="33"/>
      <c r="KK293" s="33"/>
      <c r="KL293" s="33"/>
      <c r="KM293" s="33"/>
      <c r="KN293" s="33"/>
      <c r="KO293" s="33"/>
      <c r="KP293" s="33"/>
      <c r="KQ293" s="33"/>
      <c r="KR293" s="33"/>
      <c r="KS293" s="33"/>
      <c r="KT293" s="33"/>
      <c r="KU293" s="33"/>
      <c r="KV293" s="33"/>
      <c r="KW293" s="33"/>
      <c r="KX293" s="33"/>
      <c r="KY293" s="33"/>
      <c r="KZ293" s="33"/>
      <c r="LA293" s="33"/>
      <c r="LB293" s="33"/>
      <c r="LC293" s="33"/>
      <c r="LD293" s="33"/>
      <c r="LE293" s="33"/>
      <c r="LF293" s="33"/>
      <c r="LG293" s="33"/>
      <c r="LH293" s="33"/>
      <c r="LI293" s="33"/>
      <c r="LJ293" s="33"/>
      <c r="LK293" s="33"/>
      <c r="LL293" s="33"/>
      <c r="LM293" s="33"/>
      <c r="LN293" s="33"/>
      <c r="LO293" s="33"/>
      <c r="LP293" s="33"/>
      <c r="LQ293" s="33"/>
      <c r="LR293" s="33"/>
      <c r="LS293" s="33"/>
      <c r="LT293" s="33"/>
      <c r="LU293" s="33"/>
      <c r="LV293" s="33"/>
      <c r="LW293" s="33"/>
      <c r="LX293" s="33"/>
      <c r="LY293" s="33"/>
      <c r="LZ293" s="33"/>
      <c r="MA293" s="33"/>
      <c r="MB293" s="33"/>
      <c r="MC293" s="33"/>
      <c r="MD293" s="33"/>
      <c r="ME293" s="33"/>
      <c r="MF293" s="33"/>
      <c r="MG293" s="33"/>
      <c r="MH293" s="33"/>
      <c r="MI293" s="33"/>
      <c r="MJ293" s="33"/>
      <c r="MK293" s="33"/>
      <c r="ML293" s="33"/>
      <c r="MM293" s="33"/>
      <c r="MN293" s="33"/>
      <c r="MO293" s="33"/>
      <c r="MP293" s="33"/>
      <c r="MQ293" s="33"/>
      <c r="MR293" s="33"/>
      <c r="MS293" s="33"/>
      <c r="MT293" s="33"/>
      <c r="MU293" s="33"/>
      <c r="MV293" s="33"/>
      <c r="MW293" s="33"/>
      <c r="MX293" s="33"/>
      <c r="MY293" s="33"/>
      <c r="MZ293" s="33"/>
      <c r="NA293" s="33"/>
      <c r="NB293" s="33"/>
      <c r="NC293" s="33"/>
      <c r="ND293" s="33"/>
      <c r="NE293" s="33"/>
      <c r="NF293" s="33"/>
      <c r="NG293" s="33"/>
      <c r="NH293" s="33"/>
      <c r="NI293" s="33"/>
      <c r="NJ293" s="33"/>
      <c r="NK293" s="33"/>
      <c r="NL293" s="33"/>
      <c r="NM293" s="33"/>
      <c r="NN293" s="33"/>
      <c r="NO293" s="33"/>
      <c r="NP293" s="33"/>
      <c r="NQ293" s="33"/>
      <c r="NR293" s="33"/>
      <c r="NS293" s="33"/>
      <c r="NT293" s="33"/>
      <c r="NU293" s="33"/>
      <c r="NV293" s="33"/>
      <c r="NW293" s="33"/>
      <c r="NX293" s="33"/>
      <c r="NY293" s="33"/>
      <c r="NZ293" s="33"/>
      <c r="OA293" s="33"/>
      <c r="OB293" s="33"/>
      <c r="OC293" s="33"/>
      <c r="OD293" s="33"/>
      <c r="OE293" s="33"/>
      <c r="OF293" s="33"/>
      <c r="OG293" s="33"/>
      <c r="OH293" s="33"/>
      <c r="OI293" s="33"/>
      <c r="OJ293" s="33"/>
      <c r="OK293" s="33"/>
      <c r="OL293" s="33"/>
      <c r="OM293" s="33"/>
      <c r="ON293" s="33"/>
      <c r="OO293" s="33"/>
      <c r="OP293" s="33"/>
      <c r="OQ293" s="33"/>
      <c r="OR293" s="33"/>
      <c r="OS293" s="33"/>
      <c r="OT293" s="33"/>
      <c r="OU293" s="33"/>
      <c r="OV293" s="33"/>
      <c r="OW293" s="33"/>
      <c r="OX293" s="33"/>
      <c r="OY293" s="33"/>
      <c r="OZ293" s="33"/>
      <c r="PA293" s="33"/>
      <c r="PB293" s="33"/>
      <c r="PC293" s="33"/>
      <c r="PD293" s="33"/>
      <c r="PE293" s="33"/>
      <c r="PF293" s="33"/>
      <c r="PG293" s="33"/>
      <c r="PH293" s="33"/>
      <c r="PI293" s="33"/>
      <c r="PJ293" s="33"/>
      <c r="PK293" s="33"/>
      <c r="PL293" s="33"/>
      <c r="PM293" s="33"/>
      <c r="PN293" s="33"/>
      <c r="PO293" s="33"/>
      <c r="PP293" s="33"/>
      <c r="PQ293" s="33"/>
      <c r="PR293" s="33"/>
      <c r="PS293" s="33"/>
      <c r="PT293" s="33"/>
      <c r="PU293" s="33"/>
      <c r="PV293" s="33"/>
      <c r="PW293" s="33"/>
      <c r="PX293" s="33"/>
      <c r="PY293" s="33"/>
      <c r="PZ293" s="33"/>
      <c r="QA293" s="33"/>
      <c r="QB293" s="33"/>
      <c r="QC293" s="33"/>
      <c r="QD293" s="33"/>
      <c r="QE293" s="33"/>
      <c r="QF293" s="33"/>
      <c r="QG293" s="33"/>
      <c r="QH293" s="33"/>
      <c r="QI293" s="33"/>
      <c r="QJ293" s="33"/>
      <c r="QK293" s="33"/>
      <c r="QL293" s="33"/>
      <c r="QM293" s="33"/>
      <c r="QN293" s="33"/>
      <c r="QO293" s="33"/>
      <c r="QP293" s="33"/>
      <c r="QQ293" s="33"/>
      <c r="QR293" s="33"/>
      <c r="QS293" s="33"/>
      <c r="QT293" s="33"/>
      <c r="QU293" s="33"/>
      <c r="QV293" s="33"/>
      <c r="QW293" s="33"/>
      <c r="QX293" s="33"/>
      <c r="QY293" s="33"/>
      <c r="QZ293" s="33"/>
      <c r="RA293" s="33"/>
      <c r="RB293" s="33"/>
      <c r="RC293" s="33"/>
      <c r="RD293" s="33"/>
      <c r="RE293" s="33"/>
      <c r="RF293" s="33"/>
      <c r="RG293" s="33"/>
      <c r="RH293" s="33"/>
      <c r="RI293" s="33"/>
      <c r="RJ293" s="33"/>
      <c r="RK293" s="33"/>
      <c r="RL293" s="33"/>
      <c r="RM293" s="33"/>
      <c r="RN293" s="33"/>
      <c r="RO293" s="33"/>
      <c r="RP293" s="33"/>
      <c r="RQ293" s="33"/>
      <c r="RR293" s="33"/>
      <c r="RS293" s="33"/>
      <c r="RT293" s="33"/>
      <c r="RU293" s="33"/>
      <c r="RV293" s="33"/>
      <c r="RW293" s="33"/>
      <c r="RX293" s="33"/>
      <c r="RY293" s="33"/>
      <c r="RZ293" s="33"/>
      <c r="SA293" s="33"/>
      <c r="SB293" s="33"/>
      <c r="SC293" s="33"/>
      <c r="SD293" s="33"/>
      <c r="SE293" s="33"/>
      <c r="SF293" s="33"/>
      <c r="SG293" s="33"/>
      <c r="SH293" s="33"/>
      <c r="SI293" s="33"/>
      <c r="SJ293" s="33"/>
      <c r="SK293" s="33"/>
      <c r="SL293" s="33"/>
      <c r="SM293" s="33"/>
      <c r="SN293" s="33"/>
      <c r="SO293" s="33"/>
      <c r="SP293" s="33"/>
      <c r="SQ293" s="33"/>
      <c r="SR293" s="33"/>
      <c r="SS293" s="33"/>
      <c r="ST293" s="33"/>
      <c r="SU293" s="33"/>
      <c r="SV293" s="33"/>
      <c r="SW293" s="33"/>
      <c r="SX293" s="33"/>
      <c r="SY293" s="33"/>
      <c r="SZ293" s="33"/>
      <c r="TA293" s="33"/>
      <c r="TB293" s="33"/>
      <c r="TC293" s="33"/>
      <c r="TD293" s="33"/>
      <c r="TE293" s="33"/>
      <c r="TF293" s="33"/>
      <c r="TG293" s="33"/>
    </row>
    <row r="294" spans="1:527" s="34" customFormat="1" ht="25.5" customHeight="1" x14ac:dyDescent="0.25">
      <c r="A294" s="100"/>
      <c r="B294" s="113"/>
      <c r="C294" s="113"/>
      <c r="D294" s="87" t="s">
        <v>421</v>
      </c>
      <c r="E294" s="102">
        <f t="shared" ref="E294:P294" si="174">E120+E243+E208</f>
        <v>0</v>
      </c>
      <c r="F294" s="102">
        <f t="shared" si="174"/>
        <v>0</v>
      </c>
      <c r="G294" s="102">
        <f t="shared" si="174"/>
        <v>0</v>
      </c>
      <c r="H294" s="102">
        <f t="shared" si="174"/>
        <v>0</v>
      </c>
      <c r="I294" s="102">
        <f t="shared" si="174"/>
        <v>0</v>
      </c>
      <c r="J294" s="102">
        <f t="shared" si="174"/>
        <v>127771665.12</v>
      </c>
      <c r="K294" s="102">
        <f t="shared" si="174"/>
        <v>127771665.12</v>
      </c>
      <c r="L294" s="102">
        <f t="shared" si="174"/>
        <v>0</v>
      </c>
      <c r="M294" s="102">
        <f t="shared" si="174"/>
        <v>0</v>
      </c>
      <c r="N294" s="102">
        <f t="shared" si="174"/>
        <v>0</v>
      </c>
      <c r="O294" s="102">
        <f t="shared" si="174"/>
        <v>127771665.12</v>
      </c>
      <c r="P294" s="102">
        <f t="shared" si="174"/>
        <v>127771665.12</v>
      </c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  <c r="GE294" s="33"/>
      <c r="GF294" s="33"/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3"/>
      <c r="HP294" s="33"/>
      <c r="HQ294" s="33"/>
      <c r="HR294" s="33"/>
      <c r="HS294" s="33"/>
      <c r="HT294" s="33"/>
      <c r="HU294" s="33"/>
      <c r="HV294" s="33"/>
      <c r="HW294" s="33"/>
      <c r="HX294" s="33"/>
      <c r="HY294" s="33"/>
      <c r="HZ294" s="33"/>
      <c r="IA294" s="33"/>
      <c r="IB294" s="33"/>
      <c r="IC294" s="33"/>
      <c r="ID294" s="33"/>
      <c r="IE294" s="33"/>
      <c r="IF294" s="33"/>
      <c r="IG294" s="33"/>
      <c r="IH294" s="33"/>
      <c r="II294" s="33"/>
      <c r="IJ294" s="33"/>
      <c r="IK294" s="33"/>
      <c r="IL294" s="33"/>
      <c r="IM294" s="33"/>
      <c r="IN294" s="33"/>
      <c r="IO294" s="33"/>
      <c r="IP294" s="33"/>
      <c r="IQ294" s="33"/>
      <c r="IR294" s="33"/>
      <c r="IS294" s="33"/>
      <c r="IT294" s="33"/>
      <c r="IU294" s="33"/>
      <c r="IV294" s="33"/>
      <c r="IW294" s="33"/>
      <c r="IX294" s="33"/>
      <c r="IY294" s="33"/>
      <c r="IZ294" s="33"/>
      <c r="JA294" s="33"/>
      <c r="JB294" s="33"/>
      <c r="JC294" s="33"/>
      <c r="JD294" s="33"/>
      <c r="JE294" s="33"/>
      <c r="JF294" s="33"/>
      <c r="JG294" s="33"/>
      <c r="JH294" s="33"/>
      <c r="JI294" s="33"/>
      <c r="JJ294" s="33"/>
      <c r="JK294" s="33"/>
      <c r="JL294" s="33"/>
      <c r="JM294" s="33"/>
      <c r="JN294" s="33"/>
      <c r="JO294" s="33"/>
      <c r="JP294" s="33"/>
      <c r="JQ294" s="33"/>
      <c r="JR294" s="33"/>
      <c r="JS294" s="33"/>
      <c r="JT294" s="33"/>
      <c r="JU294" s="33"/>
      <c r="JV294" s="33"/>
      <c r="JW294" s="33"/>
      <c r="JX294" s="33"/>
      <c r="JY294" s="33"/>
      <c r="JZ294" s="33"/>
      <c r="KA294" s="33"/>
      <c r="KB294" s="33"/>
      <c r="KC294" s="33"/>
      <c r="KD294" s="33"/>
      <c r="KE294" s="33"/>
      <c r="KF294" s="33"/>
      <c r="KG294" s="33"/>
      <c r="KH294" s="33"/>
      <c r="KI294" s="33"/>
      <c r="KJ294" s="33"/>
      <c r="KK294" s="33"/>
      <c r="KL294" s="33"/>
      <c r="KM294" s="33"/>
      <c r="KN294" s="33"/>
      <c r="KO294" s="33"/>
      <c r="KP294" s="33"/>
      <c r="KQ294" s="33"/>
      <c r="KR294" s="33"/>
      <c r="KS294" s="33"/>
      <c r="KT294" s="33"/>
      <c r="KU294" s="33"/>
      <c r="KV294" s="33"/>
      <c r="KW294" s="33"/>
      <c r="KX294" s="33"/>
      <c r="KY294" s="33"/>
      <c r="KZ294" s="33"/>
      <c r="LA294" s="33"/>
      <c r="LB294" s="33"/>
      <c r="LC294" s="33"/>
      <c r="LD294" s="33"/>
      <c r="LE294" s="33"/>
      <c r="LF294" s="33"/>
      <c r="LG294" s="33"/>
      <c r="LH294" s="33"/>
      <c r="LI294" s="33"/>
      <c r="LJ294" s="33"/>
      <c r="LK294" s="33"/>
      <c r="LL294" s="33"/>
      <c r="LM294" s="33"/>
      <c r="LN294" s="33"/>
      <c r="LO294" s="33"/>
      <c r="LP294" s="33"/>
      <c r="LQ294" s="33"/>
      <c r="LR294" s="33"/>
      <c r="LS294" s="33"/>
      <c r="LT294" s="33"/>
      <c r="LU294" s="33"/>
      <c r="LV294" s="33"/>
      <c r="LW294" s="33"/>
      <c r="LX294" s="33"/>
      <c r="LY294" s="33"/>
      <c r="LZ294" s="33"/>
      <c r="MA294" s="33"/>
      <c r="MB294" s="33"/>
      <c r="MC294" s="33"/>
      <c r="MD294" s="33"/>
      <c r="ME294" s="33"/>
      <c r="MF294" s="33"/>
      <c r="MG294" s="33"/>
      <c r="MH294" s="33"/>
      <c r="MI294" s="33"/>
      <c r="MJ294" s="33"/>
      <c r="MK294" s="33"/>
      <c r="ML294" s="33"/>
      <c r="MM294" s="33"/>
      <c r="MN294" s="33"/>
      <c r="MO294" s="33"/>
      <c r="MP294" s="33"/>
      <c r="MQ294" s="33"/>
      <c r="MR294" s="33"/>
      <c r="MS294" s="33"/>
      <c r="MT294" s="33"/>
      <c r="MU294" s="33"/>
      <c r="MV294" s="33"/>
      <c r="MW294" s="33"/>
      <c r="MX294" s="33"/>
      <c r="MY294" s="33"/>
      <c r="MZ294" s="33"/>
      <c r="NA294" s="33"/>
      <c r="NB294" s="33"/>
      <c r="NC294" s="33"/>
      <c r="ND294" s="33"/>
      <c r="NE294" s="33"/>
      <c r="NF294" s="33"/>
      <c r="NG294" s="33"/>
      <c r="NH294" s="33"/>
      <c r="NI294" s="33"/>
      <c r="NJ294" s="33"/>
      <c r="NK294" s="33"/>
      <c r="NL294" s="33"/>
      <c r="NM294" s="33"/>
      <c r="NN294" s="33"/>
      <c r="NO294" s="33"/>
      <c r="NP294" s="33"/>
      <c r="NQ294" s="33"/>
      <c r="NR294" s="33"/>
      <c r="NS294" s="33"/>
      <c r="NT294" s="33"/>
      <c r="NU294" s="33"/>
      <c r="NV294" s="33"/>
      <c r="NW294" s="33"/>
      <c r="NX294" s="33"/>
      <c r="NY294" s="33"/>
      <c r="NZ294" s="33"/>
      <c r="OA294" s="33"/>
      <c r="OB294" s="33"/>
      <c r="OC294" s="33"/>
      <c r="OD294" s="33"/>
      <c r="OE294" s="33"/>
      <c r="OF294" s="33"/>
      <c r="OG294" s="33"/>
      <c r="OH294" s="33"/>
      <c r="OI294" s="33"/>
      <c r="OJ294" s="33"/>
      <c r="OK294" s="33"/>
      <c r="OL294" s="33"/>
      <c r="OM294" s="33"/>
      <c r="ON294" s="33"/>
      <c r="OO294" s="33"/>
      <c r="OP294" s="33"/>
      <c r="OQ294" s="33"/>
      <c r="OR294" s="33"/>
      <c r="OS294" s="33"/>
      <c r="OT294" s="33"/>
      <c r="OU294" s="33"/>
      <c r="OV294" s="33"/>
      <c r="OW294" s="33"/>
      <c r="OX294" s="33"/>
      <c r="OY294" s="33"/>
      <c r="OZ294" s="33"/>
      <c r="PA294" s="33"/>
      <c r="PB294" s="33"/>
      <c r="PC294" s="33"/>
      <c r="PD294" s="33"/>
      <c r="PE294" s="33"/>
      <c r="PF294" s="33"/>
      <c r="PG294" s="33"/>
      <c r="PH294" s="33"/>
      <c r="PI294" s="33"/>
      <c r="PJ294" s="33"/>
      <c r="PK294" s="33"/>
      <c r="PL294" s="33"/>
      <c r="PM294" s="33"/>
      <c r="PN294" s="33"/>
      <c r="PO294" s="33"/>
      <c r="PP294" s="33"/>
      <c r="PQ294" s="33"/>
      <c r="PR294" s="33"/>
      <c r="PS294" s="33"/>
      <c r="PT294" s="33"/>
      <c r="PU294" s="33"/>
      <c r="PV294" s="33"/>
      <c r="PW294" s="33"/>
      <c r="PX294" s="33"/>
      <c r="PY294" s="33"/>
      <c r="PZ294" s="33"/>
      <c r="QA294" s="33"/>
      <c r="QB294" s="33"/>
      <c r="QC294" s="33"/>
      <c r="QD294" s="33"/>
      <c r="QE294" s="33"/>
      <c r="QF294" s="33"/>
      <c r="QG294" s="33"/>
      <c r="QH294" s="33"/>
      <c r="QI294" s="33"/>
      <c r="QJ294" s="33"/>
      <c r="QK294" s="33"/>
      <c r="QL294" s="33"/>
      <c r="QM294" s="33"/>
      <c r="QN294" s="33"/>
      <c r="QO294" s="33"/>
      <c r="QP294" s="33"/>
      <c r="QQ294" s="33"/>
      <c r="QR294" s="33"/>
      <c r="QS294" s="33"/>
      <c r="QT294" s="33"/>
      <c r="QU294" s="33"/>
      <c r="QV294" s="33"/>
      <c r="QW294" s="33"/>
      <c r="QX294" s="33"/>
      <c r="QY294" s="33"/>
      <c r="QZ294" s="33"/>
      <c r="RA294" s="33"/>
      <c r="RB294" s="33"/>
      <c r="RC294" s="33"/>
      <c r="RD294" s="33"/>
      <c r="RE294" s="33"/>
      <c r="RF294" s="33"/>
      <c r="RG294" s="33"/>
      <c r="RH294" s="33"/>
      <c r="RI294" s="33"/>
      <c r="RJ294" s="33"/>
      <c r="RK294" s="33"/>
      <c r="RL294" s="33"/>
      <c r="RM294" s="33"/>
      <c r="RN294" s="33"/>
      <c r="RO294" s="33"/>
      <c r="RP294" s="33"/>
      <c r="RQ294" s="33"/>
      <c r="RR294" s="33"/>
      <c r="RS294" s="33"/>
      <c r="RT294" s="33"/>
      <c r="RU294" s="33"/>
      <c r="RV294" s="33"/>
      <c r="RW294" s="33"/>
      <c r="RX294" s="33"/>
      <c r="RY294" s="33"/>
      <c r="RZ294" s="33"/>
      <c r="SA294" s="33"/>
      <c r="SB294" s="33"/>
      <c r="SC294" s="33"/>
      <c r="SD294" s="33"/>
      <c r="SE294" s="33"/>
      <c r="SF294" s="33"/>
      <c r="SG294" s="33"/>
      <c r="SH294" s="33"/>
      <c r="SI294" s="33"/>
      <c r="SJ294" s="33"/>
      <c r="SK294" s="33"/>
      <c r="SL294" s="33"/>
      <c r="SM294" s="33"/>
      <c r="SN294" s="33"/>
      <c r="SO294" s="33"/>
      <c r="SP294" s="33"/>
      <c r="SQ294" s="33"/>
      <c r="SR294" s="33"/>
      <c r="SS294" s="33"/>
      <c r="ST294" s="33"/>
      <c r="SU294" s="33"/>
      <c r="SV294" s="33"/>
      <c r="SW294" s="33"/>
      <c r="SX294" s="33"/>
      <c r="SY294" s="33"/>
      <c r="SZ294" s="33"/>
      <c r="TA294" s="33"/>
      <c r="TB294" s="33"/>
      <c r="TC294" s="33"/>
      <c r="TD294" s="33"/>
      <c r="TE294" s="33"/>
      <c r="TF294" s="33"/>
      <c r="TG294" s="33"/>
    </row>
    <row r="295" spans="1:527" s="27" customFormat="1" ht="25.5" customHeight="1" x14ac:dyDescent="0.2">
      <c r="A295" s="70"/>
      <c r="B295" s="71"/>
      <c r="C295" s="72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  <c r="FY295" s="32"/>
      <c r="FZ295" s="32"/>
      <c r="GA295" s="32"/>
      <c r="GB295" s="32"/>
      <c r="GC295" s="32"/>
      <c r="GD295" s="32"/>
      <c r="GE295" s="32"/>
      <c r="GF295" s="32"/>
      <c r="GG295" s="32"/>
      <c r="GH295" s="32"/>
      <c r="GI295" s="32"/>
      <c r="GJ295" s="32"/>
      <c r="GK295" s="32"/>
      <c r="GL295" s="32"/>
      <c r="GM295" s="32"/>
      <c r="GN295" s="32"/>
      <c r="GO295" s="32"/>
      <c r="GP295" s="32"/>
      <c r="GQ295" s="32"/>
      <c r="GR295" s="32"/>
      <c r="GS295" s="32"/>
      <c r="GT295" s="32"/>
      <c r="GU295" s="32"/>
      <c r="GV295" s="32"/>
      <c r="GW295" s="32"/>
      <c r="GX295" s="32"/>
      <c r="GY295" s="32"/>
      <c r="GZ295" s="32"/>
      <c r="HA295" s="32"/>
      <c r="HB295" s="32"/>
      <c r="HC295" s="32"/>
      <c r="HD295" s="32"/>
      <c r="HE295" s="32"/>
      <c r="HF295" s="32"/>
      <c r="HG295" s="32"/>
      <c r="HH295" s="32"/>
      <c r="HI295" s="32"/>
      <c r="HJ295" s="32"/>
      <c r="HK295" s="32"/>
      <c r="HL295" s="32"/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2"/>
      <c r="IC295" s="32"/>
      <c r="ID295" s="32"/>
      <c r="IE295" s="32"/>
      <c r="IF295" s="32"/>
      <c r="IG295" s="32"/>
      <c r="IH295" s="32"/>
      <c r="II295" s="32"/>
      <c r="IJ295" s="32"/>
      <c r="IK295" s="32"/>
      <c r="IL295" s="32"/>
      <c r="IM295" s="32"/>
      <c r="IN295" s="32"/>
      <c r="IO295" s="32"/>
      <c r="IP295" s="32"/>
      <c r="IQ295" s="32"/>
      <c r="IR295" s="32"/>
      <c r="IS295" s="32"/>
      <c r="IT295" s="32"/>
      <c r="IU295" s="32"/>
      <c r="IV295" s="32"/>
      <c r="IW295" s="32"/>
      <c r="IX295" s="32"/>
      <c r="IY295" s="32"/>
      <c r="IZ295" s="32"/>
      <c r="JA295" s="32"/>
      <c r="JB295" s="32"/>
      <c r="JC295" s="32"/>
      <c r="JD295" s="32"/>
      <c r="JE295" s="32"/>
      <c r="JF295" s="32"/>
      <c r="JG295" s="32"/>
      <c r="JH295" s="32"/>
      <c r="JI295" s="32"/>
      <c r="JJ295" s="32"/>
      <c r="JK295" s="32"/>
      <c r="JL295" s="32"/>
      <c r="JM295" s="32"/>
      <c r="JN295" s="32"/>
      <c r="JO295" s="32"/>
      <c r="JP295" s="32"/>
      <c r="JQ295" s="32"/>
      <c r="JR295" s="32"/>
      <c r="JS295" s="32"/>
      <c r="JT295" s="32"/>
      <c r="JU295" s="32"/>
      <c r="JV295" s="32"/>
      <c r="JW295" s="32"/>
      <c r="JX295" s="32"/>
      <c r="JY295" s="32"/>
      <c r="JZ295" s="32"/>
      <c r="KA295" s="32"/>
      <c r="KB295" s="32"/>
      <c r="KC295" s="32"/>
      <c r="KD295" s="32"/>
      <c r="KE295" s="32"/>
      <c r="KF295" s="32"/>
      <c r="KG295" s="32"/>
      <c r="KH295" s="32"/>
      <c r="KI295" s="32"/>
      <c r="KJ295" s="32"/>
      <c r="KK295" s="32"/>
      <c r="KL295" s="32"/>
      <c r="KM295" s="32"/>
      <c r="KN295" s="32"/>
      <c r="KO295" s="32"/>
      <c r="KP295" s="32"/>
      <c r="KQ295" s="32"/>
      <c r="KR295" s="32"/>
      <c r="KS295" s="32"/>
      <c r="KT295" s="32"/>
      <c r="KU295" s="32"/>
      <c r="KV295" s="32"/>
      <c r="KW295" s="32"/>
      <c r="KX295" s="32"/>
      <c r="KY295" s="32"/>
      <c r="KZ295" s="32"/>
      <c r="LA295" s="32"/>
      <c r="LB295" s="32"/>
      <c r="LC295" s="32"/>
      <c r="LD295" s="32"/>
      <c r="LE295" s="32"/>
      <c r="LF295" s="32"/>
      <c r="LG295" s="32"/>
      <c r="LH295" s="32"/>
      <c r="LI295" s="32"/>
      <c r="LJ295" s="32"/>
      <c r="LK295" s="32"/>
      <c r="LL295" s="32"/>
      <c r="LM295" s="32"/>
      <c r="LN295" s="32"/>
      <c r="LO295" s="32"/>
      <c r="LP295" s="32"/>
      <c r="LQ295" s="32"/>
      <c r="LR295" s="32"/>
      <c r="LS295" s="32"/>
      <c r="LT295" s="32"/>
      <c r="LU295" s="32"/>
      <c r="LV295" s="32"/>
      <c r="LW295" s="32"/>
      <c r="LX295" s="32"/>
      <c r="LY295" s="32"/>
      <c r="LZ295" s="32"/>
      <c r="MA295" s="32"/>
      <c r="MB295" s="32"/>
      <c r="MC295" s="32"/>
      <c r="MD295" s="32"/>
      <c r="ME295" s="32"/>
      <c r="MF295" s="32"/>
      <c r="MG295" s="32"/>
      <c r="MH295" s="32"/>
      <c r="MI295" s="32"/>
      <c r="MJ295" s="32"/>
      <c r="MK295" s="32"/>
      <c r="ML295" s="32"/>
      <c r="MM295" s="32"/>
      <c r="MN295" s="32"/>
      <c r="MO295" s="32"/>
      <c r="MP295" s="32"/>
      <c r="MQ295" s="32"/>
      <c r="MR295" s="32"/>
      <c r="MS295" s="32"/>
      <c r="MT295" s="32"/>
      <c r="MU295" s="32"/>
      <c r="MV295" s="32"/>
      <c r="MW295" s="32"/>
      <c r="MX295" s="32"/>
      <c r="MY295" s="32"/>
      <c r="MZ295" s="32"/>
      <c r="NA295" s="32"/>
      <c r="NB295" s="32"/>
      <c r="NC295" s="32"/>
      <c r="ND295" s="32"/>
      <c r="NE295" s="32"/>
      <c r="NF295" s="32"/>
      <c r="NG295" s="32"/>
      <c r="NH295" s="32"/>
      <c r="NI295" s="32"/>
      <c r="NJ295" s="32"/>
      <c r="NK295" s="32"/>
      <c r="NL295" s="32"/>
      <c r="NM295" s="32"/>
      <c r="NN295" s="32"/>
      <c r="NO295" s="32"/>
      <c r="NP295" s="32"/>
      <c r="NQ295" s="32"/>
      <c r="NR295" s="32"/>
      <c r="NS295" s="32"/>
      <c r="NT295" s="32"/>
      <c r="NU295" s="32"/>
      <c r="NV295" s="32"/>
      <c r="NW295" s="32"/>
      <c r="NX295" s="32"/>
      <c r="NY295" s="32"/>
      <c r="NZ295" s="32"/>
      <c r="OA295" s="32"/>
      <c r="OB295" s="32"/>
      <c r="OC295" s="32"/>
      <c r="OD295" s="32"/>
      <c r="OE295" s="32"/>
      <c r="OF295" s="32"/>
      <c r="OG295" s="32"/>
      <c r="OH295" s="32"/>
      <c r="OI295" s="32"/>
      <c r="OJ295" s="32"/>
      <c r="OK295" s="32"/>
      <c r="OL295" s="32"/>
      <c r="OM295" s="32"/>
      <c r="ON295" s="32"/>
      <c r="OO295" s="32"/>
      <c r="OP295" s="32"/>
      <c r="OQ295" s="32"/>
      <c r="OR295" s="32"/>
      <c r="OS295" s="32"/>
      <c r="OT295" s="32"/>
      <c r="OU295" s="32"/>
      <c r="OV295" s="32"/>
      <c r="OW295" s="32"/>
      <c r="OX295" s="32"/>
      <c r="OY295" s="32"/>
      <c r="OZ295" s="32"/>
      <c r="PA295" s="32"/>
      <c r="PB295" s="32"/>
      <c r="PC295" s="32"/>
      <c r="PD295" s="32"/>
      <c r="PE295" s="32"/>
      <c r="PF295" s="32"/>
      <c r="PG295" s="32"/>
      <c r="PH295" s="32"/>
      <c r="PI295" s="32"/>
      <c r="PJ295" s="32"/>
      <c r="PK295" s="32"/>
      <c r="PL295" s="32"/>
      <c r="PM295" s="32"/>
      <c r="PN295" s="32"/>
      <c r="PO295" s="32"/>
      <c r="PP295" s="32"/>
      <c r="PQ295" s="32"/>
      <c r="PR295" s="32"/>
      <c r="PS295" s="32"/>
      <c r="PT295" s="32"/>
      <c r="PU295" s="32"/>
      <c r="PV295" s="32"/>
      <c r="PW295" s="32"/>
      <c r="PX295" s="32"/>
      <c r="PY295" s="32"/>
      <c r="PZ295" s="32"/>
      <c r="QA295" s="32"/>
      <c r="QB295" s="32"/>
      <c r="QC295" s="32"/>
      <c r="QD295" s="32"/>
      <c r="QE295" s="32"/>
      <c r="QF295" s="32"/>
      <c r="QG295" s="32"/>
      <c r="QH295" s="32"/>
      <c r="QI295" s="32"/>
      <c r="QJ295" s="32"/>
      <c r="QK295" s="32"/>
      <c r="QL295" s="32"/>
      <c r="QM295" s="32"/>
      <c r="QN295" s="32"/>
      <c r="QO295" s="32"/>
      <c r="QP295" s="32"/>
      <c r="QQ295" s="32"/>
      <c r="QR295" s="32"/>
      <c r="QS295" s="32"/>
      <c r="QT295" s="32"/>
      <c r="QU295" s="32"/>
      <c r="QV295" s="32"/>
      <c r="QW295" s="32"/>
      <c r="QX295" s="32"/>
      <c r="QY295" s="32"/>
      <c r="QZ295" s="32"/>
      <c r="RA295" s="32"/>
      <c r="RB295" s="32"/>
      <c r="RC295" s="32"/>
      <c r="RD295" s="32"/>
      <c r="RE295" s="32"/>
      <c r="RF295" s="32"/>
      <c r="RG295" s="32"/>
      <c r="RH295" s="32"/>
      <c r="RI295" s="32"/>
      <c r="RJ295" s="32"/>
      <c r="RK295" s="32"/>
      <c r="RL295" s="32"/>
      <c r="RM295" s="32"/>
      <c r="RN295" s="32"/>
      <c r="RO295" s="32"/>
      <c r="RP295" s="32"/>
      <c r="RQ295" s="32"/>
      <c r="RR295" s="32"/>
      <c r="RS295" s="32"/>
      <c r="RT295" s="32"/>
      <c r="RU295" s="32"/>
      <c r="RV295" s="32"/>
      <c r="RW295" s="32"/>
      <c r="RX295" s="32"/>
      <c r="RY295" s="32"/>
      <c r="RZ295" s="32"/>
      <c r="SA295" s="32"/>
      <c r="SB295" s="32"/>
      <c r="SC295" s="32"/>
      <c r="SD295" s="32"/>
      <c r="SE295" s="32"/>
      <c r="SF295" s="32"/>
      <c r="SG295" s="32"/>
      <c r="SH295" s="32"/>
      <c r="SI295" s="32"/>
      <c r="SJ295" s="32"/>
      <c r="SK295" s="32"/>
      <c r="SL295" s="32"/>
      <c r="SM295" s="32"/>
      <c r="SN295" s="32"/>
      <c r="SO295" s="32"/>
      <c r="SP295" s="32"/>
      <c r="SQ295" s="32"/>
      <c r="SR295" s="32"/>
      <c r="SS295" s="32"/>
      <c r="ST295" s="32"/>
      <c r="SU295" s="32"/>
      <c r="SV295" s="32"/>
      <c r="SW295" s="32"/>
      <c r="SX295" s="32"/>
      <c r="SY295" s="32"/>
      <c r="SZ295" s="32"/>
      <c r="TA295" s="32"/>
      <c r="TB295" s="32"/>
      <c r="TC295" s="32"/>
      <c r="TD295" s="32"/>
      <c r="TE295" s="32"/>
      <c r="TF295" s="32"/>
      <c r="TG295" s="32"/>
    </row>
    <row r="296" spans="1:527" s="27" customFormat="1" ht="25.5" customHeight="1" x14ac:dyDescent="0.2">
      <c r="A296" s="70"/>
      <c r="B296" s="71"/>
      <c r="C296" s="72"/>
      <c r="D296" s="73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  <c r="IQ296" s="32"/>
      <c r="IR296" s="32"/>
      <c r="IS296" s="32"/>
      <c r="IT296" s="32"/>
      <c r="IU296" s="32"/>
      <c r="IV296" s="32"/>
      <c r="IW296" s="32"/>
      <c r="IX296" s="32"/>
      <c r="IY296" s="32"/>
      <c r="IZ296" s="32"/>
      <c r="JA296" s="32"/>
      <c r="JB296" s="32"/>
      <c r="JC296" s="32"/>
      <c r="JD296" s="32"/>
      <c r="JE296" s="32"/>
      <c r="JF296" s="32"/>
      <c r="JG296" s="32"/>
      <c r="JH296" s="32"/>
      <c r="JI296" s="32"/>
      <c r="JJ296" s="32"/>
      <c r="JK296" s="32"/>
      <c r="JL296" s="32"/>
      <c r="JM296" s="32"/>
      <c r="JN296" s="32"/>
      <c r="JO296" s="32"/>
      <c r="JP296" s="32"/>
      <c r="JQ296" s="32"/>
      <c r="JR296" s="32"/>
      <c r="JS296" s="32"/>
      <c r="JT296" s="32"/>
      <c r="JU296" s="32"/>
      <c r="JV296" s="32"/>
      <c r="JW296" s="32"/>
      <c r="JX296" s="32"/>
      <c r="JY296" s="32"/>
      <c r="JZ296" s="32"/>
      <c r="KA296" s="32"/>
      <c r="KB296" s="32"/>
      <c r="KC296" s="32"/>
      <c r="KD296" s="32"/>
      <c r="KE296" s="32"/>
      <c r="KF296" s="32"/>
      <c r="KG296" s="32"/>
      <c r="KH296" s="32"/>
      <c r="KI296" s="32"/>
      <c r="KJ296" s="32"/>
      <c r="KK296" s="32"/>
      <c r="KL296" s="32"/>
      <c r="KM296" s="32"/>
      <c r="KN296" s="32"/>
      <c r="KO296" s="32"/>
      <c r="KP296" s="32"/>
      <c r="KQ296" s="32"/>
      <c r="KR296" s="32"/>
      <c r="KS296" s="32"/>
      <c r="KT296" s="32"/>
      <c r="KU296" s="32"/>
      <c r="KV296" s="32"/>
      <c r="KW296" s="32"/>
      <c r="KX296" s="32"/>
      <c r="KY296" s="32"/>
      <c r="KZ296" s="32"/>
      <c r="LA296" s="32"/>
      <c r="LB296" s="32"/>
      <c r="LC296" s="32"/>
      <c r="LD296" s="32"/>
      <c r="LE296" s="32"/>
      <c r="LF296" s="32"/>
      <c r="LG296" s="32"/>
      <c r="LH296" s="32"/>
      <c r="LI296" s="32"/>
      <c r="LJ296" s="32"/>
      <c r="LK296" s="32"/>
      <c r="LL296" s="32"/>
      <c r="LM296" s="32"/>
      <c r="LN296" s="32"/>
      <c r="LO296" s="32"/>
      <c r="LP296" s="32"/>
      <c r="LQ296" s="32"/>
      <c r="LR296" s="32"/>
      <c r="LS296" s="32"/>
      <c r="LT296" s="32"/>
      <c r="LU296" s="32"/>
      <c r="LV296" s="32"/>
      <c r="LW296" s="32"/>
      <c r="LX296" s="32"/>
      <c r="LY296" s="32"/>
      <c r="LZ296" s="32"/>
      <c r="MA296" s="32"/>
      <c r="MB296" s="32"/>
      <c r="MC296" s="32"/>
      <c r="MD296" s="32"/>
      <c r="ME296" s="32"/>
      <c r="MF296" s="32"/>
      <c r="MG296" s="32"/>
      <c r="MH296" s="32"/>
      <c r="MI296" s="32"/>
      <c r="MJ296" s="32"/>
      <c r="MK296" s="32"/>
      <c r="ML296" s="32"/>
      <c r="MM296" s="32"/>
      <c r="MN296" s="32"/>
      <c r="MO296" s="32"/>
      <c r="MP296" s="32"/>
      <c r="MQ296" s="32"/>
      <c r="MR296" s="32"/>
      <c r="MS296" s="32"/>
      <c r="MT296" s="32"/>
      <c r="MU296" s="32"/>
      <c r="MV296" s="32"/>
      <c r="MW296" s="32"/>
      <c r="MX296" s="32"/>
      <c r="MY296" s="32"/>
      <c r="MZ296" s="32"/>
      <c r="NA296" s="32"/>
      <c r="NB296" s="32"/>
      <c r="NC296" s="32"/>
      <c r="ND296" s="32"/>
      <c r="NE296" s="32"/>
      <c r="NF296" s="32"/>
      <c r="NG296" s="32"/>
      <c r="NH296" s="32"/>
      <c r="NI296" s="32"/>
      <c r="NJ296" s="32"/>
      <c r="NK296" s="32"/>
      <c r="NL296" s="32"/>
      <c r="NM296" s="32"/>
      <c r="NN296" s="32"/>
      <c r="NO296" s="32"/>
      <c r="NP296" s="32"/>
      <c r="NQ296" s="32"/>
      <c r="NR296" s="32"/>
      <c r="NS296" s="32"/>
      <c r="NT296" s="32"/>
      <c r="NU296" s="32"/>
      <c r="NV296" s="32"/>
      <c r="NW296" s="32"/>
      <c r="NX296" s="32"/>
      <c r="NY296" s="32"/>
      <c r="NZ296" s="32"/>
      <c r="OA296" s="32"/>
      <c r="OB296" s="32"/>
      <c r="OC296" s="32"/>
      <c r="OD296" s="32"/>
      <c r="OE296" s="32"/>
      <c r="OF296" s="32"/>
      <c r="OG296" s="32"/>
      <c r="OH296" s="32"/>
      <c r="OI296" s="32"/>
      <c r="OJ296" s="32"/>
      <c r="OK296" s="32"/>
      <c r="OL296" s="32"/>
      <c r="OM296" s="32"/>
      <c r="ON296" s="32"/>
      <c r="OO296" s="32"/>
      <c r="OP296" s="32"/>
      <c r="OQ296" s="32"/>
      <c r="OR296" s="32"/>
      <c r="OS296" s="32"/>
      <c r="OT296" s="32"/>
      <c r="OU296" s="32"/>
      <c r="OV296" s="32"/>
      <c r="OW296" s="32"/>
      <c r="OX296" s="32"/>
      <c r="OY296" s="32"/>
      <c r="OZ296" s="32"/>
      <c r="PA296" s="32"/>
      <c r="PB296" s="32"/>
      <c r="PC296" s="32"/>
      <c r="PD296" s="32"/>
      <c r="PE296" s="32"/>
      <c r="PF296" s="32"/>
      <c r="PG296" s="32"/>
      <c r="PH296" s="32"/>
      <c r="PI296" s="32"/>
      <c r="PJ296" s="32"/>
      <c r="PK296" s="32"/>
      <c r="PL296" s="32"/>
      <c r="PM296" s="32"/>
      <c r="PN296" s="32"/>
      <c r="PO296" s="32"/>
      <c r="PP296" s="32"/>
      <c r="PQ296" s="32"/>
      <c r="PR296" s="32"/>
      <c r="PS296" s="32"/>
      <c r="PT296" s="32"/>
      <c r="PU296" s="32"/>
      <c r="PV296" s="32"/>
      <c r="PW296" s="32"/>
      <c r="PX296" s="32"/>
      <c r="PY296" s="32"/>
      <c r="PZ296" s="32"/>
      <c r="QA296" s="32"/>
      <c r="QB296" s="32"/>
      <c r="QC296" s="32"/>
      <c r="QD296" s="32"/>
      <c r="QE296" s="32"/>
      <c r="QF296" s="32"/>
      <c r="QG296" s="32"/>
      <c r="QH296" s="32"/>
      <c r="QI296" s="32"/>
      <c r="QJ296" s="32"/>
      <c r="QK296" s="32"/>
      <c r="QL296" s="32"/>
      <c r="QM296" s="32"/>
      <c r="QN296" s="32"/>
      <c r="QO296" s="32"/>
      <c r="QP296" s="32"/>
      <c r="QQ296" s="32"/>
      <c r="QR296" s="32"/>
      <c r="QS296" s="32"/>
      <c r="QT296" s="32"/>
      <c r="QU296" s="32"/>
      <c r="QV296" s="32"/>
      <c r="QW296" s="32"/>
      <c r="QX296" s="32"/>
      <c r="QY296" s="32"/>
      <c r="QZ296" s="32"/>
      <c r="RA296" s="32"/>
      <c r="RB296" s="32"/>
      <c r="RC296" s="32"/>
      <c r="RD296" s="32"/>
      <c r="RE296" s="32"/>
      <c r="RF296" s="32"/>
      <c r="RG296" s="32"/>
      <c r="RH296" s="32"/>
      <c r="RI296" s="32"/>
      <c r="RJ296" s="32"/>
      <c r="RK296" s="32"/>
      <c r="RL296" s="32"/>
      <c r="RM296" s="32"/>
      <c r="RN296" s="32"/>
      <c r="RO296" s="32"/>
      <c r="RP296" s="32"/>
      <c r="RQ296" s="32"/>
      <c r="RR296" s="32"/>
      <c r="RS296" s="32"/>
      <c r="RT296" s="32"/>
      <c r="RU296" s="32"/>
      <c r="RV296" s="32"/>
      <c r="RW296" s="32"/>
      <c r="RX296" s="32"/>
      <c r="RY296" s="32"/>
      <c r="RZ296" s="32"/>
      <c r="SA296" s="32"/>
      <c r="SB296" s="32"/>
      <c r="SC296" s="32"/>
      <c r="SD296" s="32"/>
      <c r="SE296" s="32"/>
      <c r="SF296" s="32"/>
      <c r="SG296" s="32"/>
      <c r="SH296" s="32"/>
      <c r="SI296" s="32"/>
      <c r="SJ296" s="32"/>
      <c r="SK296" s="32"/>
      <c r="SL296" s="32"/>
      <c r="SM296" s="32"/>
      <c r="SN296" s="32"/>
      <c r="SO296" s="32"/>
      <c r="SP296" s="32"/>
      <c r="SQ296" s="32"/>
      <c r="SR296" s="32"/>
      <c r="SS296" s="32"/>
      <c r="ST296" s="32"/>
      <c r="SU296" s="32"/>
      <c r="SV296" s="32"/>
      <c r="SW296" s="32"/>
      <c r="SX296" s="32"/>
      <c r="SY296" s="32"/>
      <c r="SZ296" s="32"/>
      <c r="TA296" s="32"/>
      <c r="TB296" s="32"/>
      <c r="TC296" s="32"/>
      <c r="TD296" s="32"/>
      <c r="TE296" s="32"/>
      <c r="TF296" s="32"/>
      <c r="TG296" s="32"/>
    </row>
    <row r="297" spans="1:527" s="27" customFormat="1" ht="25.5" customHeight="1" x14ac:dyDescent="0.2">
      <c r="A297" s="70"/>
      <c r="B297" s="71"/>
      <c r="C297" s="72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  <c r="IP297" s="32"/>
      <c r="IQ297" s="32"/>
      <c r="IR297" s="32"/>
      <c r="IS297" s="32"/>
      <c r="IT297" s="32"/>
      <c r="IU297" s="32"/>
      <c r="IV297" s="32"/>
      <c r="IW297" s="32"/>
      <c r="IX297" s="32"/>
      <c r="IY297" s="32"/>
      <c r="IZ297" s="32"/>
      <c r="JA297" s="32"/>
      <c r="JB297" s="32"/>
      <c r="JC297" s="32"/>
      <c r="JD297" s="32"/>
      <c r="JE297" s="32"/>
      <c r="JF297" s="32"/>
      <c r="JG297" s="32"/>
      <c r="JH297" s="32"/>
      <c r="JI297" s="32"/>
      <c r="JJ297" s="32"/>
      <c r="JK297" s="32"/>
      <c r="JL297" s="32"/>
      <c r="JM297" s="32"/>
      <c r="JN297" s="32"/>
      <c r="JO297" s="32"/>
      <c r="JP297" s="32"/>
      <c r="JQ297" s="32"/>
      <c r="JR297" s="32"/>
      <c r="JS297" s="32"/>
      <c r="JT297" s="32"/>
      <c r="JU297" s="32"/>
      <c r="JV297" s="32"/>
      <c r="JW297" s="32"/>
      <c r="JX297" s="32"/>
      <c r="JY297" s="32"/>
      <c r="JZ297" s="32"/>
      <c r="KA297" s="32"/>
      <c r="KB297" s="32"/>
      <c r="KC297" s="32"/>
      <c r="KD297" s="32"/>
      <c r="KE297" s="32"/>
      <c r="KF297" s="32"/>
      <c r="KG297" s="32"/>
      <c r="KH297" s="32"/>
      <c r="KI297" s="32"/>
      <c r="KJ297" s="32"/>
      <c r="KK297" s="32"/>
      <c r="KL297" s="32"/>
      <c r="KM297" s="32"/>
      <c r="KN297" s="32"/>
      <c r="KO297" s="32"/>
      <c r="KP297" s="32"/>
      <c r="KQ297" s="32"/>
      <c r="KR297" s="32"/>
      <c r="KS297" s="32"/>
      <c r="KT297" s="32"/>
      <c r="KU297" s="32"/>
      <c r="KV297" s="32"/>
      <c r="KW297" s="32"/>
      <c r="KX297" s="32"/>
      <c r="KY297" s="32"/>
      <c r="KZ297" s="32"/>
      <c r="LA297" s="32"/>
      <c r="LB297" s="32"/>
      <c r="LC297" s="32"/>
      <c r="LD297" s="32"/>
      <c r="LE297" s="32"/>
      <c r="LF297" s="32"/>
      <c r="LG297" s="32"/>
      <c r="LH297" s="32"/>
      <c r="LI297" s="32"/>
      <c r="LJ297" s="32"/>
      <c r="LK297" s="32"/>
      <c r="LL297" s="32"/>
      <c r="LM297" s="32"/>
      <c r="LN297" s="32"/>
      <c r="LO297" s="32"/>
      <c r="LP297" s="32"/>
      <c r="LQ297" s="32"/>
      <c r="LR297" s="32"/>
      <c r="LS297" s="32"/>
      <c r="LT297" s="32"/>
      <c r="LU297" s="32"/>
      <c r="LV297" s="32"/>
      <c r="LW297" s="32"/>
      <c r="LX297" s="32"/>
      <c r="LY297" s="32"/>
      <c r="LZ297" s="32"/>
      <c r="MA297" s="32"/>
      <c r="MB297" s="32"/>
      <c r="MC297" s="32"/>
      <c r="MD297" s="32"/>
      <c r="ME297" s="32"/>
      <c r="MF297" s="32"/>
      <c r="MG297" s="32"/>
      <c r="MH297" s="32"/>
      <c r="MI297" s="32"/>
      <c r="MJ297" s="32"/>
      <c r="MK297" s="32"/>
      <c r="ML297" s="32"/>
      <c r="MM297" s="32"/>
      <c r="MN297" s="32"/>
      <c r="MO297" s="32"/>
      <c r="MP297" s="32"/>
      <c r="MQ297" s="32"/>
      <c r="MR297" s="32"/>
      <c r="MS297" s="32"/>
      <c r="MT297" s="32"/>
      <c r="MU297" s="32"/>
      <c r="MV297" s="32"/>
      <c r="MW297" s="32"/>
      <c r="MX297" s="32"/>
      <c r="MY297" s="32"/>
      <c r="MZ297" s="32"/>
      <c r="NA297" s="32"/>
      <c r="NB297" s="32"/>
      <c r="NC297" s="32"/>
      <c r="ND297" s="32"/>
      <c r="NE297" s="32"/>
      <c r="NF297" s="32"/>
      <c r="NG297" s="32"/>
      <c r="NH297" s="32"/>
      <c r="NI297" s="32"/>
      <c r="NJ297" s="32"/>
      <c r="NK297" s="32"/>
      <c r="NL297" s="32"/>
      <c r="NM297" s="32"/>
      <c r="NN297" s="32"/>
      <c r="NO297" s="32"/>
      <c r="NP297" s="32"/>
      <c r="NQ297" s="32"/>
      <c r="NR297" s="32"/>
      <c r="NS297" s="32"/>
      <c r="NT297" s="32"/>
      <c r="NU297" s="32"/>
      <c r="NV297" s="32"/>
      <c r="NW297" s="32"/>
      <c r="NX297" s="32"/>
      <c r="NY297" s="32"/>
      <c r="NZ297" s="32"/>
      <c r="OA297" s="32"/>
      <c r="OB297" s="32"/>
      <c r="OC297" s="32"/>
      <c r="OD297" s="32"/>
      <c r="OE297" s="32"/>
      <c r="OF297" s="32"/>
      <c r="OG297" s="32"/>
      <c r="OH297" s="32"/>
      <c r="OI297" s="32"/>
      <c r="OJ297" s="32"/>
      <c r="OK297" s="32"/>
      <c r="OL297" s="32"/>
      <c r="OM297" s="32"/>
      <c r="ON297" s="32"/>
      <c r="OO297" s="32"/>
      <c r="OP297" s="32"/>
      <c r="OQ297" s="32"/>
      <c r="OR297" s="32"/>
      <c r="OS297" s="32"/>
      <c r="OT297" s="32"/>
      <c r="OU297" s="32"/>
      <c r="OV297" s="32"/>
      <c r="OW297" s="32"/>
      <c r="OX297" s="32"/>
      <c r="OY297" s="32"/>
      <c r="OZ297" s="32"/>
      <c r="PA297" s="32"/>
      <c r="PB297" s="32"/>
      <c r="PC297" s="32"/>
      <c r="PD297" s="32"/>
      <c r="PE297" s="32"/>
      <c r="PF297" s="32"/>
      <c r="PG297" s="32"/>
      <c r="PH297" s="32"/>
      <c r="PI297" s="32"/>
      <c r="PJ297" s="32"/>
      <c r="PK297" s="32"/>
      <c r="PL297" s="32"/>
      <c r="PM297" s="32"/>
      <c r="PN297" s="32"/>
      <c r="PO297" s="32"/>
      <c r="PP297" s="32"/>
      <c r="PQ297" s="32"/>
      <c r="PR297" s="32"/>
      <c r="PS297" s="32"/>
      <c r="PT297" s="32"/>
      <c r="PU297" s="32"/>
      <c r="PV297" s="32"/>
      <c r="PW297" s="32"/>
      <c r="PX297" s="32"/>
      <c r="PY297" s="32"/>
      <c r="PZ297" s="32"/>
      <c r="QA297" s="32"/>
      <c r="QB297" s="32"/>
      <c r="QC297" s="32"/>
      <c r="QD297" s="32"/>
      <c r="QE297" s="32"/>
      <c r="QF297" s="32"/>
      <c r="QG297" s="32"/>
      <c r="QH297" s="32"/>
      <c r="QI297" s="32"/>
      <c r="QJ297" s="32"/>
      <c r="QK297" s="32"/>
      <c r="QL297" s="32"/>
      <c r="QM297" s="32"/>
      <c r="QN297" s="32"/>
      <c r="QO297" s="32"/>
      <c r="QP297" s="32"/>
      <c r="QQ297" s="32"/>
      <c r="QR297" s="32"/>
      <c r="QS297" s="32"/>
      <c r="QT297" s="32"/>
      <c r="QU297" s="32"/>
      <c r="QV297" s="32"/>
      <c r="QW297" s="32"/>
      <c r="QX297" s="32"/>
      <c r="QY297" s="32"/>
      <c r="QZ297" s="32"/>
      <c r="RA297" s="32"/>
      <c r="RB297" s="32"/>
      <c r="RC297" s="32"/>
      <c r="RD297" s="32"/>
      <c r="RE297" s="32"/>
      <c r="RF297" s="32"/>
      <c r="RG297" s="32"/>
      <c r="RH297" s="32"/>
      <c r="RI297" s="32"/>
      <c r="RJ297" s="32"/>
      <c r="RK297" s="32"/>
      <c r="RL297" s="32"/>
      <c r="RM297" s="32"/>
      <c r="RN297" s="32"/>
      <c r="RO297" s="32"/>
      <c r="RP297" s="32"/>
      <c r="RQ297" s="32"/>
      <c r="RR297" s="32"/>
      <c r="RS297" s="32"/>
      <c r="RT297" s="32"/>
      <c r="RU297" s="32"/>
      <c r="RV297" s="32"/>
      <c r="RW297" s="32"/>
      <c r="RX297" s="32"/>
      <c r="RY297" s="32"/>
      <c r="RZ297" s="32"/>
      <c r="SA297" s="32"/>
      <c r="SB297" s="32"/>
      <c r="SC297" s="32"/>
      <c r="SD297" s="32"/>
      <c r="SE297" s="32"/>
      <c r="SF297" s="32"/>
      <c r="SG297" s="32"/>
      <c r="SH297" s="32"/>
      <c r="SI297" s="32"/>
      <c r="SJ297" s="32"/>
      <c r="SK297" s="32"/>
      <c r="SL297" s="32"/>
      <c r="SM297" s="32"/>
      <c r="SN297" s="32"/>
      <c r="SO297" s="32"/>
      <c r="SP297" s="32"/>
      <c r="SQ297" s="32"/>
      <c r="SR297" s="32"/>
      <c r="SS297" s="32"/>
      <c r="ST297" s="32"/>
      <c r="SU297" s="32"/>
      <c r="SV297" s="32"/>
      <c r="SW297" s="32"/>
      <c r="SX297" s="32"/>
      <c r="SY297" s="32"/>
      <c r="SZ297" s="32"/>
      <c r="TA297" s="32"/>
      <c r="TB297" s="32"/>
      <c r="TC297" s="32"/>
      <c r="TD297" s="32"/>
      <c r="TE297" s="32"/>
      <c r="TF297" s="32"/>
      <c r="TG297" s="32"/>
    </row>
    <row r="298" spans="1:527" s="27" customFormat="1" ht="25.5" customHeight="1" x14ac:dyDescent="0.2">
      <c r="A298" s="70"/>
      <c r="B298" s="71"/>
      <c r="C298" s="72"/>
      <c r="D298" s="73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  <c r="IP298" s="32"/>
      <c r="IQ298" s="32"/>
      <c r="IR298" s="32"/>
      <c r="IS298" s="32"/>
      <c r="IT298" s="32"/>
      <c r="IU298" s="32"/>
      <c r="IV298" s="32"/>
      <c r="IW298" s="32"/>
      <c r="IX298" s="32"/>
      <c r="IY298" s="32"/>
      <c r="IZ298" s="32"/>
      <c r="JA298" s="32"/>
      <c r="JB298" s="32"/>
      <c r="JC298" s="32"/>
      <c r="JD298" s="32"/>
      <c r="JE298" s="32"/>
      <c r="JF298" s="32"/>
      <c r="JG298" s="32"/>
      <c r="JH298" s="32"/>
      <c r="JI298" s="32"/>
      <c r="JJ298" s="32"/>
      <c r="JK298" s="32"/>
      <c r="JL298" s="32"/>
      <c r="JM298" s="32"/>
      <c r="JN298" s="32"/>
      <c r="JO298" s="32"/>
      <c r="JP298" s="32"/>
      <c r="JQ298" s="32"/>
      <c r="JR298" s="32"/>
      <c r="JS298" s="32"/>
      <c r="JT298" s="32"/>
      <c r="JU298" s="32"/>
      <c r="JV298" s="32"/>
      <c r="JW298" s="32"/>
      <c r="JX298" s="32"/>
      <c r="JY298" s="32"/>
      <c r="JZ298" s="32"/>
      <c r="KA298" s="32"/>
      <c r="KB298" s="32"/>
      <c r="KC298" s="32"/>
      <c r="KD298" s="32"/>
      <c r="KE298" s="32"/>
      <c r="KF298" s="32"/>
      <c r="KG298" s="32"/>
      <c r="KH298" s="32"/>
      <c r="KI298" s="32"/>
      <c r="KJ298" s="32"/>
      <c r="KK298" s="32"/>
      <c r="KL298" s="32"/>
      <c r="KM298" s="32"/>
      <c r="KN298" s="32"/>
      <c r="KO298" s="32"/>
      <c r="KP298" s="32"/>
      <c r="KQ298" s="32"/>
      <c r="KR298" s="32"/>
      <c r="KS298" s="32"/>
      <c r="KT298" s="32"/>
      <c r="KU298" s="32"/>
      <c r="KV298" s="32"/>
      <c r="KW298" s="32"/>
      <c r="KX298" s="32"/>
      <c r="KY298" s="32"/>
      <c r="KZ298" s="32"/>
      <c r="LA298" s="32"/>
      <c r="LB298" s="32"/>
      <c r="LC298" s="32"/>
      <c r="LD298" s="32"/>
      <c r="LE298" s="32"/>
      <c r="LF298" s="32"/>
      <c r="LG298" s="32"/>
      <c r="LH298" s="32"/>
      <c r="LI298" s="32"/>
      <c r="LJ298" s="32"/>
      <c r="LK298" s="32"/>
      <c r="LL298" s="32"/>
      <c r="LM298" s="32"/>
      <c r="LN298" s="32"/>
      <c r="LO298" s="32"/>
      <c r="LP298" s="32"/>
      <c r="LQ298" s="32"/>
      <c r="LR298" s="32"/>
      <c r="LS298" s="32"/>
      <c r="LT298" s="32"/>
      <c r="LU298" s="32"/>
      <c r="LV298" s="32"/>
      <c r="LW298" s="32"/>
      <c r="LX298" s="32"/>
      <c r="LY298" s="32"/>
      <c r="LZ298" s="32"/>
      <c r="MA298" s="32"/>
      <c r="MB298" s="32"/>
      <c r="MC298" s="32"/>
      <c r="MD298" s="32"/>
      <c r="ME298" s="32"/>
      <c r="MF298" s="32"/>
      <c r="MG298" s="32"/>
      <c r="MH298" s="32"/>
      <c r="MI298" s="32"/>
      <c r="MJ298" s="32"/>
      <c r="MK298" s="32"/>
      <c r="ML298" s="32"/>
      <c r="MM298" s="32"/>
      <c r="MN298" s="32"/>
      <c r="MO298" s="32"/>
      <c r="MP298" s="32"/>
      <c r="MQ298" s="32"/>
      <c r="MR298" s="32"/>
      <c r="MS298" s="32"/>
      <c r="MT298" s="32"/>
      <c r="MU298" s="32"/>
      <c r="MV298" s="32"/>
      <c r="MW298" s="32"/>
      <c r="MX298" s="32"/>
      <c r="MY298" s="32"/>
      <c r="MZ298" s="32"/>
      <c r="NA298" s="32"/>
      <c r="NB298" s="32"/>
      <c r="NC298" s="32"/>
      <c r="ND298" s="32"/>
      <c r="NE298" s="32"/>
      <c r="NF298" s="32"/>
      <c r="NG298" s="32"/>
      <c r="NH298" s="32"/>
      <c r="NI298" s="32"/>
      <c r="NJ298" s="32"/>
      <c r="NK298" s="32"/>
      <c r="NL298" s="32"/>
      <c r="NM298" s="32"/>
      <c r="NN298" s="32"/>
      <c r="NO298" s="32"/>
      <c r="NP298" s="32"/>
      <c r="NQ298" s="32"/>
      <c r="NR298" s="32"/>
      <c r="NS298" s="32"/>
      <c r="NT298" s="32"/>
      <c r="NU298" s="32"/>
      <c r="NV298" s="32"/>
      <c r="NW298" s="32"/>
      <c r="NX298" s="32"/>
      <c r="NY298" s="32"/>
      <c r="NZ298" s="32"/>
      <c r="OA298" s="32"/>
      <c r="OB298" s="32"/>
      <c r="OC298" s="32"/>
      <c r="OD298" s="32"/>
      <c r="OE298" s="32"/>
      <c r="OF298" s="32"/>
      <c r="OG298" s="32"/>
      <c r="OH298" s="32"/>
      <c r="OI298" s="32"/>
      <c r="OJ298" s="32"/>
      <c r="OK298" s="32"/>
      <c r="OL298" s="32"/>
      <c r="OM298" s="32"/>
      <c r="ON298" s="32"/>
      <c r="OO298" s="32"/>
      <c r="OP298" s="32"/>
      <c r="OQ298" s="32"/>
      <c r="OR298" s="32"/>
      <c r="OS298" s="32"/>
      <c r="OT298" s="32"/>
      <c r="OU298" s="32"/>
      <c r="OV298" s="32"/>
      <c r="OW298" s="32"/>
      <c r="OX298" s="32"/>
      <c r="OY298" s="32"/>
      <c r="OZ298" s="32"/>
      <c r="PA298" s="32"/>
      <c r="PB298" s="32"/>
      <c r="PC298" s="32"/>
      <c r="PD298" s="32"/>
      <c r="PE298" s="32"/>
      <c r="PF298" s="32"/>
      <c r="PG298" s="32"/>
      <c r="PH298" s="32"/>
      <c r="PI298" s="32"/>
      <c r="PJ298" s="32"/>
      <c r="PK298" s="32"/>
      <c r="PL298" s="32"/>
      <c r="PM298" s="32"/>
      <c r="PN298" s="32"/>
      <c r="PO298" s="32"/>
      <c r="PP298" s="32"/>
      <c r="PQ298" s="32"/>
      <c r="PR298" s="32"/>
      <c r="PS298" s="32"/>
      <c r="PT298" s="32"/>
      <c r="PU298" s="32"/>
      <c r="PV298" s="32"/>
      <c r="PW298" s="32"/>
      <c r="PX298" s="32"/>
      <c r="PY298" s="32"/>
      <c r="PZ298" s="32"/>
      <c r="QA298" s="32"/>
      <c r="QB298" s="32"/>
      <c r="QC298" s="32"/>
      <c r="QD298" s="32"/>
      <c r="QE298" s="32"/>
      <c r="QF298" s="32"/>
      <c r="QG298" s="32"/>
      <c r="QH298" s="32"/>
      <c r="QI298" s="32"/>
      <c r="QJ298" s="32"/>
      <c r="QK298" s="32"/>
      <c r="QL298" s="32"/>
      <c r="QM298" s="32"/>
      <c r="QN298" s="32"/>
      <c r="QO298" s="32"/>
      <c r="QP298" s="32"/>
      <c r="QQ298" s="32"/>
      <c r="QR298" s="32"/>
      <c r="QS298" s="32"/>
      <c r="QT298" s="32"/>
      <c r="QU298" s="32"/>
      <c r="QV298" s="32"/>
      <c r="QW298" s="32"/>
      <c r="QX298" s="32"/>
      <c r="QY298" s="32"/>
      <c r="QZ298" s="32"/>
      <c r="RA298" s="32"/>
      <c r="RB298" s="32"/>
      <c r="RC298" s="32"/>
      <c r="RD298" s="32"/>
      <c r="RE298" s="32"/>
      <c r="RF298" s="32"/>
      <c r="RG298" s="32"/>
      <c r="RH298" s="32"/>
      <c r="RI298" s="32"/>
      <c r="RJ298" s="32"/>
      <c r="RK298" s="32"/>
      <c r="RL298" s="32"/>
      <c r="RM298" s="32"/>
      <c r="RN298" s="32"/>
      <c r="RO298" s="32"/>
      <c r="RP298" s="32"/>
      <c r="RQ298" s="32"/>
      <c r="RR298" s="32"/>
      <c r="RS298" s="32"/>
      <c r="RT298" s="32"/>
      <c r="RU298" s="32"/>
      <c r="RV298" s="32"/>
      <c r="RW298" s="32"/>
      <c r="RX298" s="32"/>
      <c r="RY298" s="32"/>
      <c r="RZ298" s="32"/>
      <c r="SA298" s="32"/>
      <c r="SB298" s="32"/>
      <c r="SC298" s="32"/>
      <c r="SD298" s="32"/>
      <c r="SE298" s="32"/>
      <c r="SF298" s="32"/>
      <c r="SG298" s="32"/>
      <c r="SH298" s="32"/>
      <c r="SI298" s="32"/>
      <c r="SJ298" s="32"/>
      <c r="SK298" s="32"/>
      <c r="SL298" s="32"/>
      <c r="SM298" s="32"/>
      <c r="SN298" s="32"/>
      <c r="SO298" s="32"/>
      <c r="SP298" s="32"/>
      <c r="SQ298" s="32"/>
      <c r="SR298" s="32"/>
      <c r="SS298" s="32"/>
      <c r="ST298" s="32"/>
      <c r="SU298" s="32"/>
      <c r="SV298" s="32"/>
      <c r="SW298" s="32"/>
      <c r="SX298" s="32"/>
      <c r="SY298" s="32"/>
      <c r="SZ298" s="32"/>
      <c r="TA298" s="32"/>
      <c r="TB298" s="32"/>
      <c r="TC298" s="32"/>
      <c r="TD298" s="32"/>
      <c r="TE298" s="32"/>
      <c r="TF298" s="32"/>
      <c r="TG298" s="32"/>
    </row>
    <row r="299" spans="1:527" s="27" customFormat="1" ht="29.25" customHeight="1" x14ac:dyDescent="0.2">
      <c r="A299" s="70"/>
      <c r="B299" s="71"/>
      <c r="C299" s="72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/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  <c r="FK299" s="32"/>
      <c r="FL299" s="32"/>
      <c r="FM299" s="32"/>
      <c r="FN299" s="32"/>
      <c r="FO299" s="32"/>
      <c r="FP299" s="32"/>
      <c r="FQ299" s="32"/>
      <c r="FR299" s="32"/>
      <c r="FS299" s="32"/>
      <c r="FT299" s="32"/>
      <c r="FU299" s="32"/>
      <c r="FV299" s="32"/>
      <c r="FW299" s="32"/>
      <c r="FX299" s="32"/>
      <c r="FY299" s="32"/>
      <c r="FZ299" s="32"/>
      <c r="GA299" s="32"/>
      <c r="GB299" s="32"/>
      <c r="GC299" s="32"/>
      <c r="GD299" s="32"/>
      <c r="GE299" s="32"/>
      <c r="GF299" s="32"/>
      <c r="GG299" s="32"/>
      <c r="GH299" s="32"/>
      <c r="GI299" s="32"/>
      <c r="GJ299" s="32"/>
      <c r="GK299" s="32"/>
      <c r="GL299" s="32"/>
      <c r="GM299" s="32"/>
      <c r="GN299" s="32"/>
      <c r="GO299" s="32"/>
      <c r="GP299" s="32"/>
      <c r="GQ299" s="32"/>
      <c r="GR299" s="32"/>
      <c r="GS299" s="32"/>
      <c r="GT299" s="32"/>
      <c r="GU299" s="32"/>
      <c r="GV299" s="32"/>
      <c r="GW299" s="32"/>
      <c r="GX299" s="32"/>
      <c r="GY299" s="32"/>
      <c r="GZ299" s="32"/>
      <c r="HA299" s="32"/>
      <c r="HB299" s="32"/>
      <c r="HC299" s="32"/>
      <c r="HD299" s="32"/>
      <c r="HE299" s="32"/>
      <c r="HF299" s="32"/>
      <c r="HG299" s="32"/>
      <c r="HH299" s="32"/>
      <c r="HI299" s="32"/>
      <c r="HJ299" s="32"/>
      <c r="HK299" s="32"/>
      <c r="HL299" s="32"/>
      <c r="HM299" s="32"/>
      <c r="HN299" s="32"/>
      <c r="HO299" s="32"/>
      <c r="HP299" s="32"/>
      <c r="HQ299" s="32"/>
      <c r="HR299" s="32"/>
      <c r="HS299" s="32"/>
      <c r="HT299" s="32"/>
      <c r="HU299" s="32"/>
      <c r="HV299" s="32"/>
      <c r="HW299" s="32"/>
      <c r="HX299" s="32"/>
      <c r="HY299" s="32"/>
      <c r="HZ299" s="32"/>
      <c r="IA299" s="32"/>
      <c r="IB299" s="32"/>
      <c r="IC299" s="32"/>
      <c r="ID299" s="32"/>
      <c r="IE299" s="32"/>
      <c r="IF299" s="32"/>
      <c r="IG299" s="32"/>
      <c r="IH299" s="32"/>
      <c r="II299" s="32"/>
      <c r="IJ299" s="32"/>
      <c r="IK299" s="32"/>
      <c r="IL299" s="32"/>
      <c r="IM299" s="32"/>
      <c r="IN299" s="32"/>
      <c r="IO299" s="32"/>
      <c r="IP299" s="32"/>
      <c r="IQ299" s="32"/>
      <c r="IR299" s="32"/>
      <c r="IS299" s="32"/>
      <c r="IT299" s="32"/>
      <c r="IU299" s="32"/>
      <c r="IV299" s="32"/>
      <c r="IW299" s="32"/>
      <c r="IX299" s="32"/>
      <c r="IY299" s="32"/>
      <c r="IZ299" s="32"/>
      <c r="JA299" s="32"/>
      <c r="JB299" s="32"/>
      <c r="JC299" s="32"/>
      <c r="JD299" s="32"/>
      <c r="JE299" s="32"/>
      <c r="JF299" s="32"/>
      <c r="JG299" s="32"/>
      <c r="JH299" s="32"/>
      <c r="JI299" s="32"/>
      <c r="JJ299" s="32"/>
      <c r="JK299" s="32"/>
      <c r="JL299" s="32"/>
      <c r="JM299" s="32"/>
      <c r="JN299" s="32"/>
      <c r="JO299" s="32"/>
      <c r="JP299" s="32"/>
      <c r="JQ299" s="32"/>
      <c r="JR299" s="32"/>
      <c r="JS299" s="32"/>
      <c r="JT299" s="32"/>
      <c r="JU299" s="32"/>
      <c r="JV299" s="32"/>
      <c r="JW299" s="32"/>
      <c r="JX299" s="32"/>
      <c r="JY299" s="32"/>
      <c r="JZ299" s="32"/>
      <c r="KA299" s="32"/>
      <c r="KB299" s="32"/>
      <c r="KC299" s="32"/>
      <c r="KD299" s="32"/>
      <c r="KE299" s="32"/>
      <c r="KF299" s="32"/>
      <c r="KG299" s="32"/>
      <c r="KH299" s="32"/>
      <c r="KI299" s="32"/>
      <c r="KJ299" s="32"/>
      <c r="KK299" s="32"/>
      <c r="KL299" s="32"/>
      <c r="KM299" s="32"/>
      <c r="KN299" s="32"/>
      <c r="KO299" s="32"/>
      <c r="KP299" s="32"/>
      <c r="KQ299" s="32"/>
      <c r="KR299" s="32"/>
      <c r="KS299" s="32"/>
      <c r="KT299" s="32"/>
      <c r="KU299" s="32"/>
      <c r="KV299" s="32"/>
      <c r="KW299" s="32"/>
      <c r="KX299" s="32"/>
      <c r="KY299" s="32"/>
      <c r="KZ299" s="32"/>
      <c r="LA299" s="32"/>
      <c r="LB299" s="32"/>
      <c r="LC299" s="32"/>
      <c r="LD299" s="32"/>
      <c r="LE299" s="32"/>
      <c r="LF299" s="32"/>
      <c r="LG299" s="32"/>
      <c r="LH299" s="32"/>
      <c r="LI299" s="32"/>
      <c r="LJ299" s="32"/>
      <c r="LK299" s="32"/>
      <c r="LL299" s="32"/>
      <c r="LM299" s="32"/>
      <c r="LN299" s="32"/>
      <c r="LO299" s="32"/>
      <c r="LP299" s="32"/>
      <c r="LQ299" s="32"/>
      <c r="LR299" s="32"/>
      <c r="LS299" s="32"/>
      <c r="LT299" s="32"/>
      <c r="LU299" s="32"/>
      <c r="LV299" s="32"/>
      <c r="LW299" s="32"/>
      <c r="LX299" s="32"/>
      <c r="LY299" s="32"/>
      <c r="LZ299" s="32"/>
      <c r="MA299" s="32"/>
      <c r="MB299" s="32"/>
      <c r="MC299" s="32"/>
      <c r="MD299" s="32"/>
      <c r="ME299" s="32"/>
      <c r="MF299" s="32"/>
      <c r="MG299" s="32"/>
      <c r="MH299" s="32"/>
      <c r="MI299" s="32"/>
      <c r="MJ299" s="32"/>
      <c r="MK299" s="32"/>
      <c r="ML299" s="32"/>
      <c r="MM299" s="32"/>
      <c r="MN299" s="32"/>
      <c r="MO299" s="32"/>
      <c r="MP299" s="32"/>
      <c r="MQ299" s="32"/>
      <c r="MR299" s="32"/>
      <c r="MS299" s="32"/>
      <c r="MT299" s="32"/>
      <c r="MU299" s="32"/>
      <c r="MV299" s="32"/>
      <c r="MW299" s="32"/>
      <c r="MX299" s="32"/>
      <c r="MY299" s="32"/>
      <c r="MZ299" s="32"/>
      <c r="NA299" s="32"/>
      <c r="NB299" s="32"/>
      <c r="NC299" s="32"/>
      <c r="ND299" s="32"/>
      <c r="NE299" s="32"/>
      <c r="NF299" s="32"/>
      <c r="NG299" s="32"/>
      <c r="NH299" s="32"/>
      <c r="NI299" s="32"/>
      <c r="NJ299" s="32"/>
      <c r="NK299" s="32"/>
      <c r="NL299" s="32"/>
      <c r="NM299" s="32"/>
      <c r="NN299" s="32"/>
      <c r="NO299" s="32"/>
      <c r="NP299" s="32"/>
      <c r="NQ299" s="32"/>
      <c r="NR299" s="32"/>
      <c r="NS299" s="32"/>
      <c r="NT299" s="32"/>
      <c r="NU299" s="32"/>
      <c r="NV299" s="32"/>
      <c r="NW299" s="32"/>
      <c r="NX299" s="32"/>
      <c r="NY299" s="32"/>
      <c r="NZ299" s="32"/>
      <c r="OA299" s="32"/>
      <c r="OB299" s="32"/>
      <c r="OC299" s="32"/>
      <c r="OD299" s="32"/>
      <c r="OE299" s="32"/>
      <c r="OF299" s="32"/>
      <c r="OG299" s="32"/>
      <c r="OH299" s="32"/>
      <c r="OI299" s="32"/>
      <c r="OJ299" s="32"/>
      <c r="OK299" s="32"/>
      <c r="OL299" s="32"/>
      <c r="OM299" s="32"/>
      <c r="ON299" s="32"/>
      <c r="OO299" s="32"/>
      <c r="OP299" s="32"/>
      <c r="OQ299" s="32"/>
      <c r="OR299" s="32"/>
      <c r="OS299" s="32"/>
      <c r="OT299" s="32"/>
      <c r="OU299" s="32"/>
      <c r="OV299" s="32"/>
      <c r="OW299" s="32"/>
      <c r="OX299" s="32"/>
      <c r="OY299" s="32"/>
      <c r="OZ299" s="32"/>
      <c r="PA299" s="32"/>
      <c r="PB299" s="32"/>
      <c r="PC299" s="32"/>
      <c r="PD299" s="32"/>
      <c r="PE299" s="32"/>
      <c r="PF299" s="32"/>
      <c r="PG299" s="32"/>
      <c r="PH299" s="32"/>
      <c r="PI299" s="32"/>
      <c r="PJ299" s="32"/>
      <c r="PK299" s="32"/>
      <c r="PL299" s="32"/>
      <c r="PM299" s="32"/>
      <c r="PN299" s="32"/>
      <c r="PO299" s="32"/>
      <c r="PP299" s="32"/>
      <c r="PQ299" s="32"/>
      <c r="PR299" s="32"/>
      <c r="PS299" s="32"/>
      <c r="PT299" s="32"/>
      <c r="PU299" s="32"/>
      <c r="PV299" s="32"/>
      <c r="PW299" s="32"/>
      <c r="PX299" s="32"/>
      <c r="PY299" s="32"/>
      <c r="PZ299" s="32"/>
      <c r="QA299" s="32"/>
      <c r="QB299" s="32"/>
      <c r="QC299" s="32"/>
      <c r="QD299" s="32"/>
      <c r="QE299" s="32"/>
      <c r="QF299" s="32"/>
      <c r="QG299" s="32"/>
      <c r="QH299" s="32"/>
      <c r="QI299" s="32"/>
      <c r="QJ299" s="32"/>
      <c r="QK299" s="32"/>
      <c r="QL299" s="32"/>
      <c r="QM299" s="32"/>
      <c r="QN299" s="32"/>
      <c r="QO299" s="32"/>
      <c r="QP299" s="32"/>
      <c r="QQ299" s="32"/>
      <c r="QR299" s="32"/>
      <c r="QS299" s="32"/>
      <c r="QT299" s="32"/>
      <c r="QU299" s="32"/>
      <c r="QV299" s="32"/>
      <c r="QW299" s="32"/>
      <c r="QX299" s="32"/>
      <c r="QY299" s="32"/>
      <c r="QZ299" s="32"/>
      <c r="RA299" s="32"/>
      <c r="RB299" s="32"/>
      <c r="RC299" s="32"/>
      <c r="RD299" s="32"/>
      <c r="RE299" s="32"/>
      <c r="RF299" s="32"/>
      <c r="RG299" s="32"/>
      <c r="RH299" s="32"/>
      <c r="RI299" s="32"/>
      <c r="RJ299" s="32"/>
      <c r="RK299" s="32"/>
      <c r="RL299" s="32"/>
      <c r="RM299" s="32"/>
      <c r="RN299" s="32"/>
      <c r="RO299" s="32"/>
      <c r="RP299" s="32"/>
      <c r="RQ299" s="32"/>
      <c r="RR299" s="32"/>
      <c r="RS299" s="32"/>
      <c r="RT299" s="32"/>
      <c r="RU299" s="32"/>
      <c r="RV299" s="32"/>
      <c r="RW299" s="32"/>
      <c r="RX299" s="32"/>
      <c r="RY299" s="32"/>
      <c r="RZ299" s="32"/>
      <c r="SA299" s="32"/>
      <c r="SB299" s="32"/>
      <c r="SC299" s="32"/>
      <c r="SD299" s="32"/>
      <c r="SE299" s="32"/>
      <c r="SF299" s="32"/>
      <c r="SG299" s="32"/>
      <c r="SH299" s="32"/>
      <c r="SI299" s="32"/>
      <c r="SJ299" s="32"/>
      <c r="SK299" s="32"/>
      <c r="SL299" s="32"/>
      <c r="SM299" s="32"/>
      <c r="SN299" s="32"/>
      <c r="SO299" s="32"/>
      <c r="SP299" s="32"/>
      <c r="SQ299" s="32"/>
      <c r="SR299" s="32"/>
      <c r="SS299" s="32"/>
      <c r="ST299" s="32"/>
      <c r="SU299" s="32"/>
      <c r="SV299" s="32"/>
      <c r="SW299" s="32"/>
      <c r="SX299" s="32"/>
      <c r="SY299" s="32"/>
      <c r="SZ299" s="32"/>
      <c r="TA299" s="32"/>
      <c r="TB299" s="32"/>
      <c r="TC299" s="32"/>
      <c r="TD299" s="32"/>
      <c r="TE299" s="32"/>
      <c r="TF299" s="32"/>
      <c r="TG299" s="32"/>
    </row>
    <row r="300" spans="1:527" s="157" customFormat="1" ht="39.75" customHeight="1" x14ac:dyDescent="0.55000000000000004">
      <c r="A300" s="152" t="s">
        <v>477</v>
      </c>
      <c r="B300" s="153"/>
      <c r="C300" s="154"/>
      <c r="D300" s="155"/>
      <c r="E300" s="156"/>
      <c r="F300" s="155"/>
      <c r="G300" s="155"/>
      <c r="H300" s="155"/>
      <c r="I300" s="155"/>
      <c r="J300" s="155"/>
      <c r="M300" s="155"/>
      <c r="N300" s="155" t="s">
        <v>478</v>
      </c>
      <c r="O300" s="156"/>
      <c r="P300" s="156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  <c r="AN300" s="158"/>
      <c r="AO300" s="158"/>
      <c r="AP300" s="158"/>
      <c r="AQ300" s="158"/>
      <c r="AR300" s="158"/>
      <c r="AS300" s="158"/>
      <c r="AT300" s="158"/>
      <c r="AU300" s="158"/>
      <c r="AV300" s="158"/>
      <c r="AW300" s="158"/>
      <c r="AX300" s="158"/>
      <c r="AY300" s="158"/>
      <c r="AZ300" s="158"/>
      <c r="BA300" s="158"/>
      <c r="BB300" s="158"/>
      <c r="BC300" s="158"/>
      <c r="BD300" s="158"/>
      <c r="BE300" s="158"/>
      <c r="BF300" s="158"/>
      <c r="BG300" s="158"/>
      <c r="BH300" s="158"/>
      <c r="BI300" s="158"/>
      <c r="BJ300" s="158"/>
      <c r="BK300" s="158"/>
      <c r="BL300" s="158"/>
      <c r="BM300" s="158"/>
      <c r="BN300" s="158"/>
      <c r="BO300" s="158"/>
      <c r="BP300" s="158"/>
      <c r="BQ300" s="158"/>
      <c r="BR300" s="158"/>
      <c r="BS300" s="158"/>
      <c r="BT300" s="158"/>
      <c r="BU300" s="158"/>
      <c r="BV300" s="158"/>
      <c r="BW300" s="158"/>
      <c r="BX300" s="158"/>
      <c r="BY300" s="158"/>
      <c r="BZ300" s="158"/>
      <c r="CA300" s="158"/>
      <c r="CB300" s="158"/>
      <c r="CC300" s="158"/>
      <c r="CD300" s="158"/>
      <c r="CE300" s="158"/>
      <c r="CF300" s="158"/>
      <c r="CG300" s="158"/>
      <c r="CH300" s="158"/>
      <c r="CI300" s="158"/>
      <c r="CJ300" s="158"/>
      <c r="CK300" s="158"/>
      <c r="CL300" s="158"/>
      <c r="CM300" s="158"/>
      <c r="CN300" s="158"/>
      <c r="CO300" s="158"/>
      <c r="CP300" s="158"/>
      <c r="CQ300" s="158"/>
      <c r="CR300" s="158"/>
      <c r="CS300" s="158"/>
      <c r="CT300" s="158"/>
      <c r="CU300" s="158"/>
      <c r="CV300" s="158"/>
      <c r="CW300" s="158"/>
      <c r="CX300" s="158"/>
      <c r="CY300" s="158"/>
      <c r="CZ300" s="158"/>
      <c r="DA300" s="158"/>
      <c r="DB300" s="158"/>
      <c r="DC300" s="158"/>
      <c r="DD300" s="158"/>
      <c r="DE300" s="158"/>
      <c r="DF300" s="158"/>
      <c r="DG300" s="158"/>
      <c r="DH300" s="158"/>
      <c r="DI300" s="158"/>
      <c r="DJ300" s="158"/>
      <c r="DK300" s="158"/>
      <c r="DL300" s="158"/>
      <c r="DM300" s="158"/>
      <c r="DN300" s="158"/>
      <c r="DO300" s="158"/>
      <c r="DP300" s="158"/>
      <c r="DQ300" s="158"/>
      <c r="DR300" s="158"/>
      <c r="DS300" s="158"/>
      <c r="DT300" s="158"/>
      <c r="DU300" s="158"/>
      <c r="DV300" s="158"/>
      <c r="DW300" s="158"/>
      <c r="DX300" s="158"/>
      <c r="DY300" s="158"/>
      <c r="DZ300" s="158"/>
      <c r="EA300" s="158"/>
      <c r="EB300" s="158"/>
      <c r="EC300" s="158"/>
      <c r="ED300" s="158"/>
      <c r="EE300" s="158"/>
      <c r="EF300" s="158"/>
      <c r="EG300" s="158"/>
      <c r="EH300" s="158"/>
      <c r="EI300" s="158"/>
      <c r="EJ300" s="158"/>
      <c r="EK300" s="158"/>
      <c r="EL300" s="158"/>
      <c r="EM300" s="158"/>
      <c r="EN300" s="158"/>
      <c r="EO300" s="158"/>
      <c r="EP300" s="158"/>
      <c r="EQ300" s="158"/>
      <c r="ER300" s="158"/>
      <c r="ES300" s="158"/>
      <c r="ET300" s="158"/>
      <c r="EU300" s="158"/>
      <c r="EV300" s="158"/>
      <c r="EW300" s="158"/>
      <c r="EX300" s="158"/>
      <c r="EY300" s="158"/>
      <c r="EZ300" s="158"/>
      <c r="FA300" s="158"/>
      <c r="FB300" s="158"/>
      <c r="FC300" s="158"/>
      <c r="FD300" s="158"/>
      <c r="FE300" s="158"/>
      <c r="FF300" s="158"/>
      <c r="FG300" s="158"/>
      <c r="FH300" s="158"/>
      <c r="FI300" s="158"/>
      <c r="FJ300" s="158"/>
      <c r="FK300" s="158"/>
      <c r="FL300" s="158"/>
      <c r="FM300" s="158"/>
      <c r="FN300" s="158"/>
      <c r="FO300" s="158"/>
      <c r="FP300" s="158"/>
      <c r="FQ300" s="158"/>
      <c r="FR300" s="158"/>
      <c r="FS300" s="158"/>
      <c r="FT300" s="158"/>
      <c r="FU300" s="158"/>
      <c r="FV300" s="158"/>
      <c r="FW300" s="158"/>
      <c r="FX300" s="158"/>
      <c r="FY300" s="158"/>
      <c r="FZ300" s="158"/>
      <c r="GA300" s="158"/>
      <c r="GB300" s="158"/>
      <c r="GC300" s="158"/>
      <c r="GD300" s="158"/>
      <c r="GE300" s="158"/>
      <c r="GF300" s="158"/>
      <c r="GG300" s="158"/>
      <c r="GH300" s="158"/>
      <c r="GI300" s="158"/>
      <c r="GJ300" s="158"/>
      <c r="GK300" s="158"/>
      <c r="GL300" s="158"/>
      <c r="GM300" s="158"/>
      <c r="GN300" s="158"/>
      <c r="GO300" s="158"/>
      <c r="GP300" s="158"/>
      <c r="GQ300" s="158"/>
      <c r="GR300" s="158"/>
      <c r="GS300" s="158"/>
      <c r="GT300" s="158"/>
      <c r="GU300" s="158"/>
      <c r="GV300" s="158"/>
      <c r="GW300" s="158"/>
      <c r="GX300" s="158"/>
      <c r="GY300" s="158"/>
      <c r="GZ300" s="158"/>
      <c r="HA300" s="158"/>
      <c r="HB300" s="158"/>
      <c r="HC300" s="158"/>
      <c r="HD300" s="158"/>
      <c r="HE300" s="158"/>
      <c r="HF300" s="158"/>
      <c r="HG300" s="158"/>
      <c r="HH300" s="158"/>
      <c r="HI300" s="158"/>
      <c r="HJ300" s="158"/>
      <c r="HK300" s="158"/>
      <c r="HL300" s="158"/>
      <c r="HM300" s="158"/>
      <c r="HN300" s="158"/>
      <c r="HO300" s="158"/>
      <c r="HP300" s="158"/>
      <c r="HQ300" s="158"/>
      <c r="HR300" s="158"/>
      <c r="HS300" s="158"/>
      <c r="HT300" s="158"/>
      <c r="HU300" s="158"/>
      <c r="HV300" s="158"/>
      <c r="HW300" s="158"/>
      <c r="HX300" s="158"/>
      <c r="HY300" s="158"/>
      <c r="HZ300" s="158"/>
      <c r="IA300" s="158"/>
      <c r="IB300" s="158"/>
      <c r="IC300" s="158"/>
      <c r="ID300" s="158"/>
      <c r="IE300" s="158"/>
      <c r="IF300" s="158"/>
      <c r="IG300" s="158"/>
      <c r="IH300" s="158"/>
      <c r="II300" s="158"/>
      <c r="IJ300" s="158"/>
      <c r="IK300" s="158"/>
      <c r="IL300" s="158"/>
      <c r="IM300" s="158"/>
      <c r="IN300" s="158"/>
      <c r="IO300" s="158"/>
      <c r="IP300" s="158"/>
      <c r="IQ300" s="158"/>
      <c r="IR300" s="158"/>
      <c r="IS300" s="158"/>
      <c r="IT300" s="158"/>
      <c r="IU300" s="158"/>
      <c r="IV300" s="158"/>
      <c r="IW300" s="158"/>
      <c r="IX300" s="158"/>
      <c r="IY300" s="158"/>
      <c r="IZ300" s="158"/>
      <c r="JA300" s="158"/>
      <c r="JB300" s="158"/>
      <c r="JC300" s="158"/>
      <c r="JD300" s="158"/>
      <c r="JE300" s="158"/>
      <c r="JF300" s="158"/>
      <c r="JG300" s="158"/>
      <c r="JH300" s="158"/>
      <c r="JI300" s="158"/>
      <c r="JJ300" s="158"/>
      <c r="JK300" s="158"/>
      <c r="JL300" s="158"/>
      <c r="JM300" s="158"/>
      <c r="JN300" s="158"/>
      <c r="JO300" s="158"/>
      <c r="JP300" s="158"/>
      <c r="JQ300" s="158"/>
      <c r="JR300" s="158"/>
      <c r="JS300" s="158"/>
      <c r="JT300" s="158"/>
      <c r="JU300" s="158"/>
      <c r="JV300" s="158"/>
      <c r="JW300" s="158"/>
      <c r="JX300" s="158"/>
      <c r="JY300" s="158"/>
      <c r="JZ300" s="158"/>
      <c r="KA300" s="158"/>
      <c r="KB300" s="158"/>
      <c r="KC300" s="158"/>
      <c r="KD300" s="158"/>
      <c r="KE300" s="158"/>
      <c r="KF300" s="158"/>
      <c r="KG300" s="158"/>
      <c r="KH300" s="158"/>
      <c r="KI300" s="158"/>
      <c r="KJ300" s="158"/>
      <c r="KK300" s="158"/>
      <c r="KL300" s="158"/>
      <c r="KM300" s="158"/>
      <c r="KN300" s="158"/>
      <c r="KO300" s="158"/>
      <c r="KP300" s="158"/>
      <c r="KQ300" s="158"/>
      <c r="KR300" s="158"/>
      <c r="KS300" s="158"/>
      <c r="KT300" s="158"/>
      <c r="KU300" s="158"/>
      <c r="KV300" s="158"/>
      <c r="KW300" s="158"/>
      <c r="KX300" s="158"/>
      <c r="KY300" s="158"/>
      <c r="KZ300" s="158"/>
      <c r="LA300" s="158"/>
      <c r="LB300" s="158"/>
      <c r="LC300" s="158"/>
      <c r="LD300" s="158"/>
      <c r="LE300" s="158"/>
      <c r="LF300" s="158"/>
      <c r="LG300" s="158"/>
      <c r="LH300" s="158"/>
      <c r="LI300" s="158"/>
      <c r="LJ300" s="158"/>
      <c r="LK300" s="158"/>
      <c r="LL300" s="158"/>
      <c r="LM300" s="158"/>
      <c r="LN300" s="158"/>
      <c r="LO300" s="158"/>
      <c r="LP300" s="158"/>
      <c r="LQ300" s="158"/>
      <c r="LR300" s="158"/>
      <c r="LS300" s="158"/>
      <c r="LT300" s="158"/>
      <c r="LU300" s="158"/>
      <c r="LV300" s="158"/>
      <c r="LW300" s="158"/>
      <c r="LX300" s="158"/>
      <c r="LY300" s="158"/>
      <c r="LZ300" s="158"/>
      <c r="MA300" s="158"/>
      <c r="MB300" s="158"/>
      <c r="MC300" s="158"/>
      <c r="MD300" s="158"/>
      <c r="ME300" s="158"/>
      <c r="MF300" s="158"/>
      <c r="MG300" s="158"/>
      <c r="MH300" s="158"/>
      <c r="MI300" s="158"/>
      <c r="MJ300" s="158"/>
      <c r="MK300" s="158"/>
      <c r="ML300" s="158"/>
      <c r="MM300" s="158"/>
      <c r="MN300" s="158"/>
      <c r="MO300" s="158"/>
      <c r="MP300" s="158"/>
      <c r="MQ300" s="158"/>
      <c r="MR300" s="158"/>
      <c r="MS300" s="158"/>
      <c r="MT300" s="158"/>
      <c r="MU300" s="158"/>
      <c r="MV300" s="158"/>
      <c r="MW300" s="158"/>
      <c r="MX300" s="158"/>
      <c r="MY300" s="158"/>
      <c r="MZ300" s="158"/>
      <c r="NA300" s="158"/>
      <c r="NB300" s="158"/>
      <c r="NC300" s="158"/>
      <c r="ND300" s="158"/>
      <c r="NE300" s="158"/>
      <c r="NF300" s="158"/>
      <c r="NG300" s="158"/>
      <c r="NH300" s="158"/>
      <c r="NI300" s="158"/>
      <c r="NJ300" s="158"/>
      <c r="NK300" s="158"/>
      <c r="NL300" s="158"/>
      <c r="NM300" s="158"/>
      <c r="NN300" s="158"/>
      <c r="NO300" s="158"/>
      <c r="NP300" s="158"/>
      <c r="NQ300" s="158"/>
      <c r="NR300" s="158"/>
      <c r="NS300" s="158"/>
      <c r="NT300" s="158"/>
      <c r="NU300" s="158"/>
      <c r="NV300" s="158"/>
      <c r="NW300" s="158"/>
      <c r="NX300" s="158"/>
      <c r="NY300" s="158"/>
      <c r="NZ300" s="158"/>
      <c r="OA300" s="158"/>
      <c r="OB300" s="158"/>
      <c r="OC300" s="158"/>
      <c r="OD300" s="158"/>
      <c r="OE300" s="158"/>
      <c r="OF300" s="158"/>
      <c r="OG300" s="158"/>
      <c r="OH300" s="158"/>
      <c r="OI300" s="158"/>
      <c r="OJ300" s="158"/>
      <c r="OK300" s="158"/>
      <c r="OL300" s="158"/>
      <c r="OM300" s="158"/>
      <c r="ON300" s="158"/>
      <c r="OO300" s="158"/>
      <c r="OP300" s="158"/>
      <c r="OQ300" s="158"/>
      <c r="OR300" s="158"/>
      <c r="OS300" s="158"/>
      <c r="OT300" s="158"/>
      <c r="OU300" s="158"/>
      <c r="OV300" s="158"/>
      <c r="OW300" s="158"/>
      <c r="OX300" s="158"/>
      <c r="OY300" s="158"/>
      <c r="OZ300" s="158"/>
      <c r="PA300" s="158"/>
      <c r="PB300" s="158"/>
      <c r="PC300" s="158"/>
      <c r="PD300" s="158"/>
      <c r="PE300" s="158"/>
      <c r="PF300" s="158"/>
      <c r="PG300" s="158"/>
      <c r="PH300" s="158"/>
      <c r="PI300" s="158"/>
      <c r="PJ300" s="158"/>
      <c r="PK300" s="158"/>
      <c r="PL300" s="158"/>
      <c r="PM300" s="158"/>
      <c r="PN300" s="158"/>
      <c r="PO300" s="158"/>
      <c r="PP300" s="158"/>
      <c r="PQ300" s="158"/>
      <c r="PR300" s="158"/>
      <c r="PS300" s="158"/>
      <c r="PT300" s="158"/>
      <c r="PU300" s="158"/>
      <c r="PV300" s="158"/>
      <c r="PW300" s="158"/>
      <c r="PX300" s="158"/>
      <c r="PY300" s="158"/>
      <c r="PZ300" s="158"/>
      <c r="QA300" s="158"/>
      <c r="QB300" s="158"/>
      <c r="QC300" s="158"/>
      <c r="QD300" s="158"/>
      <c r="QE300" s="158"/>
      <c r="QF300" s="158"/>
      <c r="QG300" s="158"/>
      <c r="QH300" s="158"/>
      <c r="QI300" s="158"/>
      <c r="QJ300" s="158"/>
      <c r="QK300" s="158"/>
      <c r="QL300" s="158"/>
      <c r="QM300" s="158"/>
      <c r="QN300" s="158"/>
      <c r="QO300" s="158"/>
      <c r="QP300" s="158"/>
      <c r="QQ300" s="158"/>
      <c r="QR300" s="158"/>
      <c r="QS300" s="158"/>
      <c r="QT300" s="158"/>
      <c r="QU300" s="158"/>
      <c r="QV300" s="158"/>
      <c r="QW300" s="158"/>
      <c r="QX300" s="158"/>
      <c r="QY300" s="158"/>
      <c r="QZ300" s="158"/>
      <c r="RA300" s="158"/>
      <c r="RB300" s="158"/>
      <c r="RC300" s="158"/>
      <c r="RD300" s="158"/>
      <c r="RE300" s="158"/>
      <c r="RF300" s="158"/>
      <c r="RG300" s="158"/>
      <c r="RH300" s="158"/>
      <c r="RI300" s="158"/>
      <c r="RJ300" s="158"/>
      <c r="RK300" s="158"/>
      <c r="RL300" s="158"/>
      <c r="RM300" s="158"/>
      <c r="RN300" s="158"/>
      <c r="RO300" s="158"/>
      <c r="RP300" s="158"/>
      <c r="RQ300" s="158"/>
      <c r="RR300" s="158"/>
      <c r="RS300" s="158"/>
      <c r="RT300" s="158"/>
      <c r="RU300" s="158"/>
      <c r="RV300" s="158"/>
      <c r="RW300" s="158"/>
      <c r="RX300" s="158"/>
      <c r="RY300" s="158"/>
      <c r="RZ300" s="158"/>
      <c r="SA300" s="158"/>
      <c r="SB300" s="158"/>
      <c r="SC300" s="158"/>
      <c r="SD300" s="158"/>
      <c r="SE300" s="158"/>
      <c r="SF300" s="158"/>
      <c r="SG300" s="158"/>
      <c r="SH300" s="158"/>
      <c r="SI300" s="158"/>
      <c r="SJ300" s="158"/>
      <c r="SK300" s="158"/>
      <c r="SL300" s="158"/>
      <c r="SM300" s="158"/>
      <c r="SN300" s="158"/>
      <c r="SO300" s="158"/>
      <c r="SP300" s="158"/>
      <c r="SQ300" s="158"/>
      <c r="SR300" s="158"/>
      <c r="SS300" s="158"/>
      <c r="ST300" s="158"/>
      <c r="SU300" s="158"/>
      <c r="SV300" s="158"/>
      <c r="SW300" s="158"/>
      <c r="SX300" s="158"/>
      <c r="SY300" s="158"/>
      <c r="SZ300" s="158"/>
      <c r="TA300" s="158"/>
      <c r="TB300" s="158"/>
      <c r="TC300" s="158"/>
      <c r="TD300" s="158"/>
      <c r="TE300" s="158"/>
      <c r="TF300" s="158"/>
      <c r="TG300" s="158"/>
    </row>
    <row r="301" spans="1:527" s="28" customFormat="1" x14ac:dyDescent="0.25">
      <c r="A301" s="56"/>
      <c r="B301" s="62"/>
      <c r="C301" s="62"/>
      <c r="D301" s="35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150"/>
    </row>
    <row r="302" spans="1:527" s="161" customFormat="1" ht="31.5" x14ac:dyDescent="0.45">
      <c r="A302" s="159" t="s">
        <v>479</v>
      </c>
      <c r="B302" s="159"/>
      <c r="C302" s="159"/>
      <c r="D302" s="159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</row>
    <row r="303" spans="1:527" s="136" customFormat="1" ht="39.75" customHeight="1" x14ac:dyDescent="0.4">
      <c r="A303" s="164" t="s">
        <v>574</v>
      </c>
      <c r="B303" s="164"/>
      <c r="C303" s="164"/>
      <c r="D303" s="164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</row>
    <row r="304" spans="1:527" s="136" customFormat="1" ht="26.25" x14ac:dyDescent="0.4">
      <c r="A304" s="137"/>
      <c r="B304" s="138"/>
      <c r="C304" s="138"/>
      <c r="D304" s="139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</row>
    <row r="305" spans="1:16" s="28" customFormat="1" x14ac:dyDescent="0.25">
      <c r="A305" s="56"/>
      <c r="B305" s="62"/>
      <c r="C305" s="62"/>
      <c r="D305" s="35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</row>
    <row r="306" spans="1:16" s="28" customFormat="1" x14ac:dyDescent="0.25">
      <c r="A306" s="56"/>
      <c r="B306" s="62"/>
      <c r="C306" s="62"/>
      <c r="D306" s="35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</row>
    <row r="307" spans="1:16" s="28" customFormat="1" x14ac:dyDescent="0.25">
      <c r="A307" s="56"/>
      <c r="B307" s="62"/>
      <c r="C307" s="62"/>
      <c r="D307" s="35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</row>
    <row r="308" spans="1:16" s="28" customFormat="1" x14ac:dyDescent="0.25">
      <c r="A308" s="56"/>
      <c r="B308" s="62"/>
      <c r="C308" s="62"/>
      <c r="D308" s="35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1:16" s="28" customFormat="1" x14ac:dyDescent="0.25">
      <c r="A309" s="56"/>
      <c r="B309" s="62"/>
      <c r="C309" s="62"/>
      <c r="D309" s="35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150"/>
    </row>
    <row r="310" spans="1:16" s="28" customFormat="1" x14ac:dyDescent="0.25">
      <c r="A310" s="56"/>
      <c r="B310" s="62"/>
      <c r="C310" s="62"/>
      <c r="D310" s="35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150"/>
    </row>
    <row r="311" spans="1:16" s="28" customFormat="1" x14ac:dyDescent="0.25">
      <c r="A311" s="56"/>
      <c r="B311" s="62"/>
      <c r="C311" s="62"/>
      <c r="D311" s="35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150"/>
    </row>
    <row r="312" spans="1:16" s="28" customFormat="1" x14ac:dyDescent="0.25">
      <c r="A312" s="56"/>
      <c r="B312" s="62"/>
      <c r="C312" s="62"/>
      <c r="D312" s="35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150"/>
    </row>
    <row r="313" spans="1:16" s="28" customFormat="1" x14ac:dyDescent="0.25">
      <c r="A313" s="56"/>
      <c r="B313" s="62"/>
      <c r="C313" s="62"/>
      <c r="D313" s="35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150"/>
    </row>
    <row r="314" spans="1:16" s="28" customFormat="1" x14ac:dyDescent="0.25">
      <c r="A314" s="56"/>
      <c r="B314" s="62"/>
      <c r="C314" s="62"/>
      <c r="D314" s="35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150"/>
    </row>
    <row r="315" spans="1:16" s="28" customFormat="1" x14ac:dyDescent="0.25">
      <c r="A315" s="56"/>
      <c r="B315" s="62"/>
      <c r="C315" s="62"/>
      <c r="D315" s="35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150"/>
    </row>
    <row r="316" spans="1:16" s="28" customFormat="1" x14ac:dyDescent="0.25">
      <c r="A316" s="56"/>
      <c r="B316" s="62"/>
      <c r="C316" s="62"/>
      <c r="D316" s="35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150"/>
    </row>
    <row r="317" spans="1:16" s="28" customFormat="1" x14ac:dyDescent="0.25">
      <c r="A317" s="56"/>
      <c r="B317" s="62"/>
      <c r="C317" s="62"/>
      <c r="D317" s="35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150"/>
    </row>
    <row r="318" spans="1:16" s="28" customFormat="1" x14ac:dyDescent="0.25">
      <c r="A318" s="56"/>
      <c r="B318" s="62"/>
      <c r="C318" s="62"/>
      <c r="D318" s="35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150"/>
    </row>
    <row r="319" spans="1:16" s="28" customFormat="1" x14ac:dyDescent="0.25">
      <c r="A319" s="56"/>
      <c r="B319" s="62"/>
      <c r="C319" s="62"/>
      <c r="D319" s="35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150"/>
    </row>
    <row r="320" spans="1:16" s="28" customFormat="1" x14ac:dyDescent="0.25">
      <c r="A320" s="56"/>
      <c r="B320" s="62"/>
      <c r="C320" s="62"/>
      <c r="D320" s="35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150"/>
    </row>
    <row r="321" spans="1:16" s="28" customFormat="1" x14ac:dyDescent="0.25">
      <c r="A321" s="56"/>
      <c r="B321" s="62"/>
      <c r="C321" s="62"/>
      <c r="D321" s="35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150"/>
    </row>
    <row r="322" spans="1:16" s="28" customFormat="1" x14ac:dyDescent="0.25">
      <c r="A322" s="56"/>
      <c r="B322" s="62"/>
      <c r="C322" s="62"/>
      <c r="D322" s="35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150"/>
    </row>
    <row r="323" spans="1:16" s="28" customFormat="1" x14ac:dyDescent="0.25">
      <c r="A323" s="56"/>
      <c r="B323" s="62"/>
      <c r="C323" s="62"/>
      <c r="D323" s="35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150"/>
    </row>
    <row r="324" spans="1:16" s="28" customFormat="1" x14ac:dyDescent="0.25">
      <c r="A324" s="56"/>
      <c r="B324" s="62"/>
      <c r="C324" s="62"/>
      <c r="D324" s="35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150"/>
    </row>
    <row r="325" spans="1:16" s="28" customFormat="1" x14ac:dyDescent="0.25">
      <c r="A325" s="56"/>
      <c r="B325" s="62"/>
      <c r="C325" s="62"/>
      <c r="D325" s="35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150"/>
    </row>
    <row r="326" spans="1:16" s="28" customFormat="1" x14ac:dyDescent="0.25">
      <c r="A326" s="56"/>
      <c r="B326" s="62"/>
      <c r="C326" s="62"/>
      <c r="D326" s="35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150"/>
    </row>
    <row r="327" spans="1:16" s="28" customFormat="1" x14ac:dyDescent="0.25">
      <c r="A327" s="56"/>
      <c r="B327" s="62"/>
      <c r="C327" s="62"/>
      <c r="D327" s="35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150"/>
    </row>
    <row r="328" spans="1:16" s="28" customFormat="1" x14ac:dyDescent="0.25">
      <c r="A328" s="56"/>
      <c r="B328" s="62"/>
      <c r="C328" s="62"/>
      <c r="D328" s="35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150"/>
    </row>
    <row r="329" spans="1:16" s="28" customFormat="1" x14ac:dyDescent="0.25">
      <c r="A329" s="56"/>
      <c r="B329" s="62"/>
      <c r="C329" s="62"/>
      <c r="D329" s="35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150"/>
    </row>
    <row r="330" spans="1:16" s="28" customFormat="1" x14ac:dyDescent="0.25">
      <c r="A330" s="56"/>
      <c r="B330" s="62"/>
      <c r="C330" s="62"/>
      <c r="D330" s="35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150"/>
    </row>
    <row r="331" spans="1:16" s="28" customFormat="1" x14ac:dyDescent="0.25">
      <c r="A331" s="56"/>
      <c r="B331" s="62"/>
      <c r="C331" s="62"/>
      <c r="D331" s="35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150"/>
    </row>
    <row r="332" spans="1:16" s="28" customFormat="1" x14ac:dyDescent="0.25">
      <c r="A332" s="56"/>
      <c r="B332" s="62"/>
      <c r="C332" s="62"/>
      <c r="D332" s="35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150"/>
    </row>
    <row r="333" spans="1:16" s="28" customFormat="1" x14ac:dyDescent="0.25">
      <c r="A333" s="56"/>
      <c r="B333" s="62"/>
      <c r="C333" s="62"/>
      <c r="D333" s="35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150"/>
    </row>
    <row r="334" spans="1:16" s="28" customFormat="1" x14ac:dyDescent="0.25">
      <c r="A334" s="56"/>
      <c r="B334" s="62"/>
      <c r="C334" s="62"/>
      <c r="D334" s="35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150"/>
    </row>
    <row r="335" spans="1:16" s="28" customFormat="1" x14ac:dyDescent="0.25">
      <c r="A335" s="56"/>
      <c r="B335" s="62"/>
      <c r="C335" s="62"/>
      <c r="D335" s="35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150"/>
    </row>
    <row r="336" spans="1:16" s="28" customFormat="1" x14ac:dyDescent="0.25">
      <c r="A336" s="56"/>
      <c r="B336" s="62"/>
      <c r="C336" s="62"/>
      <c r="D336" s="35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150"/>
    </row>
    <row r="337" spans="1:16" s="28" customFormat="1" x14ac:dyDescent="0.25">
      <c r="A337" s="56"/>
      <c r="B337" s="62"/>
      <c r="C337" s="62"/>
      <c r="D337" s="35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150"/>
    </row>
    <row r="338" spans="1:16" s="28" customFormat="1" x14ac:dyDescent="0.25">
      <c r="A338" s="56"/>
      <c r="B338" s="62"/>
      <c r="C338" s="62"/>
      <c r="D338" s="35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150"/>
    </row>
    <row r="339" spans="1:16" s="28" customFormat="1" x14ac:dyDescent="0.25">
      <c r="A339" s="56"/>
      <c r="B339" s="62"/>
      <c r="C339" s="62"/>
      <c r="D339" s="35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150"/>
    </row>
    <row r="340" spans="1:16" s="28" customFormat="1" x14ac:dyDescent="0.25">
      <c r="A340" s="56"/>
      <c r="B340" s="62"/>
      <c r="C340" s="62"/>
      <c r="D340" s="35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150"/>
    </row>
    <row r="341" spans="1:16" s="28" customFormat="1" x14ac:dyDescent="0.25">
      <c r="A341" s="56"/>
      <c r="B341" s="62"/>
      <c r="C341" s="62"/>
      <c r="D341" s="35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150"/>
    </row>
    <row r="342" spans="1:16" s="28" customFormat="1" x14ac:dyDescent="0.25">
      <c r="A342" s="56"/>
      <c r="B342" s="62"/>
      <c r="C342" s="62"/>
      <c r="D342" s="35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150"/>
    </row>
    <row r="343" spans="1:16" s="28" customFormat="1" x14ac:dyDescent="0.25">
      <c r="A343" s="56"/>
      <c r="B343" s="62"/>
      <c r="C343" s="62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150"/>
    </row>
    <row r="344" spans="1:16" s="28" customFormat="1" x14ac:dyDescent="0.25">
      <c r="A344" s="56"/>
      <c r="B344" s="62"/>
      <c r="C344" s="62"/>
      <c r="D344" s="3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150"/>
    </row>
    <row r="345" spans="1:16" s="28" customFormat="1" x14ac:dyDescent="0.25">
      <c r="A345" s="56"/>
      <c r="B345" s="62"/>
      <c r="C345" s="62"/>
      <c r="D345" s="35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150"/>
    </row>
    <row r="346" spans="1:16" s="28" customFormat="1" x14ac:dyDescent="0.25">
      <c r="A346" s="56"/>
      <c r="B346" s="62"/>
      <c r="C346" s="62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150"/>
    </row>
    <row r="347" spans="1:16" s="28" customFormat="1" x14ac:dyDescent="0.25">
      <c r="A347" s="56"/>
      <c r="B347" s="62"/>
      <c r="C347" s="62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150"/>
    </row>
    <row r="348" spans="1:16" s="28" customFormat="1" x14ac:dyDescent="0.25">
      <c r="A348" s="56"/>
      <c r="B348" s="62"/>
      <c r="C348" s="62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150"/>
    </row>
    <row r="349" spans="1:16" s="28" customFormat="1" x14ac:dyDescent="0.25">
      <c r="A349" s="56"/>
      <c r="B349" s="62"/>
      <c r="C349" s="62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150"/>
    </row>
    <row r="350" spans="1:16" s="28" customFormat="1" x14ac:dyDescent="0.25">
      <c r="A350" s="56"/>
      <c r="B350" s="62"/>
      <c r="C350" s="62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150"/>
    </row>
    <row r="351" spans="1:16" s="28" customFormat="1" x14ac:dyDescent="0.25">
      <c r="A351" s="56"/>
      <c r="B351" s="62"/>
      <c r="C351" s="62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150"/>
    </row>
    <row r="352" spans="1:16" s="28" customFormat="1" x14ac:dyDescent="0.25">
      <c r="A352" s="56"/>
      <c r="B352" s="62"/>
      <c r="C352" s="62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150"/>
    </row>
    <row r="353" spans="1:16" s="28" customFormat="1" x14ac:dyDescent="0.25">
      <c r="A353" s="56"/>
      <c r="B353" s="62"/>
      <c r="C353" s="62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150"/>
    </row>
    <row r="354" spans="1:16" s="28" customFormat="1" x14ac:dyDescent="0.25">
      <c r="A354" s="56"/>
      <c r="B354" s="62"/>
      <c r="C354" s="62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150"/>
    </row>
    <row r="355" spans="1:16" s="28" customFormat="1" x14ac:dyDescent="0.25">
      <c r="A355" s="56"/>
      <c r="B355" s="62"/>
      <c r="C355" s="62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150"/>
    </row>
    <row r="356" spans="1:16" s="28" customFormat="1" x14ac:dyDescent="0.25">
      <c r="A356" s="56"/>
      <c r="B356" s="62"/>
      <c r="C356" s="62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150"/>
    </row>
    <row r="357" spans="1:16" s="28" customFormat="1" x14ac:dyDescent="0.25">
      <c r="A357" s="56"/>
      <c r="B357" s="62"/>
      <c r="C357" s="62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150"/>
    </row>
    <row r="358" spans="1:16" s="28" customFormat="1" x14ac:dyDescent="0.25">
      <c r="A358" s="56"/>
      <c r="B358" s="62"/>
      <c r="C358" s="62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150"/>
    </row>
    <row r="359" spans="1:16" s="28" customFormat="1" x14ac:dyDescent="0.25">
      <c r="A359" s="56"/>
      <c r="B359" s="62"/>
      <c r="C359" s="62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150"/>
    </row>
    <row r="360" spans="1:16" s="28" customFormat="1" x14ac:dyDescent="0.25">
      <c r="A360" s="56"/>
      <c r="B360" s="62"/>
      <c r="C360" s="62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150"/>
    </row>
    <row r="361" spans="1:16" s="28" customFormat="1" x14ac:dyDescent="0.25">
      <c r="A361" s="56"/>
      <c r="B361" s="62"/>
      <c r="C361" s="62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150"/>
    </row>
    <row r="362" spans="1:16" s="28" customFormat="1" x14ac:dyDescent="0.25">
      <c r="A362" s="56"/>
      <c r="B362" s="62"/>
      <c r="C362" s="62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150"/>
    </row>
    <row r="363" spans="1:16" s="28" customFormat="1" x14ac:dyDescent="0.25">
      <c r="A363" s="56"/>
      <c r="B363" s="62"/>
      <c r="C363" s="62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150"/>
    </row>
    <row r="364" spans="1:16" s="28" customFormat="1" x14ac:dyDescent="0.25">
      <c r="A364" s="56"/>
      <c r="B364" s="62"/>
      <c r="C364" s="62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150"/>
    </row>
    <row r="365" spans="1:16" s="28" customFormat="1" x14ac:dyDescent="0.25">
      <c r="A365" s="56"/>
      <c r="B365" s="62"/>
      <c r="C365" s="62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150"/>
    </row>
    <row r="366" spans="1:16" s="28" customFormat="1" x14ac:dyDescent="0.25">
      <c r="A366" s="56"/>
      <c r="B366" s="62"/>
      <c r="C366" s="62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150"/>
    </row>
    <row r="367" spans="1:16" s="28" customFormat="1" x14ac:dyDescent="0.25">
      <c r="A367" s="56"/>
      <c r="B367" s="62"/>
      <c r="C367" s="62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150"/>
    </row>
    <row r="368" spans="1:16" s="28" customFormat="1" x14ac:dyDescent="0.25">
      <c r="A368" s="56"/>
      <c r="B368" s="62"/>
      <c r="C368" s="62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150"/>
    </row>
    <row r="369" spans="1:16" s="28" customFormat="1" x14ac:dyDescent="0.25">
      <c r="A369" s="56"/>
      <c r="B369" s="62"/>
      <c r="C369" s="62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150"/>
    </row>
    <row r="370" spans="1:16" s="28" customFormat="1" x14ac:dyDescent="0.25">
      <c r="A370" s="56"/>
      <c r="B370" s="62"/>
      <c r="C370" s="62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150"/>
    </row>
    <row r="371" spans="1:16" s="28" customFormat="1" x14ac:dyDescent="0.25">
      <c r="A371" s="56"/>
      <c r="B371" s="62"/>
      <c r="C371" s="62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150"/>
    </row>
    <row r="372" spans="1:16" s="28" customFormat="1" x14ac:dyDescent="0.25">
      <c r="A372" s="56"/>
      <c r="B372" s="62"/>
      <c r="C372" s="62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150"/>
    </row>
    <row r="373" spans="1:16" s="28" customFormat="1" x14ac:dyDescent="0.25">
      <c r="A373" s="56"/>
      <c r="B373" s="62"/>
      <c r="C373" s="62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150"/>
    </row>
    <row r="374" spans="1:16" s="28" customFormat="1" x14ac:dyDescent="0.25">
      <c r="A374" s="56"/>
      <c r="B374" s="62"/>
      <c r="C374" s="62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150"/>
    </row>
    <row r="375" spans="1:16" s="28" customFormat="1" x14ac:dyDescent="0.25">
      <c r="A375" s="56"/>
      <c r="B375" s="62"/>
      <c r="C375" s="62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150"/>
    </row>
    <row r="376" spans="1:16" s="28" customFormat="1" x14ac:dyDescent="0.25">
      <c r="A376" s="56"/>
      <c r="B376" s="62"/>
      <c r="C376" s="62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150"/>
    </row>
    <row r="377" spans="1:16" s="28" customFormat="1" x14ac:dyDescent="0.25">
      <c r="A377" s="56"/>
      <c r="B377" s="62"/>
      <c r="C377" s="62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150"/>
    </row>
    <row r="378" spans="1:16" s="28" customFormat="1" x14ac:dyDescent="0.25">
      <c r="A378" s="56"/>
      <c r="B378" s="62"/>
      <c r="C378" s="62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150"/>
    </row>
    <row r="379" spans="1:16" s="28" customFormat="1" x14ac:dyDescent="0.25">
      <c r="A379" s="56"/>
      <c r="B379" s="62"/>
      <c r="C379" s="62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150"/>
    </row>
    <row r="380" spans="1:16" s="28" customFormat="1" x14ac:dyDescent="0.25">
      <c r="A380" s="56"/>
      <c r="B380" s="62"/>
      <c r="C380" s="62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150"/>
    </row>
    <row r="381" spans="1:16" s="28" customFormat="1" x14ac:dyDescent="0.25">
      <c r="A381" s="56"/>
      <c r="B381" s="62"/>
      <c r="C381" s="62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150"/>
    </row>
    <row r="382" spans="1:16" s="28" customFormat="1" x14ac:dyDescent="0.25">
      <c r="A382" s="56"/>
      <c r="B382" s="62"/>
      <c r="C382" s="62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150"/>
    </row>
    <row r="383" spans="1:16" s="28" customFormat="1" x14ac:dyDescent="0.25">
      <c r="A383" s="56"/>
      <c r="B383" s="62"/>
      <c r="C383" s="62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150"/>
    </row>
    <row r="384" spans="1:16" s="28" customFormat="1" x14ac:dyDescent="0.25">
      <c r="A384" s="56"/>
      <c r="B384" s="62"/>
      <c r="C384" s="62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150"/>
    </row>
    <row r="385" spans="1:16" s="28" customFormat="1" x14ac:dyDescent="0.25">
      <c r="A385" s="56"/>
      <c r="B385" s="62"/>
      <c r="C385" s="62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150"/>
    </row>
    <row r="386" spans="1:16" s="28" customFormat="1" x14ac:dyDescent="0.25">
      <c r="A386" s="56"/>
      <c r="B386" s="62"/>
      <c r="C386" s="62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150"/>
    </row>
    <row r="387" spans="1:16" s="28" customFormat="1" x14ac:dyDescent="0.25">
      <c r="A387" s="56"/>
      <c r="B387" s="62"/>
      <c r="C387" s="62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150"/>
    </row>
    <row r="388" spans="1:16" s="28" customFormat="1" x14ac:dyDescent="0.25">
      <c r="A388" s="56"/>
      <c r="B388" s="62"/>
      <c r="C388" s="62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150"/>
    </row>
    <row r="389" spans="1:16" s="28" customFormat="1" x14ac:dyDescent="0.25">
      <c r="A389" s="56"/>
      <c r="B389" s="62"/>
      <c r="C389" s="62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150"/>
    </row>
    <row r="390" spans="1:16" s="28" customFormat="1" x14ac:dyDescent="0.25">
      <c r="A390" s="56"/>
      <c r="B390" s="62"/>
      <c r="C390" s="62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150"/>
    </row>
    <row r="391" spans="1:16" s="28" customFormat="1" x14ac:dyDescent="0.25">
      <c r="A391" s="56"/>
      <c r="B391" s="62"/>
      <c r="C391" s="62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150"/>
    </row>
    <row r="392" spans="1:16" s="28" customFormat="1" x14ac:dyDescent="0.25">
      <c r="A392" s="56"/>
      <c r="B392" s="62"/>
      <c r="C392" s="62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150"/>
    </row>
    <row r="393" spans="1:16" s="28" customFormat="1" x14ac:dyDescent="0.25">
      <c r="A393" s="56"/>
      <c r="B393" s="62"/>
      <c r="C393" s="62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150"/>
    </row>
    <row r="394" spans="1:16" s="28" customFormat="1" x14ac:dyDescent="0.25">
      <c r="A394" s="56"/>
      <c r="B394" s="62"/>
      <c r="C394" s="62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150"/>
    </row>
    <row r="395" spans="1:16" s="28" customFormat="1" x14ac:dyDescent="0.25">
      <c r="A395" s="56"/>
      <c r="B395" s="62"/>
      <c r="C395" s="62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150"/>
    </row>
    <row r="396" spans="1:16" s="28" customFormat="1" x14ac:dyDescent="0.25">
      <c r="A396" s="56"/>
      <c r="B396" s="62"/>
      <c r="C396" s="62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150"/>
    </row>
    <row r="397" spans="1:16" s="28" customFormat="1" x14ac:dyDescent="0.25">
      <c r="A397" s="56"/>
      <c r="B397" s="62"/>
      <c r="C397" s="62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150"/>
    </row>
    <row r="398" spans="1:16" s="28" customFormat="1" x14ac:dyDescent="0.25">
      <c r="A398" s="56"/>
      <c r="B398" s="62"/>
      <c r="C398" s="62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150"/>
    </row>
    <row r="399" spans="1:16" s="28" customFormat="1" x14ac:dyDescent="0.25">
      <c r="A399" s="56"/>
      <c r="B399" s="62"/>
      <c r="C399" s="62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150"/>
    </row>
    <row r="400" spans="1:16" s="28" customFormat="1" x14ac:dyDescent="0.25">
      <c r="A400" s="56"/>
      <c r="B400" s="62"/>
      <c r="C400" s="62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150"/>
    </row>
    <row r="401" spans="1:16" s="28" customFormat="1" x14ac:dyDescent="0.25">
      <c r="A401" s="56"/>
      <c r="B401" s="62"/>
      <c r="C401" s="62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150"/>
    </row>
    <row r="402" spans="1:16" s="28" customFormat="1" x14ac:dyDescent="0.25">
      <c r="A402" s="56"/>
      <c r="B402" s="62"/>
      <c r="C402" s="62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150"/>
    </row>
    <row r="403" spans="1:16" s="28" customFormat="1" x14ac:dyDescent="0.25">
      <c r="A403" s="56"/>
      <c r="B403" s="62"/>
      <c r="C403" s="62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150"/>
    </row>
    <row r="404" spans="1:16" s="28" customFormat="1" x14ac:dyDescent="0.25">
      <c r="A404" s="56"/>
      <c r="B404" s="62"/>
      <c r="C404" s="62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150"/>
    </row>
    <row r="405" spans="1:16" s="28" customFormat="1" x14ac:dyDescent="0.25">
      <c r="A405" s="56"/>
      <c r="B405" s="62"/>
      <c r="C405" s="62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150"/>
    </row>
    <row r="406" spans="1:16" s="28" customFormat="1" x14ac:dyDescent="0.25">
      <c r="A406" s="56"/>
      <c r="B406" s="62"/>
      <c r="C406" s="62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150"/>
    </row>
    <row r="407" spans="1:16" s="28" customFormat="1" x14ac:dyDescent="0.25">
      <c r="A407" s="56"/>
      <c r="B407" s="62"/>
      <c r="C407" s="62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150"/>
    </row>
    <row r="408" spans="1:16" s="28" customFormat="1" x14ac:dyDescent="0.25">
      <c r="A408" s="56"/>
      <c r="B408" s="62"/>
      <c r="C408" s="62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150"/>
    </row>
    <row r="409" spans="1:16" s="28" customFormat="1" x14ac:dyDescent="0.25">
      <c r="A409" s="56"/>
      <c r="B409" s="62"/>
      <c r="C409" s="62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150"/>
    </row>
    <row r="410" spans="1:16" s="28" customFormat="1" x14ac:dyDescent="0.25">
      <c r="A410" s="56"/>
      <c r="B410" s="62"/>
      <c r="C410" s="62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150"/>
    </row>
    <row r="411" spans="1:16" s="28" customFormat="1" x14ac:dyDescent="0.25">
      <c r="A411" s="56"/>
      <c r="B411" s="62"/>
      <c r="C411" s="62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150"/>
    </row>
    <row r="412" spans="1:16" s="28" customFormat="1" x14ac:dyDescent="0.25">
      <c r="A412" s="56"/>
      <c r="B412" s="62"/>
      <c r="C412" s="62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150"/>
    </row>
    <row r="413" spans="1:16" s="28" customFormat="1" x14ac:dyDescent="0.25">
      <c r="A413" s="56"/>
      <c r="B413" s="62"/>
      <c r="C413" s="62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150"/>
    </row>
    <row r="414" spans="1:16" s="28" customFormat="1" x14ac:dyDescent="0.25">
      <c r="A414" s="56"/>
      <c r="B414" s="62"/>
      <c r="C414" s="62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150"/>
    </row>
    <row r="415" spans="1:16" s="28" customFormat="1" x14ac:dyDescent="0.25">
      <c r="A415" s="56"/>
      <c r="B415" s="62"/>
      <c r="C415" s="62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150"/>
    </row>
    <row r="416" spans="1:16" s="28" customFormat="1" x14ac:dyDescent="0.25">
      <c r="A416" s="56"/>
      <c r="B416" s="62"/>
      <c r="C416" s="62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150"/>
    </row>
    <row r="417" spans="1:16" s="28" customFormat="1" x14ac:dyDescent="0.25">
      <c r="A417" s="56"/>
      <c r="B417" s="62"/>
      <c r="C417" s="62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150"/>
    </row>
    <row r="418" spans="1:16" s="28" customFormat="1" x14ac:dyDescent="0.25">
      <c r="A418" s="56"/>
      <c r="B418" s="62"/>
      <c r="C418" s="62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150"/>
    </row>
    <row r="419" spans="1:16" s="28" customFormat="1" x14ac:dyDescent="0.25">
      <c r="A419" s="56"/>
      <c r="B419" s="62"/>
      <c r="C419" s="62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150"/>
    </row>
    <row r="420" spans="1:16" s="28" customFormat="1" x14ac:dyDescent="0.25">
      <c r="A420" s="56"/>
      <c r="B420" s="62"/>
      <c r="C420" s="62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150"/>
    </row>
    <row r="421" spans="1:16" s="28" customFormat="1" x14ac:dyDescent="0.25">
      <c r="A421" s="56"/>
      <c r="B421" s="62"/>
      <c r="C421" s="62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150"/>
    </row>
    <row r="422" spans="1:16" s="28" customFormat="1" x14ac:dyDescent="0.25">
      <c r="A422" s="56"/>
      <c r="B422" s="62"/>
      <c r="C422" s="62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150"/>
    </row>
    <row r="423" spans="1:16" s="28" customFormat="1" x14ac:dyDescent="0.25">
      <c r="A423" s="56"/>
      <c r="B423" s="62"/>
      <c r="C423" s="62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150"/>
    </row>
    <row r="424" spans="1:16" s="28" customFormat="1" x14ac:dyDescent="0.25">
      <c r="A424" s="56"/>
      <c r="B424" s="62"/>
      <c r="C424" s="62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150"/>
    </row>
    <row r="425" spans="1:16" s="28" customFormat="1" x14ac:dyDescent="0.25">
      <c r="A425" s="56"/>
      <c r="B425" s="62"/>
      <c r="C425" s="62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150"/>
    </row>
    <row r="426" spans="1:16" s="28" customFormat="1" x14ac:dyDescent="0.25">
      <c r="A426" s="56"/>
      <c r="B426" s="62"/>
      <c r="C426" s="62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150"/>
    </row>
    <row r="427" spans="1:16" s="28" customFormat="1" x14ac:dyDescent="0.25">
      <c r="A427" s="56"/>
      <c r="B427" s="62"/>
      <c r="C427" s="62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150"/>
    </row>
    <row r="428" spans="1:16" s="28" customFormat="1" x14ac:dyDescent="0.25">
      <c r="A428" s="56"/>
      <c r="B428" s="62"/>
      <c r="C428" s="62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150"/>
    </row>
    <row r="429" spans="1:16" s="28" customFormat="1" x14ac:dyDescent="0.25">
      <c r="A429" s="56"/>
      <c r="B429" s="62"/>
      <c r="C429" s="62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150"/>
    </row>
    <row r="430" spans="1:16" s="28" customFormat="1" x14ac:dyDescent="0.25">
      <c r="A430" s="56"/>
      <c r="B430" s="62"/>
      <c r="C430" s="62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150"/>
    </row>
    <row r="431" spans="1:16" s="28" customFormat="1" x14ac:dyDescent="0.25">
      <c r="A431" s="56"/>
      <c r="B431" s="62"/>
      <c r="C431" s="62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150"/>
    </row>
    <row r="432" spans="1:16" s="28" customFormat="1" x14ac:dyDescent="0.25">
      <c r="A432" s="56"/>
      <c r="B432" s="62"/>
      <c r="C432" s="62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150"/>
    </row>
    <row r="433" spans="1:16" s="28" customFormat="1" x14ac:dyDescent="0.25">
      <c r="A433" s="56"/>
      <c r="B433" s="62"/>
      <c r="C433" s="62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150"/>
    </row>
    <row r="434" spans="1:16" s="28" customFormat="1" x14ac:dyDescent="0.25">
      <c r="A434" s="56"/>
      <c r="B434" s="62"/>
      <c r="C434" s="62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150"/>
    </row>
    <row r="435" spans="1:16" s="28" customFormat="1" x14ac:dyDescent="0.25">
      <c r="A435" s="56"/>
      <c r="B435" s="62"/>
      <c r="C435" s="62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150"/>
    </row>
    <row r="436" spans="1:16" s="28" customFormat="1" x14ac:dyDescent="0.25">
      <c r="A436" s="56"/>
      <c r="B436" s="62"/>
      <c r="C436" s="62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150"/>
    </row>
    <row r="437" spans="1:16" s="28" customFormat="1" x14ac:dyDescent="0.25">
      <c r="A437" s="56"/>
      <c r="B437" s="62"/>
      <c r="C437" s="62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150"/>
    </row>
    <row r="438" spans="1:16" s="28" customFormat="1" x14ac:dyDescent="0.25">
      <c r="A438" s="56"/>
      <c r="B438" s="62"/>
      <c r="C438" s="62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150"/>
    </row>
    <row r="439" spans="1:16" s="28" customFormat="1" x14ac:dyDescent="0.25">
      <c r="A439" s="56"/>
      <c r="B439" s="62"/>
      <c r="C439" s="62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150"/>
    </row>
    <row r="440" spans="1:16" s="28" customFormat="1" x14ac:dyDescent="0.25">
      <c r="A440" s="56"/>
      <c r="B440" s="62"/>
      <c r="C440" s="62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150"/>
    </row>
    <row r="441" spans="1:16" s="28" customFormat="1" x14ac:dyDescent="0.25">
      <c r="A441" s="56"/>
      <c r="B441" s="62"/>
      <c r="C441" s="62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150"/>
    </row>
    <row r="442" spans="1:16" s="28" customFormat="1" x14ac:dyDescent="0.25">
      <c r="A442" s="56"/>
      <c r="B442" s="62"/>
      <c r="C442" s="62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150"/>
    </row>
    <row r="443" spans="1:16" s="28" customFormat="1" x14ac:dyDescent="0.25">
      <c r="A443" s="56"/>
      <c r="B443" s="62"/>
      <c r="C443" s="62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150"/>
    </row>
    <row r="444" spans="1:16" s="28" customFormat="1" x14ac:dyDescent="0.25">
      <c r="A444" s="56"/>
      <c r="B444" s="62"/>
      <c r="C444" s="62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150"/>
    </row>
    <row r="445" spans="1:16" s="28" customFormat="1" x14ac:dyDescent="0.25">
      <c r="A445" s="56"/>
      <c r="B445" s="62"/>
      <c r="C445" s="62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150"/>
    </row>
    <row r="446" spans="1:16" s="28" customFormat="1" x14ac:dyDescent="0.25">
      <c r="A446" s="56"/>
      <c r="B446" s="62"/>
      <c r="C446" s="62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150"/>
    </row>
    <row r="447" spans="1:16" s="28" customFormat="1" x14ac:dyDescent="0.25">
      <c r="A447" s="56"/>
      <c r="B447" s="62"/>
      <c r="C447" s="62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150"/>
    </row>
    <row r="448" spans="1:16" s="28" customFormat="1" x14ac:dyDescent="0.25">
      <c r="A448" s="56"/>
      <c r="B448" s="62"/>
      <c r="C448" s="62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150"/>
    </row>
    <row r="449" spans="1:16" s="28" customFormat="1" x14ac:dyDescent="0.25">
      <c r="A449" s="56"/>
      <c r="B449" s="62"/>
      <c r="C449" s="62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150"/>
    </row>
    <row r="450" spans="1:16" s="28" customFormat="1" x14ac:dyDescent="0.25">
      <c r="A450" s="56"/>
      <c r="B450" s="62"/>
      <c r="C450" s="62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150"/>
    </row>
    <row r="451" spans="1:16" s="28" customFormat="1" x14ac:dyDescent="0.25">
      <c r="A451" s="56"/>
      <c r="B451" s="62"/>
      <c r="C451" s="62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150"/>
    </row>
    <row r="452" spans="1:16" s="28" customFormat="1" x14ac:dyDescent="0.25">
      <c r="A452" s="56"/>
      <c r="B452" s="62"/>
      <c r="C452" s="62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150"/>
    </row>
    <row r="453" spans="1:16" s="28" customFormat="1" x14ac:dyDescent="0.25">
      <c r="A453" s="56"/>
      <c r="B453" s="62"/>
      <c r="C453" s="62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150"/>
    </row>
    <row r="454" spans="1:16" s="28" customFormat="1" x14ac:dyDescent="0.25">
      <c r="A454" s="56"/>
      <c r="B454" s="62"/>
      <c r="C454" s="62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150"/>
    </row>
    <row r="455" spans="1:16" s="28" customFormat="1" x14ac:dyDescent="0.25">
      <c r="A455" s="56"/>
      <c r="B455" s="62"/>
      <c r="C455" s="62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150"/>
    </row>
    <row r="456" spans="1:16" s="28" customFormat="1" x14ac:dyDescent="0.25">
      <c r="A456" s="56"/>
      <c r="B456" s="62"/>
      <c r="C456" s="62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150"/>
    </row>
    <row r="457" spans="1:16" s="28" customFormat="1" x14ac:dyDescent="0.25">
      <c r="A457" s="56"/>
      <c r="B457" s="62"/>
      <c r="C457" s="62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150"/>
    </row>
    <row r="458" spans="1:16" s="28" customFormat="1" x14ac:dyDescent="0.25">
      <c r="A458" s="56"/>
      <c r="B458" s="62"/>
      <c r="C458" s="62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150"/>
    </row>
    <row r="459" spans="1:16" s="28" customFormat="1" x14ac:dyDescent="0.25">
      <c r="A459" s="56"/>
      <c r="B459" s="62"/>
      <c r="C459" s="62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150"/>
    </row>
    <row r="460" spans="1:16" s="28" customFormat="1" x14ac:dyDescent="0.25">
      <c r="A460" s="56"/>
      <c r="B460" s="62"/>
      <c r="C460" s="62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150"/>
    </row>
    <row r="461" spans="1:16" s="28" customFormat="1" x14ac:dyDescent="0.25">
      <c r="A461" s="56"/>
      <c r="B461" s="62"/>
      <c r="C461" s="62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150"/>
    </row>
    <row r="462" spans="1:16" s="28" customFormat="1" x14ac:dyDescent="0.25">
      <c r="A462" s="56"/>
      <c r="B462" s="62"/>
      <c r="C462" s="62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150"/>
    </row>
    <row r="463" spans="1:16" s="28" customFormat="1" x14ac:dyDescent="0.25">
      <c r="A463" s="56"/>
      <c r="B463" s="62"/>
      <c r="C463" s="62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150"/>
    </row>
    <row r="464" spans="1:16" s="28" customFormat="1" x14ac:dyDescent="0.25">
      <c r="A464" s="56"/>
      <c r="B464" s="62"/>
      <c r="C464" s="62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150"/>
    </row>
    <row r="465" spans="1:16" s="28" customFormat="1" x14ac:dyDescent="0.25">
      <c r="A465" s="56"/>
      <c r="B465" s="62"/>
      <c r="C465" s="62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150"/>
    </row>
    <row r="466" spans="1:16" s="28" customFormat="1" x14ac:dyDescent="0.25">
      <c r="A466" s="56"/>
      <c r="B466" s="62"/>
      <c r="C466" s="62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150"/>
    </row>
    <row r="467" spans="1:16" s="28" customFormat="1" x14ac:dyDescent="0.25">
      <c r="A467" s="56"/>
      <c r="B467" s="62"/>
      <c r="C467" s="62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150"/>
    </row>
    <row r="468" spans="1:16" s="28" customFormat="1" x14ac:dyDescent="0.25">
      <c r="A468" s="56"/>
      <c r="B468" s="62"/>
      <c r="C468" s="62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150"/>
    </row>
    <row r="469" spans="1:16" s="28" customFormat="1" x14ac:dyDescent="0.25">
      <c r="A469" s="56"/>
      <c r="B469" s="62"/>
      <c r="C469" s="62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150"/>
    </row>
    <row r="470" spans="1:16" s="28" customFormat="1" x14ac:dyDescent="0.25">
      <c r="A470" s="56"/>
      <c r="B470" s="62"/>
      <c r="C470" s="62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150"/>
    </row>
    <row r="471" spans="1:16" s="28" customFormat="1" x14ac:dyDescent="0.25">
      <c r="A471" s="56"/>
      <c r="B471" s="62"/>
      <c r="C471" s="62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150"/>
    </row>
    <row r="472" spans="1:16" s="28" customFormat="1" x14ac:dyDescent="0.25">
      <c r="A472" s="56"/>
      <c r="B472" s="62"/>
      <c r="C472" s="62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150"/>
    </row>
    <row r="473" spans="1:16" s="28" customFormat="1" x14ac:dyDescent="0.25">
      <c r="A473" s="56"/>
      <c r="B473" s="62"/>
      <c r="C473" s="62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150"/>
    </row>
    <row r="474" spans="1:16" s="28" customFormat="1" x14ac:dyDescent="0.25">
      <c r="A474" s="56"/>
      <c r="B474" s="62"/>
      <c r="C474" s="62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150"/>
    </row>
    <row r="475" spans="1:16" s="28" customFormat="1" x14ac:dyDescent="0.25">
      <c r="A475" s="56"/>
      <c r="B475" s="62"/>
      <c r="C475" s="62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150"/>
    </row>
    <row r="476" spans="1:16" s="28" customFormat="1" x14ac:dyDescent="0.25">
      <c r="A476" s="56"/>
      <c r="B476" s="62"/>
      <c r="C476" s="62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150"/>
    </row>
    <row r="477" spans="1:16" s="28" customFormat="1" x14ac:dyDescent="0.25">
      <c r="A477" s="56"/>
      <c r="B477" s="62"/>
      <c r="C477" s="62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150"/>
    </row>
    <row r="478" spans="1:16" s="28" customFormat="1" x14ac:dyDescent="0.25">
      <c r="A478" s="56"/>
      <c r="B478" s="62"/>
      <c r="C478" s="62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150"/>
    </row>
    <row r="479" spans="1:16" s="28" customFormat="1" x14ac:dyDescent="0.25">
      <c r="A479" s="56"/>
      <c r="B479" s="62"/>
      <c r="C479" s="62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150"/>
    </row>
    <row r="480" spans="1:16" s="28" customFormat="1" x14ac:dyDescent="0.25">
      <c r="A480" s="56"/>
      <c r="B480" s="62"/>
      <c r="C480" s="62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150"/>
    </row>
    <row r="481" spans="1:16" s="28" customFormat="1" x14ac:dyDescent="0.25">
      <c r="A481" s="56"/>
      <c r="B481" s="62"/>
      <c r="C481" s="62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150"/>
    </row>
    <row r="482" spans="1:16" s="28" customFormat="1" x14ac:dyDescent="0.25">
      <c r="A482" s="56"/>
      <c r="B482" s="62"/>
      <c r="C482" s="62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150"/>
    </row>
    <row r="483" spans="1:16" s="28" customFormat="1" x14ac:dyDescent="0.25">
      <c r="A483" s="56"/>
      <c r="B483" s="62"/>
      <c r="C483" s="62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150"/>
    </row>
    <row r="484" spans="1:16" s="28" customFormat="1" x14ac:dyDescent="0.25">
      <c r="A484" s="56"/>
      <c r="B484" s="62"/>
      <c r="C484" s="62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150"/>
    </row>
    <row r="485" spans="1:16" s="28" customFormat="1" x14ac:dyDescent="0.25">
      <c r="A485" s="56"/>
      <c r="B485" s="62"/>
      <c r="C485" s="62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150"/>
    </row>
    <row r="486" spans="1:16" s="28" customFormat="1" x14ac:dyDescent="0.25">
      <c r="A486" s="56"/>
      <c r="B486" s="62"/>
      <c r="C486" s="62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150"/>
    </row>
    <row r="487" spans="1:16" s="28" customFormat="1" x14ac:dyDescent="0.25">
      <c r="A487" s="56"/>
      <c r="B487" s="62"/>
      <c r="C487" s="62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150"/>
    </row>
    <row r="488" spans="1:16" s="28" customFormat="1" x14ac:dyDescent="0.25">
      <c r="A488" s="56"/>
      <c r="B488" s="62"/>
      <c r="C488" s="62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150"/>
    </row>
    <row r="489" spans="1:16" s="28" customFormat="1" x14ac:dyDescent="0.25">
      <c r="A489" s="56"/>
      <c r="B489" s="62"/>
      <c r="C489" s="62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150"/>
    </row>
    <row r="490" spans="1:16" s="28" customFormat="1" x14ac:dyDescent="0.25">
      <c r="A490" s="56"/>
      <c r="B490" s="62"/>
      <c r="C490" s="62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150"/>
    </row>
    <row r="491" spans="1:16" s="28" customFormat="1" x14ac:dyDescent="0.25">
      <c r="A491" s="56"/>
      <c r="B491" s="62"/>
      <c r="C491" s="62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150"/>
    </row>
    <row r="492" spans="1:16" s="28" customFormat="1" x14ac:dyDescent="0.25">
      <c r="A492" s="56"/>
      <c r="B492" s="62"/>
      <c r="C492" s="62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150"/>
    </row>
    <row r="493" spans="1:16" s="28" customFormat="1" x14ac:dyDescent="0.25">
      <c r="A493" s="56"/>
      <c r="B493" s="62"/>
      <c r="C493" s="62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150"/>
    </row>
    <row r="494" spans="1:16" s="28" customFormat="1" x14ac:dyDescent="0.25">
      <c r="A494" s="56"/>
      <c r="B494" s="62"/>
      <c r="C494" s="62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150"/>
    </row>
    <row r="495" spans="1:16" s="28" customFormat="1" x14ac:dyDescent="0.25">
      <c r="A495" s="56"/>
      <c r="B495" s="62"/>
      <c r="C495" s="62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150"/>
    </row>
    <row r="496" spans="1:16" s="28" customFormat="1" x14ac:dyDescent="0.25">
      <c r="A496" s="56"/>
      <c r="B496" s="62"/>
      <c r="C496" s="62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150"/>
    </row>
    <row r="497" spans="1:16" s="28" customFormat="1" x14ac:dyDescent="0.25">
      <c r="A497" s="56"/>
      <c r="B497" s="62"/>
      <c r="C497" s="62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150"/>
    </row>
    <row r="498" spans="1:16" s="28" customFormat="1" x14ac:dyDescent="0.25">
      <c r="A498" s="56"/>
      <c r="B498" s="62"/>
      <c r="C498" s="62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150"/>
    </row>
    <row r="499" spans="1:16" s="28" customFormat="1" x14ac:dyDescent="0.25">
      <c r="A499" s="56"/>
      <c r="B499" s="62"/>
      <c r="C499" s="62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150"/>
    </row>
    <row r="500" spans="1:16" s="28" customFormat="1" x14ac:dyDescent="0.25">
      <c r="A500" s="56"/>
      <c r="B500" s="62"/>
      <c r="C500" s="62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150"/>
    </row>
    <row r="501" spans="1:16" s="28" customFormat="1" x14ac:dyDescent="0.25">
      <c r="A501" s="56"/>
      <c r="B501" s="62"/>
      <c r="C501" s="62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150"/>
    </row>
    <row r="502" spans="1:16" s="28" customFormat="1" x14ac:dyDescent="0.25">
      <c r="A502" s="56"/>
      <c r="B502" s="62"/>
      <c r="C502" s="62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150"/>
    </row>
    <row r="503" spans="1:16" s="28" customFormat="1" x14ac:dyDescent="0.25">
      <c r="A503" s="56"/>
      <c r="B503" s="62"/>
      <c r="C503" s="62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150"/>
    </row>
    <row r="504" spans="1:16" s="28" customFormat="1" x14ac:dyDescent="0.25">
      <c r="A504" s="56"/>
      <c r="B504" s="62"/>
      <c r="C504" s="62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150"/>
    </row>
    <row r="505" spans="1:16" s="28" customFormat="1" x14ac:dyDescent="0.25">
      <c r="A505" s="56"/>
      <c r="B505" s="62"/>
      <c r="C505" s="62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150"/>
    </row>
    <row r="506" spans="1:16" s="28" customFormat="1" x14ac:dyDescent="0.25">
      <c r="A506" s="56"/>
      <c r="B506" s="62"/>
      <c r="C506" s="62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150"/>
    </row>
    <row r="507" spans="1:16" s="28" customFormat="1" x14ac:dyDescent="0.25">
      <c r="A507" s="56"/>
      <c r="B507" s="62"/>
      <c r="C507" s="62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150"/>
    </row>
    <row r="508" spans="1:16" s="28" customFormat="1" x14ac:dyDescent="0.25">
      <c r="A508" s="56"/>
      <c r="B508" s="62"/>
      <c r="C508" s="62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150"/>
    </row>
    <row r="509" spans="1:16" s="28" customFormat="1" x14ac:dyDescent="0.25">
      <c r="A509" s="56"/>
      <c r="B509" s="62"/>
      <c r="C509" s="62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150"/>
    </row>
    <row r="510" spans="1:16" s="28" customFormat="1" x14ac:dyDescent="0.25">
      <c r="A510" s="56"/>
      <c r="B510" s="62"/>
      <c r="C510" s="62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150"/>
    </row>
    <row r="511" spans="1:16" s="28" customFormat="1" x14ac:dyDescent="0.25">
      <c r="A511" s="56"/>
      <c r="B511" s="62"/>
      <c r="C511" s="62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150"/>
    </row>
    <row r="512" spans="1:16" s="28" customFormat="1" x14ac:dyDescent="0.25">
      <c r="A512" s="56"/>
      <c r="B512" s="62"/>
      <c r="C512" s="62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150"/>
    </row>
    <row r="513" spans="1:16" s="28" customFormat="1" x14ac:dyDescent="0.25">
      <c r="A513" s="56"/>
      <c r="B513" s="62"/>
      <c r="C513" s="62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150"/>
    </row>
    <row r="514" spans="1:16" s="28" customFormat="1" x14ac:dyDescent="0.25">
      <c r="A514" s="56"/>
      <c r="B514" s="62"/>
      <c r="C514" s="62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150"/>
    </row>
    <row r="515" spans="1:16" s="28" customFormat="1" x14ac:dyDescent="0.25">
      <c r="A515" s="56"/>
      <c r="B515" s="62"/>
      <c r="C515" s="62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150"/>
    </row>
    <row r="516" spans="1:16" s="28" customFormat="1" x14ac:dyDescent="0.25">
      <c r="A516" s="56"/>
      <c r="B516" s="62"/>
      <c r="C516" s="62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150"/>
    </row>
    <row r="517" spans="1:16" s="28" customFormat="1" x14ac:dyDescent="0.25">
      <c r="A517" s="56"/>
      <c r="B517" s="62"/>
      <c r="C517" s="62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150"/>
    </row>
    <row r="518" spans="1:16" s="28" customFormat="1" x14ac:dyDescent="0.25">
      <c r="A518" s="56"/>
      <c r="B518" s="62"/>
      <c r="C518" s="62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150"/>
    </row>
    <row r="519" spans="1:16" s="28" customFormat="1" x14ac:dyDescent="0.25">
      <c r="A519" s="56"/>
      <c r="B519" s="62"/>
      <c r="C519" s="62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150"/>
    </row>
    <row r="520" spans="1:16" s="28" customFormat="1" x14ac:dyDescent="0.25">
      <c r="A520" s="56"/>
      <c r="B520" s="62"/>
      <c r="C520" s="62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150"/>
    </row>
    <row r="521" spans="1:16" s="28" customFormat="1" x14ac:dyDescent="0.25">
      <c r="A521" s="56"/>
      <c r="B521" s="62"/>
      <c r="C521" s="62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150"/>
    </row>
    <row r="522" spans="1:16" s="28" customFormat="1" x14ac:dyDescent="0.25">
      <c r="A522" s="56"/>
      <c r="B522" s="62"/>
      <c r="C522" s="62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150"/>
    </row>
    <row r="523" spans="1:16" s="28" customFormat="1" x14ac:dyDescent="0.25">
      <c r="A523" s="56"/>
      <c r="B523" s="62"/>
      <c r="C523" s="62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150"/>
    </row>
    <row r="524" spans="1:16" s="28" customFormat="1" x14ac:dyDescent="0.25">
      <c r="A524" s="56"/>
      <c r="B524" s="62"/>
      <c r="C524" s="62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150"/>
    </row>
    <row r="525" spans="1:16" s="28" customFormat="1" x14ac:dyDescent="0.25">
      <c r="A525" s="56"/>
      <c r="B525" s="62"/>
      <c r="C525" s="62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150"/>
    </row>
    <row r="526" spans="1:16" s="28" customFormat="1" x14ac:dyDescent="0.25">
      <c r="A526" s="56"/>
      <c r="B526" s="62"/>
      <c r="C526" s="62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150"/>
    </row>
    <row r="527" spans="1:16" s="28" customFormat="1" x14ac:dyDescent="0.25">
      <c r="A527" s="56"/>
      <c r="B527" s="62"/>
      <c r="C527" s="62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150"/>
    </row>
    <row r="528" spans="1:16" s="28" customFormat="1" x14ac:dyDescent="0.25">
      <c r="A528" s="56"/>
      <c r="B528" s="62"/>
      <c r="C528" s="62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150"/>
    </row>
    <row r="529" spans="1:16" s="28" customFormat="1" x14ac:dyDescent="0.25">
      <c r="A529" s="56"/>
      <c r="B529" s="62"/>
      <c r="C529" s="62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150"/>
    </row>
    <row r="530" spans="1:16" s="28" customFormat="1" x14ac:dyDescent="0.25">
      <c r="A530" s="56"/>
      <c r="B530" s="62"/>
      <c r="C530" s="62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150"/>
    </row>
    <row r="531" spans="1:16" s="28" customFormat="1" x14ac:dyDescent="0.25">
      <c r="A531" s="56"/>
      <c r="B531" s="62"/>
      <c r="C531" s="62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150"/>
    </row>
    <row r="532" spans="1:16" s="28" customFormat="1" x14ac:dyDescent="0.25">
      <c r="A532" s="56"/>
      <c r="B532" s="62"/>
      <c r="C532" s="62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150"/>
    </row>
    <row r="533" spans="1:16" s="28" customFormat="1" x14ac:dyDescent="0.25">
      <c r="A533" s="56"/>
      <c r="B533" s="62"/>
      <c r="C533" s="62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150"/>
    </row>
    <row r="534" spans="1:16" s="28" customFormat="1" x14ac:dyDescent="0.25">
      <c r="A534" s="56"/>
      <c r="B534" s="62"/>
      <c r="C534" s="62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150"/>
    </row>
    <row r="535" spans="1:16" s="28" customFormat="1" x14ac:dyDescent="0.25">
      <c r="A535" s="56"/>
      <c r="B535" s="62"/>
      <c r="C535" s="62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150"/>
    </row>
    <row r="536" spans="1:16" s="28" customFormat="1" x14ac:dyDescent="0.25">
      <c r="A536" s="56"/>
      <c r="B536" s="62"/>
      <c r="C536" s="62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150"/>
    </row>
    <row r="537" spans="1:16" s="28" customFormat="1" x14ac:dyDescent="0.25">
      <c r="A537" s="56"/>
      <c r="B537" s="62"/>
      <c r="C537" s="62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150"/>
    </row>
    <row r="538" spans="1:16" s="28" customFormat="1" x14ac:dyDescent="0.25">
      <c r="A538" s="56"/>
      <c r="B538" s="62"/>
      <c r="C538" s="62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150"/>
    </row>
    <row r="539" spans="1:16" s="28" customFormat="1" x14ac:dyDescent="0.25">
      <c r="A539" s="56"/>
      <c r="B539" s="62"/>
      <c r="C539" s="62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150"/>
    </row>
    <row r="540" spans="1:16" s="28" customFormat="1" x14ac:dyDescent="0.25">
      <c r="A540" s="56"/>
      <c r="B540" s="62"/>
      <c r="C540" s="62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150"/>
    </row>
    <row r="541" spans="1:16" s="28" customFormat="1" x14ac:dyDescent="0.25">
      <c r="A541" s="56"/>
      <c r="B541" s="62"/>
      <c r="C541" s="62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150"/>
    </row>
    <row r="542" spans="1:16" s="28" customFormat="1" x14ac:dyDescent="0.25">
      <c r="A542" s="56"/>
      <c r="B542" s="62"/>
      <c r="C542" s="62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150"/>
    </row>
    <row r="543" spans="1:16" s="28" customFormat="1" x14ac:dyDescent="0.25">
      <c r="A543" s="56"/>
      <c r="B543" s="62"/>
      <c r="C543" s="62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150"/>
    </row>
    <row r="544" spans="1:16" s="28" customFormat="1" x14ac:dyDescent="0.25">
      <c r="A544" s="56"/>
      <c r="B544" s="62"/>
      <c r="C544" s="62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150"/>
    </row>
    <row r="545" spans="1:16" s="28" customFormat="1" x14ac:dyDescent="0.25">
      <c r="A545" s="56"/>
      <c r="B545" s="62"/>
      <c r="C545" s="62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150"/>
    </row>
    <row r="546" spans="1:16" s="28" customFormat="1" x14ac:dyDescent="0.25">
      <c r="A546" s="56"/>
      <c r="B546" s="62"/>
      <c r="C546" s="62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150"/>
    </row>
    <row r="547" spans="1:16" s="28" customFormat="1" x14ac:dyDescent="0.25">
      <c r="A547" s="56"/>
      <c r="B547" s="62"/>
      <c r="C547" s="62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150"/>
    </row>
    <row r="548" spans="1:16" s="28" customFormat="1" x14ac:dyDescent="0.25">
      <c r="A548" s="56"/>
      <c r="B548" s="62"/>
      <c r="C548" s="62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150"/>
    </row>
    <row r="549" spans="1:16" s="28" customFormat="1" x14ac:dyDescent="0.25">
      <c r="A549" s="56"/>
      <c r="B549" s="62"/>
      <c r="C549" s="62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150"/>
    </row>
    <row r="550" spans="1:16" s="28" customFormat="1" x14ac:dyDescent="0.25">
      <c r="A550" s="56"/>
      <c r="B550" s="62"/>
      <c r="C550" s="62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150"/>
    </row>
    <row r="551" spans="1:16" s="28" customFormat="1" x14ac:dyDescent="0.25">
      <c r="A551" s="56"/>
      <c r="B551" s="62"/>
      <c r="C551" s="62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150"/>
    </row>
    <row r="552" spans="1:16" s="28" customFormat="1" x14ac:dyDescent="0.25">
      <c r="A552" s="56"/>
      <c r="B552" s="62"/>
      <c r="C552" s="62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150"/>
    </row>
    <row r="553" spans="1:16" s="28" customFormat="1" x14ac:dyDescent="0.25">
      <c r="A553" s="56"/>
      <c r="B553" s="62"/>
      <c r="C553" s="62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150"/>
    </row>
    <row r="554" spans="1:16" s="28" customFormat="1" x14ac:dyDescent="0.25">
      <c r="A554" s="56"/>
      <c r="B554" s="62"/>
      <c r="C554" s="62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150"/>
    </row>
    <row r="555" spans="1:16" s="28" customFormat="1" x14ac:dyDescent="0.25">
      <c r="A555" s="56"/>
      <c r="B555" s="62"/>
      <c r="C555" s="62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150"/>
    </row>
    <row r="556" spans="1:16" s="28" customFormat="1" x14ac:dyDescent="0.25">
      <c r="A556" s="56"/>
      <c r="B556" s="62"/>
      <c r="C556" s="62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150"/>
    </row>
    <row r="557" spans="1:16" s="28" customFormat="1" x14ac:dyDescent="0.25">
      <c r="A557" s="56"/>
      <c r="B557" s="62"/>
      <c r="C557" s="62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150"/>
    </row>
    <row r="558" spans="1:16" s="28" customFormat="1" x14ac:dyDescent="0.25">
      <c r="A558" s="56"/>
      <c r="B558" s="62"/>
      <c r="C558" s="62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150"/>
    </row>
    <row r="559" spans="1:16" s="28" customFormat="1" x14ac:dyDescent="0.25">
      <c r="A559" s="56"/>
      <c r="B559" s="62"/>
      <c r="C559" s="62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150"/>
    </row>
    <row r="560" spans="1:16" s="28" customFormat="1" x14ac:dyDescent="0.25">
      <c r="A560" s="56"/>
      <c r="B560" s="62"/>
      <c r="C560" s="62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150"/>
    </row>
    <row r="561" spans="1:16" s="28" customFormat="1" x14ac:dyDescent="0.25">
      <c r="A561" s="56"/>
      <c r="B561" s="62"/>
      <c r="C561" s="62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150"/>
    </row>
    <row r="562" spans="1:16" s="28" customFormat="1" x14ac:dyDescent="0.25">
      <c r="A562" s="56"/>
      <c r="B562" s="62"/>
      <c r="C562" s="62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150"/>
    </row>
    <row r="563" spans="1:16" s="28" customFormat="1" x14ac:dyDescent="0.25">
      <c r="A563" s="56"/>
      <c r="B563" s="62"/>
      <c r="C563" s="62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150"/>
    </row>
    <row r="564" spans="1:16" s="28" customFormat="1" x14ac:dyDescent="0.25">
      <c r="A564" s="56"/>
      <c r="B564" s="62"/>
      <c r="C564" s="62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150"/>
    </row>
    <row r="565" spans="1:16" s="28" customFormat="1" x14ac:dyDescent="0.25">
      <c r="A565" s="56"/>
      <c r="B565" s="62"/>
      <c r="C565" s="62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150"/>
    </row>
    <row r="566" spans="1:16" s="28" customFormat="1" x14ac:dyDescent="0.25">
      <c r="A566" s="56"/>
      <c r="B566" s="62"/>
      <c r="C566" s="62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150"/>
    </row>
    <row r="567" spans="1:16" s="28" customFormat="1" x14ac:dyDescent="0.25">
      <c r="A567" s="56"/>
      <c r="B567" s="62"/>
      <c r="C567" s="62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150"/>
    </row>
    <row r="568" spans="1:16" s="28" customFormat="1" x14ac:dyDescent="0.25">
      <c r="A568" s="56"/>
      <c r="B568" s="62"/>
      <c r="C568" s="62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150"/>
    </row>
    <row r="569" spans="1:16" s="28" customFormat="1" x14ac:dyDescent="0.25">
      <c r="A569" s="56"/>
      <c r="B569" s="62"/>
      <c r="C569" s="62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150"/>
    </row>
    <row r="570" spans="1:16" s="28" customFormat="1" x14ac:dyDescent="0.25">
      <c r="A570" s="56"/>
      <c r="B570" s="62"/>
      <c r="C570" s="62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150"/>
    </row>
    <row r="571" spans="1:16" s="28" customFormat="1" x14ac:dyDescent="0.25">
      <c r="A571" s="56"/>
      <c r="B571" s="62"/>
      <c r="C571" s="62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150"/>
    </row>
    <row r="572" spans="1:16" s="28" customFormat="1" x14ac:dyDescent="0.25">
      <c r="A572" s="56"/>
      <c r="B572" s="62"/>
      <c r="C572" s="62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150"/>
    </row>
    <row r="573" spans="1:16" s="28" customFormat="1" x14ac:dyDescent="0.25">
      <c r="A573" s="56"/>
      <c r="B573" s="62"/>
      <c r="C573" s="62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150"/>
    </row>
    <row r="574" spans="1:16" s="28" customFormat="1" x14ac:dyDescent="0.25">
      <c r="A574" s="56"/>
      <c r="B574" s="62"/>
      <c r="C574" s="62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150"/>
    </row>
    <row r="575" spans="1:16" s="28" customFormat="1" x14ac:dyDescent="0.25">
      <c r="A575" s="56"/>
      <c r="B575" s="62"/>
      <c r="C575" s="62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150"/>
    </row>
    <row r="576" spans="1:16" s="28" customFormat="1" x14ac:dyDescent="0.25">
      <c r="A576" s="56"/>
      <c r="B576" s="62"/>
      <c r="C576" s="62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150"/>
    </row>
    <row r="577" spans="1:16" s="28" customFormat="1" x14ac:dyDescent="0.25">
      <c r="A577" s="56"/>
      <c r="B577" s="62"/>
      <c r="C577" s="62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150"/>
    </row>
    <row r="578" spans="1:16" s="28" customFormat="1" x14ac:dyDescent="0.25">
      <c r="A578" s="56"/>
      <c r="B578" s="62"/>
      <c r="C578" s="62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150"/>
    </row>
    <row r="579" spans="1:16" s="28" customFormat="1" x14ac:dyDescent="0.25">
      <c r="A579" s="56"/>
      <c r="B579" s="62"/>
      <c r="C579" s="62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150"/>
    </row>
    <row r="580" spans="1:16" s="28" customFormat="1" x14ac:dyDescent="0.25">
      <c r="A580" s="56"/>
      <c r="B580" s="62"/>
      <c r="C580" s="62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150"/>
    </row>
    <row r="581" spans="1:16" s="28" customFormat="1" x14ac:dyDescent="0.25">
      <c r="A581" s="56"/>
      <c r="B581" s="62"/>
      <c r="C581" s="62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150"/>
    </row>
    <row r="582" spans="1:16" s="28" customFormat="1" x14ac:dyDescent="0.25">
      <c r="A582" s="56"/>
      <c r="B582" s="62"/>
      <c r="C582" s="62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150"/>
    </row>
    <row r="583" spans="1:16" s="28" customFormat="1" x14ac:dyDescent="0.25">
      <c r="A583" s="56"/>
      <c r="B583" s="62"/>
      <c r="C583" s="62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150"/>
    </row>
    <row r="584" spans="1:16" s="28" customFormat="1" x14ac:dyDescent="0.25">
      <c r="A584" s="56"/>
      <c r="B584" s="62"/>
      <c r="C584" s="62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150"/>
    </row>
    <row r="585" spans="1:16" s="28" customFormat="1" x14ac:dyDescent="0.25">
      <c r="A585" s="56"/>
      <c r="B585" s="62"/>
      <c r="C585" s="62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150"/>
    </row>
    <row r="586" spans="1:16" s="28" customFormat="1" x14ac:dyDescent="0.25">
      <c r="A586" s="56"/>
      <c r="B586" s="62"/>
      <c r="C586" s="62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150"/>
    </row>
    <row r="587" spans="1:16" s="28" customFormat="1" x14ac:dyDescent="0.25">
      <c r="A587" s="56"/>
      <c r="B587" s="62"/>
      <c r="C587" s="62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150"/>
    </row>
    <row r="588" spans="1:16" s="28" customFormat="1" x14ac:dyDescent="0.25">
      <c r="A588" s="56"/>
      <c r="B588" s="62"/>
      <c r="C588" s="62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150"/>
    </row>
    <row r="589" spans="1:16" s="28" customFormat="1" x14ac:dyDescent="0.25">
      <c r="A589" s="56"/>
      <c r="B589" s="62"/>
      <c r="C589" s="62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150"/>
    </row>
    <row r="590" spans="1:16" s="28" customFormat="1" x14ac:dyDescent="0.25">
      <c r="A590" s="56"/>
      <c r="B590" s="62"/>
      <c r="C590" s="62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150"/>
    </row>
    <row r="591" spans="1:16" s="28" customFormat="1" x14ac:dyDescent="0.25">
      <c r="A591" s="56"/>
      <c r="B591" s="62"/>
      <c r="C591" s="62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150"/>
    </row>
    <row r="592" spans="1:16" s="28" customFormat="1" x14ac:dyDescent="0.25">
      <c r="A592" s="56"/>
      <c r="B592" s="62"/>
      <c r="C592" s="62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150"/>
    </row>
    <row r="593" spans="1:16" s="28" customFormat="1" x14ac:dyDescent="0.25">
      <c r="A593" s="56"/>
      <c r="B593" s="62"/>
      <c r="C593" s="62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150"/>
    </row>
    <row r="594" spans="1:16" s="28" customFormat="1" x14ac:dyDescent="0.25">
      <c r="A594" s="56"/>
      <c r="B594" s="62"/>
      <c r="C594" s="62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150"/>
    </row>
    <row r="595" spans="1:16" s="28" customFormat="1" x14ac:dyDescent="0.25">
      <c r="A595" s="56"/>
      <c r="B595" s="62"/>
      <c r="C595" s="62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150"/>
    </row>
    <row r="596" spans="1:16" s="28" customFormat="1" x14ac:dyDescent="0.25">
      <c r="A596" s="56"/>
      <c r="B596" s="62"/>
      <c r="C596" s="62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150"/>
    </row>
    <row r="597" spans="1:16" s="28" customFormat="1" x14ac:dyDescent="0.25">
      <c r="A597" s="56"/>
      <c r="B597" s="62"/>
      <c r="C597" s="62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150"/>
    </row>
    <row r="598" spans="1:16" s="28" customFormat="1" x14ac:dyDescent="0.25">
      <c r="A598" s="56"/>
      <c r="B598" s="62"/>
      <c r="C598" s="62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150"/>
    </row>
    <row r="599" spans="1:16" s="28" customFormat="1" x14ac:dyDescent="0.25">
      <c r="A599" s="56"/>
      <c r="B599" s="62"/>
      <c r="C599" s="62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150"/>
    </row>
    <row r="600" spans="1:16" s="28" customFormat="1" x14ac:dyDescent="0.25">
      <c r="A600" s="56"/>
      <c r="B600" s="62"/>
      <c r="C600" s="62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150"/>
    </row>
    <row r="601" spans="1:16" s="28" customFormat="1" x14ac:dyDescent="0.25">
      <c r="A601" s="56"/>
      <c r="B601" s="62"/>
      <c r="C601" s="62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150"/>
    </row>
    <row r="602" spans="1:16" s="28" customFormat="1" x14ac:dyDescent="0.25">
      <c r="A602" s="56"/>
      <c r="B602" s="62"/>
      <c r="C602" s="62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150"/>
    </row>
    <row r="603" spans="1:16" s="28" customFormat="1" x14ac:dyDescent="0.25">
      <c r="A603" s="56"/>
      <c r="B603" s="62"/>
      <c r="C603" s="62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150"/>
    </row>
    <row r="604" spans="1:16" s="28" customFormat="1" x14ac:dyDescent="0.25">
      <c r="A604" s="56"/>
      <c r="B604" s="62"/>
      <c r="C604" s="62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150"/>
    </row>
    <row r="605" spans="1:16" s="28" customFormat="1" x14ac:dyDescent="0.25">
      <c r="A605" s="56"/>
      <c r="B605" s="62"/>
      <c r="C605" s="62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150"/>
    </row>
    <row r="606" spans="1:16" s="28" customFormat="1" x14ac:dyDescent="0.25">
      <c r="A606" s="56"/>
      <c r="B606" s="62"/>
      <c r="C606" s="62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150"/>
    </row>
    <row r="607" spans="1:16" s="28" customFormat="1" x14ac:dyDescent="0.25">
      <c r="A607" s="56"/>
      <c r="B607" s="62"/>
      <c r="C607" s="62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150"/>
    </row>
    <row r="608" spans="1:16" s="28" customFormat="1" x14ac:dyDescent="0.25">
      <c r="A608" s="56"/>
      <c r="B608" s="62"/>
      <c r="C608" s="62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150"/>
    </row>
    <row r="609" spans="1:16" s="28" customFormat="1" x14ac:dyDescent="0.25">
      <c r="A609" s="56"/>
      <c r="B609" s="62"/>
      <c r="C609" s="62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150"/>
    </row>
    <row r="610" spans="1:16" s="28" customFormat="1" x14ac:dyDescent="0.25">
      <c r="A610" s="56"/>
      <c r="B610" s="62"/>
      <c r="C610" s="62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150"/>
    </row>
    <row r="611" spans="1:16" s="28" customFormat="1" x14ac:dyDescent="0.25">
      <c r="A611" s="56"/>
      <c r="B611" s="62"/>
      <c r="C611" s="62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150"/>
    </row>
    <row r="612" spans="1:16" s="28" customFormat="1" x14ac:dyDescent="0.25">
      <c r="A612" s="56"/>
      <c r="B612" s="62"/>
      <c r="C612" s="62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150"/>
    </row>
    <row r="613" spans="1:16" s="28" customFormat="1" x14ac:dyDescent="0.25">
      <c r="A613" s="56"/>
      <c r="B613" s="62"/>
      <c r="C613" s="62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150"/>
    </row>
    <row r="614" spans="1:16" s="28" customFormat="1" x14ac:dyDescent="0.25">
      <c r="A614" s="56"/>
      <c r="B614" s="62"/>
      <c r="C614" s="62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150"/>
    </row>
    <row r="615" spans="1:16" s="28" customFormat="1" x14ac:dyDescent="0.25">
      <c r="A615" s="56"/>
      <c r="B615" s="62"/>
      <c r="C615" s="62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150"/>
    </row>
    <row r="616" spans="1:16" s="28" customFormat="1" x14ac:dyDescent="0.25">
      <c r="A616" s="56"/>
      <c r="B616" s="62"/>
      <c r="C616" s="62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150"/>
    </row>
    <row r="617" spans="1:16" s="28" customFormat="1" x14ac:dyDescent="0.25">
      <c r="A617" s="56"/>
      <c r="B617" s="62"/>
      <c r="C617" s="62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150"/>
    </row>
    <row r="618" spans="1:16" s="28" customFormat="1" x14ac:dyDescent="0.25">
      <c r="A618" s="56"/>
      <c r="B618" s="62"/>
      <c r="C618" s="62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150"/>
    </row>
    <row r="619" spans="1:16" s="28" customFormat="1" x14ac:dyDescent="0.25">
      <c r="A619" s="56"/>
      <c r="B619" s="62"/>
      <c r="C619" s="62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150"/>
    </row>
    <row r="620" spans="1:16" s="28" customFormat="1" x14ac:dyDescent="0.25">
      <c r="A620" s="56"/>
      <c r="B620" s="62"/>
      <c r="C620" s="62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150"/>
    </row>
    <row r="621" spans="1:16" s="28" customFormat="1" x14ac:dyDescent="0.25">
      <c r="A621" s="56"/>
      <c r="B621" s="62"/>
      <c r="C621" s="62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150"/>
    </row>
    <row r="622" spans="1:16" s="28" customFormat="1" x14ac:dyDescent="0.25">
      <c r="A622" s="56"/>
      <c r="B622" s="62"/>
      <c r="C622" s="62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150"/>
    </row>
    <row r="623" spans="1:16" s="28" customFormat="1" x14ac:dyDescent="0.25">
      <c r="A623" s="56"/>
      <c r="B623" s="62"/>
      <c r="C623" s="62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150"/>
    </row>
    <row r="624" spans="1:16" s="28" customFormat="1" x14ac:dyDescent="0.25">
      <c r="A624" s="56"/>
      <c r="B624" s="62"/>
      <c r="C624" s="62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150"/>
    </row>
    <row r="625" spans="1:16" s="28" customFormat="1" x14ac:dyDescent="0.25">
      <c r="A625" s="56"/>
      <c r="B625" s="62"/>
      <c r="C625" s="62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150"/>
    </row>
    <row r="626" spans="1:16" s="28" customFormat="1" x14ac:dyDescent="0.25">
      <c r="A626" s="56"/>
      <c r="B626" s="62"/>
      <c r="C626" s="62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150"/>
    </row>
    <row r="627" spans="1:16" s="28" customFormat="1" x14ac:dyDescent="0.25">
      <c r="A627" s="56"/>
      <c r="B627" s="62"/>
      <c r="C627" s="62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150"/>
    </row>
    <row r="628" spans="1:16" s="28" customFormat="1" x14ac:dyDescent="0.25">
      <c r="A628" s="56"/>
      <c r="B628" s="62"/>
      <c r="C628" s="62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150"/>
    </row>
    <row r="629" spans="1:16" s="28" customFormat="1" x14ac:dyDescent="0.25">
      <c r="A629" s="56"/>
      <c r="B629" s="62"/>
      <c r="C629" s="62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150"/>
    </row>
    <row r="630" spans="1:16" s="28" customFormat="1" x14ac:dyDescent="0.25">
      <c r="A630" s="56"/>
      <c r="B630" s="62"/>
      <c r="C630" s="62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150"/>
    </row>
    <row r="631" spans="1:16" s="28" customFormat="1" x14ac:dyDescent="0.25">
      <c r="A631" s="56"/>
      <c r="B631" s="62"/>
      <c r="C631" s="62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150"/>
    </row>
    <row r="632" spans="1:16" s="28" customFormat="1" x14ac:dyDescent="0.25">
      <c r="A632" s="56"/>
      <c r="B632" s="62"/>
      <c r="C632" s="62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150"/>
    </row>
    <row r="633" spans="1:16" s="28" customFormat="1" x14ac:dyDescent="0.25">
      <c r="A633" s="56"/>
      <c r="B633" s="62"/>
      <c r="C633" s="62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150"/>
    </row>
    <row r="634" spans="1:16" s="28" customFormat="1" x14ac:dyDescent="0.25">
      <c r="A634" s="56"/>
      <c r="B634" s="62"/>
      <c r="C634" s="62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150"/>
    </row>
    <row r="635" spans="1:16" s="28" customFormat="1" x14ac:dyDescent="0.25">
      <c r="A635" s="56"/>
      <c r="B635" s="62"/>
      <c r="C635" s="62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150"/>
    </row>
    <row r="636" spans="1:16" s="28" customFormat="1" x14ac:dyDescent="0.25">
      <c r="A636" s="56"/>
      <c r="B636" s="62"/>
      <c r="C636" s="62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150"/>
    </row>
    <row r="637" spans="1:16" s="28" customFormat="1" x14ac:dyDescent="0.25">
      <c r="A637" s="56"/>
      <c r="B637" s="62"/>
      <c r="C637" s="62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150"/>
    </row>
    <row r="638" spans="1:16" s="28" customFormat="1" x14ac:dyDescent="0.25">
      <c r="A638" s="56"/>
      <c r="B638" s="62"/>
      <c r="C638" s="62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150"/>
    </row>
    <row r="639" spans="1:16" s="28" customFormat="1" x14ac:dyDescent="0.25">
      <c r="A639" s="56"/>
      <c r="B639" s="62"/>
      <c r="C639" s="62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150"/>
    </row>
    <row r="640" spans="1:16" s="28" customFormat="1" x14ac:dyDescent="0.25">
      <c r="A640" s="56"/>
      <c r="B640" s="62"/>
      <c r="C640" s="62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150"/>
    </row>
    <row r="641" spans="1:16" s="28" customFormat="1" x14ac:dyDescent="0.25">
      <c r="A641" s="56"/>
      <c r="B641" s="62"/>
      <c r="C641" s="62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150"/>
    </row>
    <row r="642" spans="1:16" s="28" customFormat="1" x14ac:dyDescent="0.25">
      <c r="A642" s="56"/>
      <c r="B642" s="62"/>
      <c r="C642" s="62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150"/>
    </row>
    <row r="643" spans="1:16" s="28" customFormat="1" x14ac:dyDescent="0.25">
      <c r="A643" s="56"/>
      <c r="B643" s="62"/>
      <c r="C643" s="62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150"/>
    </row>
    <row r="644" spans="1:16" s="28" customFormat="1" x14ac:dyDescent="0.25">
      <c r="A644" s="56"/>
      <c r="B644" s="62"/>
      <c r="C644" s="62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150"/>
    </row>
    <row r="645" spans="1:16" s="28" customFormat="1" x14ac:dyDescent="0.25">
      <c r="A645" s="56"/>
      <c r="B645" s="62"/>
      <c r="C645" s="62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150"/>
    </row>
    <row r="646" spans="1:16" s="28" customFormat="1" x14ac:dyDescent="0.25">
      <c r="A646" s="56"/>
      <c r="B646" s="62"/>
      <c r="C646" s="62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150"/>
    </row>
    <row r="647" spans="1:16" s="28" customFormat="1" x14ac:dyDescent="0.25">
      <c r="A647" s="56"/>
      <c r="B647" s="62"/>
      <c r="C647" s="62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150"/>
    </row>
    <row r="648" spans="1:16" s="28" customFormat="1" x14ac:dyDescent="0.25">
      <c r="A648" s="56"/>
      <c r="B648" s="62"/>
      <c r="C648" s="62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150"/>
    </row>
    <row r="649" spans="1:16" s="28" customFormat="1" x14ac:dyDescent="0.25">
      <c r="A649" s="56"/>
      <c r="B649" s="62"/>
      <c r="C649" s="62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150"/>
    </row>
    <row r="650" spans="1:16" s="28" customFormat="1" x14ac:dyDescent="0.25">
      <c r="A650" s="56"/>
      <c r="B650" s="62"/>
      <c r="C650" s="62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150"/>
    </row>
    <row r="651" spans="1:16" s="28" customFormat="1" x14ac:dyDescent="0.25">
      <c r="A651" s="56"/>
      <c r="B651" s="62"/>
      <c r="C651" s="62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150"/>
    </row>
    <row r="652" spans="1:16" s="28" customFormat="1" x14ac:dyDescent="0.25">
      <c r="A652" s="56"/>
      <c r="B652" s="62"/>
      <c r="C652" s="62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150"/>
    </row>
    <row r="653" spans="1:16" s="28" customFormat="1" x14ac:dyDescent="0.25">
      <c r="A653" s="56"/>
      <c r="B653" s="62"/>
      <c r="C653" s="62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150"/>
    </row>
    <row r="654" spans="1:16" s="28" customFormat="1" x14ac:dyDescent="0.25">
      <c r="A654" s="56"/>
      <c r="B654" s="62"/>
      <c r="C654" s="62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150"/>
    </row>
    <row r="655" spans="1:16" s="28" customFormat="1" x14ac:dyDescent="0.25">
      <c r="A655" s="56"/>
      <c r="B655" s="62"/>
      <c r="C655" s="62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150"/>
    </row>
    <row r="656" spans="1:16" s="28" customFormat="1" x14ac:dyDescent="0.25">
      <c r="A656" s="56"/>
      <c r="B656" s="62"/>
      <c r="C656" s="62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150"/>
    </row>
    <row r="657" spans="1:16" s="28" customFormat="1" x14ac:dyDescent="0.25">
      <c r="A657" s="56"/>
      <c r="B657" s="62"/>
      <c r="C657" s="62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150"/>
    </row>
    <row r="658" spans="1:16" s="28" customFormat="1" x14ac:dyDescent="0.25">
      <c r="A658" s="56"/>
      <c r="B658" s="62"/>
      <c r="C658" s="62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150"/>
    </row>
    <row r="659" spans="1:16" s="28" customFormat="1" x14ac:dyDescent="0.25">
      <c r="A659" s="56"/>
      <c r="B659" s="62"/>
      <c r="C659" s="62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150"/>
    </row>
    <row r="660" spans="1:16" s="28" customFormat="1" x14ac:dyDescent="0.25">
      <c r="A660" s="56"/>
      <c r="B660" s="62"/>
      <c r="C660" s="62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150"/>
    </row>
    <row r="661" spans="1:16" s="28" customFormat="1" x14ac:dyDescent="0.25">
      <c r="A661" s="56"/>
      <c r="B661" s="62"/>
      <c r="C661" s="62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150"/>
    </row>
    <row r="662" spans="1:16" s="28" customFormat="1" x14ac:dyDescent="0.25">
      <c r="A662" s="56"/>
      <c r="B662" s="62"/>
      <c r="C662" s="62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150"/>
    </row>
    <row r="663" spans="1:16" s="28" customFormat="1" x14ac:dyDescent="0.25">
      <c r="A663" s="56"/>
      <c r="B663" s="62"/>
      <c r="C663" s="62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150"/>
    </row>
    <row r="664" spans="1:16" s="28" customFormat="1" x14ac:dyDescent="0.25">
      <c r="A664" s="56"/>
      <c r="B664" s="62"/>
      <c r="C664" s="62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150"/>
    </row>
    <row r="665" spans="1:16" s="28" customFormat="1" x14ac:dyDescent="0.25">
      <c r="A665" s="56"/>
      <c r="B665" s="62"/>
      <c r="C665" s="62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150"/>
    </row>
    <row r="666" spans="1:16" s="28" customFormat="1" x14ac:dyDescent="0.25">
      <c r="A666" s="56"/>
      <c r="B666" s="62"/>
      <c r="C666" s="62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150"/>
    </row>
    <row r="667" spans="1:16" s="28" customFormat="1" x14ac:dyDescent="0.25">
      <c r="A667" s="56"/>
      <c r="B667" s="62"/>
      <c r="C667" s="62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150"/>
    </row>
    <row r="668" spans="1:16" s="28" customFormat="1" x14ac:dyDescent="0.25">
      <c r="A668" s="56"/>
      <c r="B668" s="62"/>
      <c r="C668" s="62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150"/>
    </row>
    <row r="669" spans="1:16" s="28" customFormat="1" x14ac:dyDescent="0.25">
      <c r="A669" s="56"/>
      <c r="B669" s="62"/>
      <c r="C669" s="62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150"/>
    </row>
    <row r="670" spans="1:16" s="28" customFormat="1" x14ac:dyDescent="0.25">
      <c r="A670" s="56"/>
      <c r="B670" s="62"/>
      <c r="C670" s="62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150"/>
    </row>
    <row r="671" spans="1:16" s="28" customFormat="1" x14ac:dyDescent="0.25">
      <c r="A671" s="56"/>
      <c r="B671" s="62"/>
      <c r="C671" s="62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150"/>
    </row>
    <row r="672" spans="1:16" s="28" customFormat="1" x14ac:dyDescent="0.25">
      <c r="A672" s="56"/>
      <c r="B672" s="62"/>
      <c r="C672" s="62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150"/>
    </row>
    <row r="673" spans="1:16" s="28" customFormat="1" x14ac:dyDescent="0.25">
      <c r="A673" s="56"/>
      <c r="B673" s="62"/>
      <c r="C673" s="62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150"/>
    </row>
    <row r="674" spans="1:16" s="28" customFormat="1" x14ac:dyDescent="0.25">
      <c r="A674" s="56"/>
      <c r="B674" s="62"/>
      <c r="C674" s="62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150"/>
    </row>
    <row r="675" spans="1:16" s="28" customFormat="1" x14ac:dyDescent="0.25">
      <c r="A675" s="56"/>
      <c r="B675" s="62"/>
      <c r="C675" s="62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150"/>
    </row>
    <row r="676" spans="1:16" s="28" customFormat="1" x14ac:dyDescent="0.25">
      <c r="A676" s="56"/>
      <c r="B676" s="62"/>
      <c r="C676" s="62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150"/>
    </row>
    <row r="677" spans="1:16" s="28" customFormat="1" x14ac:dyDescent="0.25">
      <c r="A677" s="56"/>
      <c r="B677" s="62"/>
      <c r="C677" s="62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150"/>
    </row>
    <row r="678" spans="1:16" s="28" customFormat="1" x14ac:dyDescent="0.25">
      <c r="A678" s="56"/>
      <c r="B678" s="62"/>
      <c r="C678" s="62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150"/>
    </row>
    <row r="679" spans="1:16" s="28" customFormat="1" x14ac:dyDescent="0.25">
      <c r="A679" s="56"/>
      <c r="B679" s="62"/>
      <c r="C679" s="62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150"/>
    </row>
    <row r="680" spans="1:16" s="28" customFormat="1" x14ac:dyDescent="0.25">
      <c r="A680" s="56"/>
      <c r="B680" s="62"/>
      <c r="C680" s="62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150"/>
    </row>
    <row r="681" spans="1:16" s="28" customFormat="1" x14ac:dyDescent="0.25">
      <c r="A681" s="56"/>
      <c r="B681" s="62"/>
      <c r="C681" s="62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150"/>
    </row>
    <row r="682" spans="1:16" s="28" customFormat="1" x14ac:dyDescent="0.25">
      <c r="A682" s="56"/>
      <c r="B682" s="62"/>
      <c r="C682" s="62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150"/>
    </row>
    <row r="683" spans="1:16" s="28" customFormat="1" x14ac:dyDescent="0.25">
      <c r="A683" s="56"/>
      <c r="B683" s="62"/>
      <c r="C683" s="62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150"/>
    </row>
    <row r="684" spans="1:16" s="28" customFormat="1" x14ac:dyDescent="0.25">
      <c r="A684" s="56"/>
      <c r="B684" s="62"/>
      <c r="C684" s="62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150"/>
    </row>
    <row r="685" spans="1:16" s="28" customFormat="1" x14ac:dyDescent="0.25">
      <c r="A685" s="56"/>
      <c r="B685" s="62"/>
      <c r="C685" s="62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150"/>
    </row>
    <row r="686" spans="1:16" s="28" customFormat="1" x14ac:dyDescent="0.25">
      <c r="A686" s="56"/>
      <c r="B686" s="62"/>
      <c r="C686" s="62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150"/>
    </row>
    <row r="687" spans="1:16" s="28" customFormat="1" x14ac:dyDescent="0.25">
      <c r="A687" s="56"/>
      <c r="B687" s="62"/>
      <c r="C687" s="62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150"/>
    </row>
    <row r="688" spans="1:16" s="28" customFormat="1" x14ac:dyDescent="0.25">
      <c r="A688" s="56"/>
      <c r="B688" s="62"/>
      <c r="C688" s="62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150"/>
    </row>
    <row r="689" spans="1:16" s="28" customFormat="1" x14ac:dyDescent="0.25">
      <c r="A689" s="56"/>
      <c r="B689" s="62"/>
      <c r="C689" s="62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150"/>
    </row>
    <row r="690" spans="1:16" s="28" customFormat="1" x14ac:dyDescent="0.25">
      <c r="A690" s="56"/>
      <c r="B690" s="62"/>
      <c r="C690" s="62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150"/>
    </row>
    <row r="691" spans="1:16" s="28" customFormat="1" x14ac:dyDescent="0.25">
      <c r="A691" s="56"/>
      <c r="B691" s="62"/>
      <c r="C691" s="62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150"/>
    </row>
    <row r="692" spans="1:16" s="28" customFormat="1" x14ac:dyDescent="0.25">
      <c r="A692" s="56"/>
      <c r="B692" s="62"/>
      <c r="C692" s="62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150"/>
    </row>
    <row r="693" spans="1:16" s="28" customFormat="1" x14ac:dyDescent="0.25">
      <c r="A693" s="56"/>
      <c r="B693" s="62"/>
      <c r="C693" s="62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150"/>
    </row>
    <row r="694" spans="1:16" s="28" customFormat="1" x14ac:dyDescent="0.25">
      <c r="A694" s="56"/>
      <c r="B694" s="62"/>
      <c r="C694" s="62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150"/>
    </row>
    <row r="695" spans="1:16" s="28" customFormat="1" x14ac:dyDescent="0.25">
      <c r="A695" s="56"/>
      <c r="B695" s="62"/>
      <c r="C695" s="62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150"/>
    </row>
    <row r="696" spans="1:16" s="28" customFormat="1" x14ac:dyDescent="0.25">
      <c r="A696" s="56"/>
      <c r="B696" s="62"/>
      <c r="C696" s="62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150"/>
    </row>
    <row r="697" spans="1:16" s="28" customFormat="1" x14ac:dyDescent="0.25">
      <c r="A697" s="56"/>
      <c r="B697" s="62"/>
      <c r="C697" s="62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150"/>
    </row>
    <row r="698" spans="1:16" s="28" customFormat="1" x14ac:dyDescent="0.25">
      <c r="A698" s="56"/>
      <c r="B698" s="62"/>
      <c r="C698" s="62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150"/>
    </row>
    <row r="699" spans="1:16" s="28" customFormat="1" x14ac:dyDescent="0.25">
      <c r="A699" s="56"/>
      <c r="B699" s="62"/>
      <c r="C699" s="62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150"/>
    </row>
    <row r="700" spans="1:16" s="28" customFormat="1" x14ac:dyDescent="0.25">
      <c r="A700" s="56"/>
      <c r="B700" s="62"/>
      <c r="C700" s="62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150"/>
    </row>
    <row r="701" spans="1:16" s="28" customFormat="1" x14ac:dyDescent="0.25">
      <c r="A701" s="56"/>
      <c r="B701" s="62"/>
      <c r="C701" s="62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150"/>
    </row>
    <row r="702" spans="1:16" s="28" customFormat="1" x14ac:dyDescent="0.25">
      <c r="A702" s="56"/>
      <c r="B702" s="62"/>
      <c r="C702" s="62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150"/>
    </row>
    <row r="703" spans="1:16" s="28" customFormat="1" x14ac:dyDescent="0.25">
      <c r="A703" s="56"/>
      <c r="B703" s="62"/>
      <c r="C703" s="62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150"/>
    </row>
    <row r="704" spans="1:16" s="28" customFormat="1" x14ac:dyDescent="0.25">
      <c r="A704" s="56"/>
      <c r="B704" s="62"/>
      <c r="C704" s="62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150"/>
    </row>
    <row r="705" spans="1:16" s="28" customFormat="1" x14ac:dyDescent="0.25">
      <c r="A705" s="56"/>
      <c r="B705" s="62"/>
      <c r="C705" s="62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150"/>
    </row>
    <row r="706" spans="1:16" s="28" customFormat="1" x14ac:dyDescent="0.25">
      <c r="A706" s="56"/>
      <c r="B706" s="62"/>
      <c r="C706" s="62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150"/>
    </row>
    <row r="707" spans="1:16" s="28" customFormat="1" x14ac:dyDescent="0.25">
      <c r="A707" s="56"/>
      <c r="B707" s="62"/>
      <c r="C707" s="62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150"/>
    </row>
    <row r="708" spans="1:16" s="28" customFormat="1" x14ac:dyDescent="0.25">
      <c r="A708" s="56"/>
      <c r="B708" s="62"/>
      <c r="C708" s="62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150"/>
    </row>
    <row r="709" spans="1:16" s="28" customFormat="1" x14ac:dyDescent="0.25">
      <c r="A709" s="56"/>
      <c r="B709" s="62"/>
      <c r="C709" s="62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150"/>
    </row>
    <row r="710" spans="1:16" s="28" customFormat="1" x14ac:dyDescent="0.25">
      <c r="A710" s="56"/>
      <c r="B710" s="62"/>
      <c r="C710" s="62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150"/>
    </row>
    <row r="711" spans="1:16" s="28" customFormat="1" x14ac:dyDescent="0.25">
      <c r="A711" s="56"/>
      <c r="B711" s="62"/>
      <c r="C711" s="62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150"/>
    </row>
    <row r="712" spans="1:16" s="28" customFormat="1" x14ac:dyDescent="0.25">
      <c r="A712" s="56"/>
      <c r="B712" s="62"/>
      <c r="C712" s="62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150"/>
    </row>
    <row r="713" spans="1:16" s="28" customFormat="1" x14ac:dyDescent="0.25">
      <c r="A713" s="56"/>
      <c r="B713" s="62"/>
      <c r="C713" s="62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150"/>
    </row>
    <row r="714" spans="1:16" s="28" customFormat="1" x14ac:dyDescent="0.25">
      <c r="A714" s="56"/>
      <c r="B714" s="62"/>
      <c r="C714" s="62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150"/>
    </row>
    <row r="715" spans="1:16" s="28" customFormat="1" x14ac:dyDescent="0.25">
      <c r="A715" s="56"/>
      <c r="B715" s="62"/>
      <c r="C715" s="62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150"/>
    </row>
    <row r="716" spans="1:16" s="28" customFormat="1" x14ac:dyDescent="0.25">
      <c r="A716" s="56"/>
      <c r="B716" s="62"/>
      <c r="C716" s="62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150"/>
    </row>
    <row r="717" spans="1:16" s="28" customFormat="1" x14ac:dyDescent="0.25">
      <c r="A717" s="56"/>
      <c r="B717" s="62"/>
      <c r="C717" s="62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150"/>
    </row>
    <row r="718" spans="1:16" s="28" customFormat="1" x14ac:dyDescent="0.25">
      <c r="A718" s="56"/>
      <c r="B718" s="62"/>
      <c r="C718" s="62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150"/>
    </row>
    <row r="719" spans="1:16" s="28" customFormat="1" x14ac:dyDescent="0.25">
      <c r="A719" s="56"/>
      <c r="B719" s="62"/>
      <c r="C719" s="62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150"/>
    </row>
    <row r="720" spans="1:16" s="28" customFormat="1" x14ac:dyDescent="0.25">
      <c r="A720" s="56"/>
      <c r="B720" s="62"/>
      <c r="C720" s="62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150"/>
    </row>
    <row r="721" spans="1:16" s="28" customFormat="1" x14ac:dyDescent="0.25">
      <c r="A721" s="56"/>
      <c r="B721" s="62"/>
      <c r="C721" s="62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150"/>
    </row>
    <row r="722" spans="1:16" s="28" customFormat="1" x14ac:dyDescent="0.25">
      <c r="A722" s="56"/>
      <c r="B722" s="62"/>
      <c r="C722" s="62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150"/>
    </row>
    <row r="723" spans="1:16" s="28" customFormat="1" x14ac:dyDescent="0.25">
      <c r="A723" s="56"/>
      <c r="B723" s="62"/>
      <c r="C723" s="62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150"/>
    </row>
    <row r="724" spans="1:16" s="28" customFormat="1" x14ac:dyDescent="0.25">
      <c r="A724" s="56"/>
      <c r="B724" s="62"/>
      <c r="C724" s="62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150"/>
    </row>
    <row r="725" spans="1:16" s="28" customFormat="1" x14ac:dyDescent="0.25">
      <c r="A725" s="56"/>
      <c r="B725" s="62"/>
      <c r="C725" s="62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150"/>
    </row>
    <row r="726" spans="1:16" s="28" customFormat="1" x14ac:dyDescent="0.25">
      <c r="A726" s="56"/>
      <c r="B726" s="62"/>
      <c r="C726" s="62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150"/>
    </row>
    <row r="727" spans="1:16" s="28" customFormat="1" x14ac:dyDescent="0.25">
      <c r="A727" s="56"/>
      <c r="B727" s="62"/>
      <c r="C727" s="62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150"/>
    </row>
    <row r="728" spans="1:16" s="28" customFormat="1" x14ac:dyDescent="0.25">
      <c r="A728" s="56"/>
      <c r="B728" s="62"/>
      <c r="C728" s="62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150"/>
    </row>
    <row r="729" spans="1:16" s="28" customFormat="1" x14ac:dyDescent="0.25">
      <c r="A729" s="56"/>
      <c r="B729" s="62"/>
      <c r="C729" s="62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150"/>
    </row>
    <row r="730" spans="1:16" s="28" customFormat="1" x14ac:dyDescent="0.25">
      <c r="A730" s="56"/>
      <c r="B730" s="62"/>
      <c r="C730" s="62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150"/>
    </row>
    <row r="731" spans="1:16" s="28" customFormat="1" x14ac:dyDescent="0.25">
      <c r="A731" s="56"/>
      <c r="B731" s="62"/>
      <c r="C731" s="62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150"/>
    </row>
    <row r="732" spans="1:16" s="28" customFormat="1" x14ac:dyDescent="0.25">
      <c r="A732" s="56"/>
      <c r="B732" s="62"/>
      <c r="C732" s="62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150"/>
    </row>
    <row r="733" spans="1:16" s="28" customFormat="1" x14ac:dyDescent="0.25">
      <c r="A733" s="56"/>
      <c r="B733" s="62"/>
      <c r="C733" s="62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150"/>
    </row>
    <row r="734" spans="1:16" s="28" customFormat="1" x14ac:dyDescent="0.25">
      <c r="A734" s="56"/>
      <c r="B734" s="62"/>
      <c r="C734" s="62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150"/>
    </row>
    <row r="735" spans="1:16" s="28" customFormat="1" x14ac:dyDescent="0.25">
      <c r="A735" s="56"/>
      <c r="B735" s="62"/>
      <c r="C735" s="62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150"/>
    </row>
    <row r="736" spans="1:16" s="28" customFormat="1" x14ac:dyDescent="0.25">
      <c r="A736" s="56"/>
      <c r="B736" s="62"/>
      <c r="C736" s="62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150"/>
    </row>
    <row r="737" spans="1:16" s="28" customFormat="1" x14ac:dyDescent="0.25">
      <c r="A737" s="56"/>
      <c r="B737" s="62"/>
      <c r="C737" s="62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150"/>
    </row>
    <row r="738" spans="1:16" s="28" customFormat="1" x14ac:dyDescent="0.25">
      <c r="A738" s="56"/>
      <c r="B738" s="62"/>
      <c r="C738" s="62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150"/>
    </row>
    <row r="739" spans="1:16" s="28" customFormat="1" x14ac:dyDescent="0.25">
      <c r="A739" s="56"/>
      <c r="B739" s="62"/>
      <c r="C739" s="62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150"/>
    </row>
    <row r="740" spans="1:16" s="28" customFormat="1" x14ac:dyDescent="0.25">
      <c r="A740" s="56"/>
      <c r="B740" s="62"/>
      <c r="C740" s="62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150"/>
    </row>
    <row r="741" spans="1:16" s="28" customFormat="1" x14ac:dyDescent="0.25">
      <c r="A741" s="56"/>
      <c r="B741" s="62"/>
      <c r="C741" s="62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150"/>
    </row>
    <row r="742" spans="1:16" s="28" customFormat="1" x14ac:dyDescent="0.25">
      <c r="A742" s="56"/>
      <c r="B742" s="62"/>
      <c r="C742" s="62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150"/>
    </row>
    <row r="743" spans="1:16" s="28" customFormat="1" x14ac:dyDescent="0.25">
      <c r="A743" s="56"/>
      <c r="B743" s="62"/>
      <c r="C743" s="62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150"/>
    </row>
    <row r="744" spans="1:16" s="28" customFormat="1" x14ac:dyDescent="0.25">
      <c r="A744" s="56"/>
      <c r="B744" s="62"/>
      <c r="C744" s="62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150"/>
    </row>
    <row r="745" spans="1:16" s="28" customFormat="1" x14ac:dyDescent="0.25">
      <c r="A745" s="56"/>
      <c r="B745" s="62"/>
      <c r="C745" s="62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150"/>
    </row>
    <row r="746" spans="1:16" s="28" customFormat="1" x14ac:dyDescent="0.25">
      <c r="A746" s="56"/>
      <c r="B746" s="62"/>
      <c r="C746" s="62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150"/>
    </row>
    <row r="747" spans="1:16" s="28" customFormat="1" x14ac:dyDescent="0.25">
      <c r="A747" s="56"/>
      <c r="B747" s="62"/>
      <c r="C747" s="62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150"/>
    </row>
    <row r="748" spans="1:16" s="28" customFormat="1" x14ac:dyDescent="0.25">
      <c r="A748" s="56"/>
      <c r="B748" s="62"/>
      <c r="C748" s="62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150"/>
    </row>
    <row r="749" spans="1:16" s="28" customFormat="1" x14ac:dyDescent="0.25">
      <c r="A749" s="56"/>
      <c r="B749" s="62"/>
      <c r="C749" s="62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150"/>
    </row>
    <row r="750" spans="1:16" s="28" customFormat="1" x14ac:dyDescent="0.25">
      <c r="A750" s="56"/>
      <c r="B750" s="62"/>
      <c r="C750" s="62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150"/>
    </row>
    <row r="751" spans="1:16" s="28" customFormat="1" x14ac:dyDescent="0.25">
      <c r="A751" s="56"/>
      <c r="B751" s="62"/>
      <c r="C751" s="62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150"/>
    </row>
    <row r="752" spans="1:16" s="28" customFormat="1" x14ac:dyDescent="0.25">
      <c r="A752" s="56"/>
      <c r="B752" s="62"/>
      <c r="C752" s="62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150"/>
    </row>
    <row r="753" spans="1:16" s="28" customFormat="1" x14ac:dyDescent="0.25">
      <c r="A753" s="56"/>
      <c r="B753" s="62"/>
      <c r="C753" s="62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150"/>
    </row>
    <row r="754" spans="1:16" s="28" customFormat="1" x14ac:dyDescent="0.25">
      <c r="A754" s="56"/>
      <c r="B754" s="62"/>
      <c r="C754" s="62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150"/>
    </row>
    <row r="755" spans="1:16" s="28" customFormat="1" x14ac:dyDescent="0.25">
      <c r="A755" s="56"/>
      <c r="B755" s="62"/>
      <c r="C755" s="62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150"/>
    </row>
    <row r="756" spans="1:16" s="28" customFormat="1" x14ac:dyDescent="0.25">
      <c r="A756" s="56"/>
      <c r="B756" s="62"/>
      <c r="C756" s="62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150"/>
    </row>
    <row r="757" spans="1:16" s="28" customFormat="1" x14ac:dyDescent="0.25">
      <c r="A757" s="56"/>
      <c r="B757" s="62"/>
      <c r="C757" s="62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150"/>
    </row>
    <row r="758" spans="1:16" s="28" customFormat="1" x14ac:dyDescent="0.25">
      <c r="A758" s="56"/>
      <c r="B758" s="62"/>
      <c r="C758" s="62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150"/>
    </row>
    <row r="759" spans="1:16" s="28" customFormat="1" x14ac:dyDescent="0.25">
      <c r="A759" s="56"/>
      <c r="B759" s="62"/>
      <c r="C759" s="62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150"/>
    </row>
    <row r="760" spans="1:16" s="28" customFormat="1" x14ac:dyDescent="0.25">
      <c r="A760" s="56"/>
      <c r="B760" s="62"/>
      <c r="C760" s="62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150"/>
    </row>
    <row r="761" spans="1:16" s="28" customFormat="1" x14ac:dyDescent="0.25">
      <c r="A761" s="56"/>
      <c r="B761" s="62"/>
      <c r="C761" s="62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150"/>
    </row>
    <row r="762" spans="1:16" s="28" customFormat="1" x14ac:dyDescent="0.25">
      <c r="A762" s="56"/>
      <c r="B762" s="62"/>
      <c r="C762" s="62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150"/>
    </row>
    <row r="763" spans="1:16" s="28" customFormat="1" x14ac:dyDescent="0.25">
      <c r="A763" s="56"/>
      <c r="B763" s="62"/>
      <c r="C763" s="62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150"/>
    </row>
    <row r="764" spans="1:16" s="28" customFormat="1" x14ac:dyDescent="0.25">
      <c r="A764" s="56"/>
      <c r="B764" s="62"/>
      <c r="C764" s="62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150"/>
    </row>
    <row r="765" spans="1:16" s="28" customFormat="1" x14ac:dyDescent="0.25">
      <c r="A765" s="56"/>
      <c r="B765" s="62"/>
      <c r="C765" s="62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150"/>
    </row>
    <row r="766" spans="1:16" s="28" customFormat="1" x14ac:dyDescent="0.25">
      <c r="A766" s="56"/>
      <c r="B766" s="62"/>
      <c r="C766" s="62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150"/>
    </row>
    <row r="767" spans="1:16" s="28" customFormat="1" x14ac:dyDescent="0.25">
      <c r="A767" s="56"/>
      <c r="B767" s="62"/>
      <c r="C767" s="62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150"/>
    </row>
    <row r="768" spans="1:16" s="28" customFormat="1" x14ac:dyDescent="0.25">
      <c r="A768" s="56"/>
      <c r="B768" s="62"/>
      <c r="C768" s="62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150"/>
    </row>
    <row r="769" spans="1:16" s="28" customFormat="1" x14ac:dyDescent="0.25">
      <c r="A769" s="56"/>
      <c r="B769" s="62"/>
      <c r="C769" s="62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150"/>
    </row>
    <row r="770" spans="1:16" s="28" customFormat="1" x14ac:dyDescent="0.25">
      <c r="A770" s="56"/>
      <c r="B770" s="62"/>
      <c r="C770" s="62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150"/>
    </row>
    <row r="771" spans="1:16" s="28" customFormat="1" x14ac:dyDescent="0.25">
      <c r="A771" s="56"/>
      <c r="B771" s="62"/>
      <c r="C771" s="62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150"/>
    </row>
    <row r="772" spans="1:16" s="28" customFormat="1" x14ac:dyDescent="0.25">
      <c r="A772" s="56"/>
      <c r="B772" s="62"/>
      <c r="C772" s="62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150"/>
    </row>
    <row r="773" spans="1:16" s="28" customFormat="1" x14ac:dyDescent="0.25">
      <c r="A773" s="56"/>
      <c r="B773" s="62"/>
      <c r="C773" s="62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150"/>
    </row>
    <row r="774" spans="1:16" s="28" customFormat="1" x14ac:dyDescent="0.25">
      <c r="A774" s="56"/>
      <c r="B774" s="62"/>
      <c r="C774" s="62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150"/>
    </row>
    <row r="775" spans="1:16" s="28" customFormat="1" x14ac:dyDescent="0.25">
      <c r="A775" s="56"/>
      <c r="B775" s="62"/>
      <c r="C775" s="62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150"/>
    </row>
    <row r="776" spans="1:16" s="28" customFormat="1" x14ac:dyDescent="0.25">
      <c r="A776" s="56"/>
      <c r="B776" s="62"/>
      <c r="C776" s="62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150"/>
    </row>
    <row r="777" spans="1:16" s="28" customFormat="1" x14ac:dyDescent="0.25">
      <c r="A777" s="56"/>
      <c r="B777" s="62"/>
      <c r="C777" s="62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150"/>
    </row>
    <row r="778" spans="1:16" s="28" customFormat="1" x14ac:dyDescent="0.25">
      <c r="A778" s="56"/>
      <c r="B778" s="62"/>
      <c r="C778" s="62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150"/>
    </row>
    <row r="779" spans="1:16" s="28" customFormat="1" x14ac:dyDescent="0.25">
      <c r="A779" s="56"/>
      <c r="B779" s="62"/>
      <c r="C779" s="62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150"/>
    </row>
    <row r="780" spans="1:16" s="28" customFormat="1" x14ac:dyDescent="0.25">
      <c r="A780" s="56"/>
      <c r="B780" s="62"/>
      <c r="C780" s="62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150"/>
    </row>
    <row r="781" spans="1:16" s="28" customFormat="1" x14ac:dyDescent="0.25">
      <c r="A781" s="56"/>
      <c r="B781" s="62"/>
      <c r="C781" s="62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150"/>
    </row>
    <row r="782" spans="1:16" s="28" customFormat="1" x14ac:dyDescent="0.25">
      <c r="A782" s="56"/>
      <c r="B782" s="62"/>
      <c r="C782" s="62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150"/>
    </row>
    <row r="783" spans="1:16" s="28" customFormat="1" x14ac:dyDescent="0.25">
      <c r="A783" s="56"/>
      <c r="B783" s="62"/>
      <c r="C783" s="62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150"/>
    </row>
    <row r="784" spans="1:16" s="28" customFormat="1" x14ac:dyDescent="0.25">
      <c r="A784" s="56"/>
      <c r="B784" s="62"/>
      <c r="C784" s="62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150"/>
    </row>
    <row r="785" spans="1:16" s="28" customFormat="1" x14ac:dyDescent="0.25">
      <c r="A785" s="56"/>
      <c r="B785" s="62"/>
      <c r="C785" s="62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150"/>
    </row>
    <row r="786" spans="1:16" s="28" customFormat="1" x14ac:dyDescent="0.25">
      <c r="A786" s="56"/>
      <c r="B786" s="62"/>
      <c r="C786" s="62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150"/>
    </row>
    <row r="787" spans="1:16" s="28" customFormat="1" x14ac:dyDescent="0.25">
      <c r="A787" s="56"/>
      <c r="B787" s="62"/>
      <c r="C787" s="62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150"/>
    </row>
    <row r="788" spans="1:16" s="28" customFormat="1" x14ac:dyDescent="0.25">
      <c r="A788" s="56"/>
      <c r="B788" s="62"/>
      <c r="C788" s="62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150"/>
    </row>
    <row r="789" spans="1:16" s="28" customFormat="1" x14ac:dyDescent="0.25">
      <c r="A789" s="56"/>
      <c r="B789" s="62"/>
      <c r="C789" s="62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150"/>
    </row>
    <row r="790" spans="1:16" s="28" customFormat="1" x14ac:dyDescent="0.25">
      <c r="A790" s="56"/>
      <c r="B790" s="62"/>
      <c r="C790" s="62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150"/>
    </row>
    <row r="791" spans="1:16" s="28" customFormat="1" x14ac:dyDescent="0.25">
      <c r="A791" s="56"/>
      <c r="B791" s="62"/>
      <c r="C791" s="62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150"/>
    </row>
    <row r="792" spans="1:16" s="28" customFormat="1" x14ac:dyDescent="0.25">
      <c r="A792" s="56"/>
      <c r="B792" s="62"/>
      <c r="C792" s="62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150"/>
    </row>
    <row r="793" spans="1:16" s="28" customFormat="1" x14ac:dyDescent="0.25">
      <c r="A793" s="56"/>
      <c r="B793" s="62"/>
      <c r="C793" s="62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150"/>
    </row>
    <row r="794" spans="1:16" s="28" customFormat="1" x14ac:dyDescent="0.25">
      <c r="A794" s="56"/>
      <c r="B794" s="62"/>
      <c r="C794" s="62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150"/>
    </row>
    <row r="795" spans="1:16" s="28" customFormat="1" x14ac:dyDescent="0.25">
      <c r="A795" s="56"/>
      <c r="B795" s="62"/>
      <c r="C795" s="62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150"/>
    </row>
    <row r="796" spans="1:16" s="28" customFormat="1" x14ac:dyDescent="0.25">
      <c r="A796" s="56"/>
      <c r="B796" s="62"/>
      <c r="C796" s="62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150"/>
    </row>
    <row r="797" spans="1:16" s="28" customFormat="1" x14ac:dyDescent="0.25">
      <c r="A797" s="56"/>
      <c r="B797" s="62"/>
      <c r="C797" s="62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150"/>
    </row>
    <row r="798" spans="1:16" s="28" customFormat="1" x14ac:dyDescent="0.25">
      <c r="A798" s="56"/>
      <c r="B798" s="62"/>
      <c r="C798" s="62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150"/>
    </row>
    <row r="799" spans="1:16" s="28" customFormat="1" x14ac:dyDescent="0.25">
      <c r="A799" s="56"/>
      <c r="B799" s="62"/>
      <c r="C799" s="62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150"/>
    </row>
    <row r="800" spans="1:16" s="28" customFormat="1" x14ac:dyDescent="0.25">
      <c r="A800" s="56"/>
      <c r="B800" s="62"/>
      <c r="C800" s="62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150"/>
    </row>
    <row r="801" spans="1:16" s="28" customFormat="1" x14ac:dyDescent="0.25">
      <c r="A801" s="56"/>
      <c r="B801" s="62"/>
      <c r="C801" s="62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150"/>
    </row>
    <row r="802" spans="1:16" s="28" customFormat="1" x14ac:dyDescent="0.25">
      <c r="A802" s="56"/>
      <c r="B802" s="62"/>
      <c r="C802" s="62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150"/>
    </row>
    <row r="803" spans="1:16" s="28" customFormat="1" x14ac:dyDescent="0.25">
      <c r="A803" s="56"/>
      <c r="B803" s="62"/>
      <c r="C803" s="62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150"/>
    </row>
    <row r="804" spans="1:16" s="28" customFormat="1" x14ac:dyDescent="0.25">
      <c r="A804" s="56"/>
      <c r="B804" s="62"/>
      <c r="C804" s="62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150"/>
    </row>
    <row r="805" spans="1:16" s="28" customFormat="1" x14ac:dyDescent="0.25">
      <c r="A805" s="56"/>
      <c r="B805" s="62"/>
      <c r="C805" s="62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150"/>
    </row>
    <row r="806" spans="1:16" s="28" customFormat="1" x14ac:dyDescent="0.25">
      <c r="A806" s="56"/>
      <c r="B806" s="62"/>
      <c r="C806" s="62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150"/>
    </row>
    <row r="807" spans="1:16" s="28" customFormat="1" x14ac:dyDescent="0.25">
      <c r="A807" s="56"/>
      <c r="B807" s="62"/>
      <c r="C807" s="62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150"/>
    </row>
    <row r="808" spans="1:16" s="28" customFormat="1" x14ac:dyDescent="0.25">
      <c r="A808" s="56"/>
      <c r="B808" s="62"/>
      <c r="C808" s="62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150"/>
    </row>
    <row r="809" spans="1:16" s="28" customFormat="1" x14ac:dyDescent="0.25">
      <c r="A809" s="56"/>
      <c r="B809" s="62"/>
      <c r="C809" s="62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150"/>
    </row>
    <row r="810" spans="1:16" s="28" customFormat="1" x14ac:dyDescent="0.25">
      <c r="A810" s="56"/>
      <c r="B810" s="62"/>
      <c r="C810" s="62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150"/>
    </row>
    <row r="811" spans="1:16" s="28" customFormat="1" x14ac:dyDescent="0.25">
      <c r="A811" s="56"/>
      <c r="B811" s="62"/>
      <c r="C811" s="62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150"/>
    </row>
    <row r="812" spans="1:16" s="28" customFormat="1" x14ac:dyDescent="0.25">
      <c r="A812" s="56"/>
      <c r="B812" s="62"/>
      <c r="C812" s="62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150"/>
    </row>
    <row r="813" spans="1:16" s="28" customFormat="1" x14ac:dyDescent="0.25">
      <c r="A813" s="56"/>
      <c r="B813" s="62"/>
      <c r="C813" s="62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150"/>
    </row>
    <row r="814" spans="1:16" s="28" customFormat="1" x14ac:dyDescent="0.25">
      <c r="A814" s="56"/>
      <c r="B814" s="62"/>
      <c r="C814" s="62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150"/>
    </row>
    <row r="815" spans="1:16" s="28" customFormat="1" x14ac:dyDescent="0.25">
      <c r="A815" s="56"/>
      <c r="B815" s="62"/>
      <c r="C815" s="62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150"/>
    </row>
    <row r="816" spans="1:16" s="28" customFormat="1" x14ac:dyDescent="0.25">
      <c r="A816" s="56"/>
      <c r="B816" s="62"/>
      <c r="C816" s="62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150"/>
    </row>
    <row r="817" spans="1:16" s="28" customFormat="1" x14ac:dyDescent="0.25">
      <c r="A817" s="56"/>
      <c r="B817" s="62"/>
      <c r="C817" s="62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150"/>
    </row>
    <row r="818" spans="1:16" s="28" customFormat="1" x14ac:dyDescent="0.25">
      <c r="A818" s="56"/>
      <c r="B818" s="62"/>
      <c r="C818" s="62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150"/>
    </row>
    <row r="819" spans="1:16" s="28" customFormat="1" x14ac:dyDescent="0.25">
      <c r="A819" s="56"/>
      <c r="B819" s="62"/>
      <c r="C819" s="62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150"/>
    </row>
    <row r="820" spans="1:16" s="28" customFormat="1" x14ac:dyDescent="0.25">
      <c r="A820" s="56"/>
      <c r="B820" s="62"/>
      <c r="C820" s="62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150"/>
    </row>
    <row r="821" spans="1:16" s="28" customFormat="1" x14ac:dyDescent="0.25">
      <c r="A821" s="56"/>
      <c r="B821" s="62"/>
      <c r="C821" s="62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150"/>
    </row>
    <row r="822" spans="1:16" s="28" customFormat="1" x14ac:dyDescent="0.25">
      <c r="A822" s="56"/>
      <c r="B822" s="62"/>
      <c r="C822" s="62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150"/>
    </row>
    <row r="823" spans="1:16" s="28" customFormat="1" x14ac:dyDescent="0.25">
      <c r="A823" s="56"/>
      <c r="B823" s="62"/>
      <c r="C823" s="62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150"/>
    </row>
    <row r="824" spans="1:16" s="28" customFormat="1" x14ac:dyDescent="0.25">
      <c r="A824" s="56"/>
      <c r="B824" s="62"/>
      <c r="C824" s="62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150"/>
    </row>
    <row r="825" spans="1:16" s="28" customFormat="1" x14ac:dyDescent="0.25">
      <c r="A825" s="56"/>
      <c r="B825" s="62"/>
      <c r="C825" s="62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150"/>
    </row>
    <row r="826" spans="1:16" s="28" customFormat="1" x14ac:dyDescent="0.25">
      <c r="A826" s="56"/>
      <c r="B826" s="62"/>
      <c r="C826" s="62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150"/>
    </row>
    <row r="827" spans="1:16" s="28" customFormat="1" x14ac:dyDescent="0.25">
      <c r="A827" s="56"/>
      <c r="B827" s="62"/>
      <c r="C827" s="62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150"/>
    </row>
    <row r="828" spans="1:16" s="28" customFormat="1" x14ac:dyDescent="0.25">
      <c r="A828" s="56"/>
      <c r="B828" s="62"/>
      <c r="C828" s="62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150"/>
    </row>
    <row r="829" spans="1:16" s="28" customFormat="1" x14ac:dyDescent="0.25">
      <c r="A829" s="56"/>
      <c r="B829" s="62"/>
      <c r="C829" s="62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150"/>
    </row>
    <row r="830" spans="1:16" s="28" customFormat="1" x14ac:dyDescent="0.25">
      <c r="A830" s="56"/>
      <c r="B830" s="62"/>
      <c r="C830" s="62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150"/>
    </row>
    <row r="831" spans="1:16" s="28" customFormat="1" x14ac:dyDescent="0.25">
      <c r="A831" s="56"/>
      <c r="B831" s="62"/>
      <c r="C831" s="62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150"/>
    </row>
    <row r="832" spans="1:16" s="28" customFormat="1" x14ac:dyDescent="0.25">
      <c r="A832" s="56"/>
      <c r="B832" s="62"/>
      <c r="C832" s="62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150"/>
    </row>
    <row r="833" spans="1:16" s="28" customFormat="1" x14ac:dyDescent="0.25">
      <c r="A833" s="56"/>
      <c r="B833" s="62"/>
      <c r="C833" s="62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150"/>
    </row>
    <row r="834" spans="1:16" s="28" customFormat="1" x14ac:dyDescent="0.25">
      <c r="A834" s="56"/>
      <c r="B834" s="62"/>
      <c r="C834" s="62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150"/>
    </row>
    <row r="835" spans="1:16" s="28" customFormat="1" x14ac:dyDescent="0.25">
      <c r="A835" s="56"/>
      <c r="B835" s="62"/>
      <c r="C835" s="62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150"/>
    </row>
    <row r="836" spans="1:16" s="28" customFormat="1" x14ac:dyDescent="0.25">
      <c r="A836" s="56"/>
      <c r="B836" s="62"/>
      <c r="C836" s="62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150"/>
    </row>
    <row r="837" spans="1:16" s="28" customFormat="1" x14ac:dyDescent="0.25">
      <c r="A837" s="56"/>
      <c r="B837" s="62"/>
      <c r="C837" s="62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150"/>
    </row>
    <row r="838" spans="1:16" s="28" customFormat="1" x14ac:dyDescent="0.25">
      <c r="A838" s="56"/>
      <c r="B838" s="62"/>
      <c r="C838" s="62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150"/>
    </row>
    <row r="839" spans="1:16" s="28" customFormat="1" x14ac:dyDescent="0.25">
      <c r="A839" s="56"/>
      <c r="B839" s="62"/>
      <c r="C839" s="62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150"/>
    </row>
    <row r="840" spans="1:16" s="28" customFormat="1" x14ac:dyDescent="0.25">
      <c r="A840" s="56"/>
      <c r="B840" s="62"/>
      <c r="C840" s="62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150"/>
    </row>
    <row r="841" spans="1:16" s="28" customFormat="1" x14ac:dyDescent="0.25">
      <c r="A841" s="56"/>
      <c r="B841" s="62"/>
      <c r="C841" s="62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150"/>
    </row>
    <row r="842" spans="1:16" s="28" customFormat="1" x14ac:dyDescent="0.25">
      <c r="A842" s="56"/>
      <c r="B842" s="62"/>
      <c r="C842" s="62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150"/>
    </row>
    <row r="843" spans="1:16" s="28" customFormat="1" x14ac:dyDescent="0.25">
      <c r="A843" s="56"/>
      <c r="B843" s="62"/>
      <c r="C843" s="62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150"/>
    </row>
    <row r="844" spans="1:16" s="28" customFormat="1" x14ac:dyDescent="0.25">
      <c r="A844" s="56"/>
      <c r="B844" s="62"/>
      <c r="C844" s="62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150"/>
    </row>
    <row r="845" spans="1:16" s="28" customFormat="1" x14ac:dyDescent="0.25">
      <c r="A845" s="56"/>
      <c r="B845" s="62"/>
      <c r="C845" s="62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150"/>
    </row>
    <row r="846" spans="1:16" s="28" customFormat="1" x14ac:dyDescent="0.25">
      <c r="A846" s="56"/>
      <c r="B846" s="62"/>
      <c r="C846" s="62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150"/>
    </row>
    <row r="847" spans="1:16" s="28" customFormat="1" x14ac:dyDescent="0.25">
      <c r="A847" s="56"/>
      <c r="B847" s="62"/>
      <c r="C847" s="62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150"/>
    </row>
    <row r="848" spans="1:16" s="28" customFormat="1" x14ac:dyDescent="0.25">
      <c r="A848" s="56"/>
      <c r="B848" s="62"/>
      <c r="C848" s="62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150"/>
    </row>
    <row r="849" spans="1:16" s="28" customFormat="1" x14ac:dyDescent="0.25">
      <c r="A849" s="56"/>
      <c r="B849" s="62"/>
      <c r="C849" s="62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150"/>
    </row>
    <row r="850" spans="1:16" s="28" customFormat="1" x14ac:dyDescent="0.25">
      <c r="A850" s="56"/>
      <c r="B850" s="62"/>
      <c r="C850" s="62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150"/>
    </row>
    <row r="851" spans="1:16" s="28" customFormat="1" x14ac:dyDescent="0.25">
      <c r="A851" s="56"/>
      <c r="B851" s="62"/>
      <c r="C851" s="62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150"/>
    </row>
    <row r="852" spans="1:16" s="28" customFormat="1" x14ac:dyDescent="0.25">
      <c r="A852" s="56"/>
      <c r="B852" s="62"/>
      <c r="C852" s="62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150"/>
    </row>
    <row r="853" spans="1:16" s="28" customFormat="1" x14ac:dyDescent="0.25">
      <c r="A853" s="56"/>
      <c r="B853" s="62"/>
      <c r="C853" s="62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150"/>
    </row>
    <row r="854" spans="1:16" s="28" customFormat="1" x14ac:dyDescent="0.25">
      <c r="A854" s="56"/>
      <c r="B854" s="62"/>
      <c r="C854" s="62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150"/>
    </row>
    <row r="855" spans="1:16" s="28" customFormat="1" x14ac:dyDescent="0.25">
      <c r="A855" s="56"/>
      <c r="B855" s="62"/>
      <c r="C855" s="62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150"/>
    </row>
    <row r="856" spans="1:16" s="28" customFormat="1" x14ac:dyDescent="0.25">
      <c r="A856" s="56"/>
      <c r="B856" s="62"/>
      <c r="C856" s="62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150"/>
    </row>
    <row r="857" spans="1:16" s="28" customFormat="1" x14ac:dyDescent="0.25">
      <c r="A857" s="56"/>
      <c r="B857" s="62"/>
      <c r="C857" s="62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150"/>
    </row>
    <row r="858" spans="1:16" s="28" customFormat="1" x14ac:dyDescent="0.25">
      <c r="A858" s="56"/>
      <c r="B858" s="62"/>
      <c r="C858" s="62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150"/>
    </row>
    <row r="859" spans="1:16" s="28" customFormat="1" x14ac:dyDescent="0.25">
      <c r="A859" s="56"/>
      <c r="B859" s="62"/>
      <c r="C859" s="62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150"/>
    </row>
    <row r="860" spans="1:16" s="28" customFormat="1" x14ac:dyDescent="0.25">
      <c r="A860" s="56"/>
      <c r="B860" s="62"/>
      <c r="C860" s="62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150"/>
    </row>
    <row r="861" spans="1:16" s="28" customFormat="1" x14ac:dyDescent="0.25">
      <c r="A861" s="56"/>
      <c r="B861" s="62"/>
      <c r="C861" s="62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150"/>
    </row>
    <row r="862" spans="1:16" s="28" customFormat="1" x14ac:dyDescent="0.25">
      <c r="A862" s="56"/>
      <c r="B862" s="62"/>
      <c r="C862" s="62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150"/>
    </row>
    <row r="863" spans="1:16" s="28" customFormat="1" x14ac:dyDescent="0.25">
      <c r="A863" s="56"/>
      <c r="B863" s="62"/>
      <c r="C863" s="62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150"/>
    </row>
    <row r="864" spans="1:16" s="28" customFormat="1" x14ac:dyDescent="0.25">
      <c r="A864" s="56"/>
      <c r="B864" s="62"/>
      <c r="C864" s="62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150"/>
    </row>
    <row r="865" spans="1:16" s="28" customFormat="1" x14ac:dyDescent="0.25">
      <c r="A865" s="56"/>
      <c r="B865" s="62"/>
      <c r="C865" s="62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150"/>
    </row>
    <row r="866" spans="1:16" s="28" customFormat="1" x14ac:dyDescent="0.25">
      <c r="A866" s="56"/>
      <c r="B866" s="62"/>
      <c r="C866" s="62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150"/>
    </row>
    <row r="867" spans="1:16" s="28" customFormat="1" x14ac:dyDescent="0.25">
      <c r="A867" s="56"/>
      <c r="B867" s="62"/>
      <c r="C867" s="62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150"/>
    </row>
    <row r="868" spans="1:16" s="28" customFormat="1" x14ac:dyDescent="0.25">
      <c r="A868" s="56"/>
      <c r="B868" s="62"/>
      <c r="C868" s="62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150"/>
    </row>
    <row r="869" spans="1:16" s="28" customFormat="1" x14ac:dyDescent="0.25">
      <c r="A869" s="56"/>
      <c r="B869" s="62"/>
      <c r="C869" s="62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150"/>
    </row>
    <row r="870" spans="1:16" s="28" customFormat="1" x14ac:dyDescent="0.25">
      <c r="A870" s="56"/>
      <c r="B870" s="62"/>
      <c r="C870" s="62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150"/>
    </row>
    <row r="871" spans="1:16" s="28" customFormat="1" x14ac:dyDescent="0.25">
      <c r="A871" s="56"/>
      <c r="B871" s="62"/>
      <c r="C871" s="62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150"/>
    </row>
    <row r="872" spans="1:16" s="28" customFormat="1" x14ac:dyDescent="0.25">
      <c r="A872" s="56"/>
      <c r="B872" s="62"/>
      <c r="C872" s="62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150"/>
    </row>
    <row r="873" spans="1:16" s="28" customFormat="1" x14ac:dyDescent="0.25">
      <c r="A873" s="56"/>
      <c r="B873" s="62"/>
      <c r="C873" s="62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150"/>
    </row>
    <row r="874" spans="1:16" s="28" customFormat="1" x14ac:dyDescent="0.25">
      <c r="A874" s="56"/>
      <c r="B874" s="62"/>
      <c r="C874" s="62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150"/>
    </row>
    <row r="875" spans="1:16" s="28" customFormat="1" x14ac:dyDescent="0.25">
      <c r="A875" s="56"/>
      <c r="B875" s="62"/>
      <c r="C875" s="62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150"/>
    </row>
    <row r="876" spans="1:16" s="28" customFormat="1" x14ac:dyDescent="0.25">
      <c r="A876" s="56"/>
      <c r="B876" s="62"/>
      <c r="C876" s="62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150"/>
    </row>
    <row r="877" spans="1:16" s="28" customFormat="1" x14ac:dyDescent="0.25">
      <c r="A877" s="56"/>
      <c r="B877" s="62"/>
      <c r="C877" s="62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150"/>
    </row>
    <row r="878" spans="1:16" s="28" customFormat="1" x14ac:dyDescent="0.25">
      <c r="A878" s="56"/>
      <c r="B878" s="62"/>
      <c r="C878" s="62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150"/>
    </row>
    <row r="879" spans="1:16" s="28" customFormat="1" x14ac:dyDescent="0.25">
      <c r="A879" s="56"/>
      <c r="B879" s="62"/>
      <c r="C879" s="62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150"/>
    </row>
    <row r="880" spans="1:16" s="28" customFormat="1" x14ac:dyDescent="0.25">
      <c r="A880" s="56"/>
      <c r="B880" s="62"/>
      <c r="C880" s="62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150"/>
    </row>
    <row r="881" spans="1:16" s="28" customFormat="1" x14ac:dyDescent="0.25">
      <c r="A881" s="56"/>
      <c r="B881" s="62"/>
      <c r="C881" s="62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150"/>
    </row>
    <row r="882" spans="1:16" s="28" customFormat="1" x14ac:dyDescent="0.25">
      <c r="A882" s="56"/>
      <c r="B882" s="62"/>
      <c r="C882" s="62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150"/>
    </row>
    <row r="883" spans="1:16" s="28" customFormat="1" x14ac:dyDescent="0.25">
      <c r="A883" s="56"/>
      <c r="B883" s="62"/>
      <c r="C883" s="62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150"/>
    </row>
    <row r="884" spans="1:16" s="28" customFormat="1" x14ac:dyDescent="0.25">
      <c r="A884" s="56"/>
      <c r="B884" s="62"/>
      <c r="C884" s="62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150"/>
    </row>
    <row r="885" spans="1:16" s="28" customFormat="1" x14ac:dyDescent="0.25">
      <c r="A885" s="56"/>
      <c r="B885" s="62"/>
      <c r="C885" s="62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150"/>
    </row>
    <row r="886" spans="1:16" s="28" customFormat="1" x14ac:dyDescent="0.25">
      <c r="A886" s="56"/>
      <c r="B886" s="62"/>
      <c r="C886" s="62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150"/>
    </row>
    <row r="887" spans="1:16" s="28" customFormat="1" x14ac:dyDescent="0.25">
      <c r="A887" s="56"/>
      <c r="B887" s="62"/>
      <c r="C887" s="62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150"/>
    </row>
    <row r="888" spans="1:16" s="28" customFormat="1" x14ac:dyDescent="0.25">
      <c r="A888" s="56"/>
      <c r="B888" s="62"/>
      <c r="C888" s="62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150"/>
    </row>
    <row r="889" spans="1:16" s="28" customFormat="1" x14ac:dyDescent="0.25">
      <c r="A889" s="56"/>
      <c r="B889" s="62"/>
      <c r="C889" s="62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150"/>
    </row>
    <row r="890" spans="1:16" s="28" customFormat="1" x14ac:dyDescent="0.25">
      <c r="A890" s="56"/>
      <c r="B890" s="62"/>
      <c r="C890" s="62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150"/>
    </row>
    <row r="891" spans="1:16" s="28" customFormat="1" x14ac:dyDescent="0.25">
      <c r="A891" s="56"/>
      <c r="B891" s="62"/>
      <c r="C891" s="62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150"/>
    </row>
    <row r="892" spans="1:16" s="28" customFormat="1" x14ac:dyDescent="0.25">
      <c r="A892" s="56"/>
      <c r="B892" s="62"/>
      <c r="C892" s="62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150"/>
    </row>
    <row r="893" spans="1:16" s="28" customFormat="1" x14ac:dyDescent="0.25">
      <c r="A893" s="56"/>
      <c r="B893" s="62"/>
      <c r="C893" s="62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150"/>
    </row>
    <row r="894" spans="1:16" s="28" customFormat="1" x14ac:dyDescent="0.25">
      <c r="A894" s="56"/>
      <c r="B894" s="62"/>
      <c r="C894" s="62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150"/>
    </row>
    <row r="895" spans="1:16" s="28" customFormat="1" x14ac:dyDescent="0.25">
      <c r="A895" s="56"/>
      <c r="B895" s="62"/>
      <c r="C895" s="62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150"/>
    </row>
    <row r="896" spans="1:16" s="28" customFormat="1" x14ac:dyDescent="0.25">
      <c r="A896" s="56"/>
      <c r="B896" s="62"/>
      <c r="C896" s="62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150"/>
    </row>
    <row r="897" spans="1:16" s="28" customFormat="1" x14ac:dyDescent="0.25">
      <c r="A897" s="56"/>
      <c r="B897" s="62"/>
      <c r="C897" s="62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150"/>
    </row>
    <row r="898" spans="1:16" s="28" customFormat="1" x14ac:dyDescent="0.25">
      <c r="A898" s="56"/>
      <c r="B898" s="62"/>
      <c r="C898" s="62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150"/>
    </row>
    <row r="899" spans="1:16" s="28" customFormat="1" x14ac:dyDescent="0.25">
      <c r="A899" s="56"/>
      <c r="B899" s="62"/>
      <c r="C899" s="62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150"/>
    </row>
    <row r="900" spans="1:16" s="28" customFormat="1" x14ac:dyDescent="0.25">
      <c r="A900" s="56"/>
      <c r="B900" s="62"/>
      <c r="C900" s="62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150"/>
    </row>
    <row r="901" spans="1:16" s="28" customFormat="1" x14ac:dyDescent="0.25">
      <c r="A901" s="56"/>
      <c r="B901" s="62"/>
      <c r="C901" s="62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150"/>
    </row>
    <row r="902" spans="1:16" s="28" customFormat="1" x14ac:dyDescent="0.25">
      <c r="A902" s="56"/>
      <c r="B902" s="62"/>
      <c r="C902" s="62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150"/>
    </row>
    <row r="903" spans="1:16" s="28" customFormat="1" x14ac:dyDescent="0.25">
      <c r="A903" s="56"/>
      <c r="B903" s="62"/>
      <c r="C903" s="62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150"/>
    </row>
    <row r="904" spans="1:16" s="28" customFormat="1" x14ac:dyDescent="0.25">
      <c r="A904" s="56"/>
      <c r="B904" s="62"/>
      <c r="C904" s="62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150"/>
    </row>
    <row r="905" spans="1:16" s="28" customFormat="1" x14ac:dyDescent="0.25">
      <c r="A905" s="56"/>
      <c r="B905" s="62"/>
      <c r="C905" s="62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150"/>
    </row>
    <row r="906" spans="1:16" s="28" customFormat="1" x14ac:dyDescent="0.25">
      <c r="A906" s="56"/>
      <c r="B906" s="62"/>
      <c r="C906" s="62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150"/>
    </row>
    <row r="907" spans="1:16" s="28" customFormat="1" x14ac:dyDescent="0.25">
      <c r="A907" s="56"/>
      <c r="B907" s="62"/>
      <c r="C907" s="62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150"/>
    </row>
    <row r="908" spans="1:16" s="28" customFormat="1" x14ac:dyDescent="0.25">
      <c r="A908" s="56"/>
      <c r="B908" s="62"/>
      <c r="C908" s="62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150"/>
    </row>
    <row r="909" spans="1:16" s="28" customFormat="1" x14ac:dyDescent="0.25">
      <c r="A909" s="56"/>
      <c r="B909" s="62"/>
      <c r="C909" s="62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150"/>
    </row>
    <row r="910" spans="1:16" s="28" customFormat="1" x14ac:dyDescent="0.25">
      <c r="A910" s="56"/>
      <c r="B910" s="62"/>
      <c r="C910" s="62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150"/>
    </row>
    <row r="911" spans="1:16" s="28" customFormat="1" x14ac:dyDescent="0.25">
      <c r="A911" s="56"/>
      <c r="B911" s="62"/>
      <c r="C911" s="62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150"/>
    </row>
    <row r="912" spans="1:16" s="28" customFormat="1" x14ac:dyDescent="0.25">
      <c r="A912" s="56"/>
      <c r="B912" s="62"/>
      <c r="C912" s="62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150"/>
    </row>
    <row r="913" spans="1:16" s="28" customFormat="1" x14ac:dyDescent="0.25">
      <c r="A913" s="56"/>
      <c r="B913" s="62"/>
      <c r="C913" s="62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150"/>
    </row>
    <row r="914" spans="1:16" s="28" customFormat="1" x14ac:dyDescent="0.25">
      <c r="A914" s="56"/>
      <c r="B914" s="62"/>
      <c r="C914" s="62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150"/>
    </row>
    <row r="915" spans="1:16" s="28" customFormat="1" x14ac:dyDescent="0.25">
      <c r="A915" s="56"/>
      <c r="B915" s="62"/>
      <c r="C915" s="62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150"/>
    </row>
    <row r="916" spans="1:16" s="28" customFormat="1" x14ac:dyDescent="0.25">
      <c r="A916" s="56"/>
      <c r="B916" s="62"/>
      <c r="C916" s="62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150"/>
    </row>
    <row r="917" spans="1:16" s="28" customFormat="1" x14ac:dyDescent="0.25">
      <c r="A917" s="56"/>
      <c r="B917" s="62"/>
      <c r="C917" s="62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150"/>
    </row>
    <row r="918" spans="1:16" s="28" customFormat="1" x14ac:dyDescent="0.25">
      <c r="A918" s="56"/>
      <c r="B918" s="62"/>
      <c r="C918" s="62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150"/>
    </row>
    <row r="919" spans="1:16" s="28" customFormat="1" x14ac:dyDescent="0.25">
      <c r="A919" s="56"/>
      <c r="B919" s="62"/>
      <c r="C919" s="62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150"/>
    </row>
    <row r="920" spans="1:16" s="28" customFormat="1" x14ac:dyDescent="0.25">
      <c r="A920" s="56"/>
      <c r="B920" s="62"/>
      <c r="C920" s="62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150"/>
    </row>
    <row r="921" spans="1:16" s="28" customFormat="1" x14ac:dyDescent="0.25">
      <c r="A921" s="56"/>
      <c r="B921" s="62"/>
      <c r="C921" s="62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150"/>
    </row>
    <row r="922" spans="1:16" s="28" customFormat="1" x14ac:dyDescent="0.25">
      <c r="A922" s="56"/>
      <c r="B922" s="62"/>
      <c r="C922" s="62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150"/>
    </row>
    <row r="923" spans="1:16" s="28" customFormat="1" x14ac:dyDescent="0.25">
      <c r="A923" s="56"/>
      <c r="B923" s="62"/>
      <c r="C923" s="62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150"/>
    </row>
    <row r="924" spans="1:16" s="28" customFormat="1" x14ac:dyDescent="0.25">
      <c r="A924" s="56"/>
      <c r="B924" s="62"/>
      <c r="C924" s="62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150"/>
    </row>
    <row r="925" spans="1:16" s="28" customFormat="1" x14ac:dyDescent="0.25">
      <c r="A925" s="56"/>
      <c r="B925" s="62"/>
      <c r="C925" s="62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150"/>
    </row>
    <row r="926" spans="1:16" s="28" customFormat="1" x14ac:dyDescent="0.25">
      <c r="A926" s="56"/>
      <c r="B926" s="62"/>
      <c r="C926" s="62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150"/>
    </row>
    <row r="927" spans="1:16" s="28" customFormat="1" x14ac:dyDescent="0.25">
      <c r="A927" s="56"/>
      <c r="B927" s="62"/>
      <c r="C927" s="62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150"/>
    </row>
    <row r="928" spans="1:16" s="28" customFormat="1" x14ac:dyDescent="0.25">
      <c r="A928" s="56"/>
      <c r="B928" s="62"/>
      <c r="C928" s="62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150"/>
    </row>
    <row r="929" spans="1:16" s="28" customFormat="1" x14ac:dyDescent="0.25">
      <c r="A929" s="56"/>
      <c r="B929" s="62"/>
      <c r="C929" s="62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150"/>
    </row>
    <row r="930" spans="1:16" s="28" customFormat="1" x14ac:dyDescent="0.25">
      <c r="A930" s="56"/>
      <c r="B930" s="62"/>
      <c r="C930" s="62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150"/>
    </row>
    <row r="931" spans="1:16" s="28" customFormat="1" x14ac:dyDescent="0.25">
      <c r="A931" s="56"/>
      <c r="B931" s="62"/>
      <c r="C931" s="62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150"/>
    </row>
    <row r="932" spans="1:16" s="28" customFormat="1" x14ac:dyDescent="0.25">
      <c r="A932" s="56"/>
      <c r="B932" s="62"/>
      <c r="C932" s="62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150"/>
    </row>
    <row r="933" spans="1:16" s="28" customFormat="1" x14ac:dyDescent="0.25">
      <c r="A933" s="56"/>
      <c r="B933" s="62"/>
      <c r="C933" s="62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150"/>
    </row>
    <row r="934" spans="1:16" s="28" customFormat="1" x14ac:dyDescent="0.25">
      <c r="A934" s="56"/>
      <c r="B934" s="62"/>
      <c r="C934" s="62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150"/>
    </row>
    <row r="935" spans="1:16" s="28" customFormat="1" x14ac:dyDescent="0.25">
      <c r="A935" s="56"/>
      <c r="B935" s="62"/>
      <c r="C935" s="62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150"/>
    </row>
    <row r="936" spans="1:16" s="28" customFormat="1" x14ac:dyDescent="0.25">
      <c r="A936" s="56"/>
      <c r="B936" s="62"/>
      <c r="C936" s="62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150"/>
    </row>
    <row r="937" spans="1:16" s="28" customFormat="1" x14ac:dyDescent="0.25">
      <c r="A937" s="56"/>
      <c r="B937" s="62"/>
      <c r="C937" s="62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150"/>
    </row>
    <row r="938" spans="1:16" s="28" customFormat="1" x14ac:dyDescent="0.25">
      <c r="A938" s="56"/>
      <c r="B938" s="62"/>
      <c r="C938" s="62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150"/>
    </row>
    <row r="939" spans="1:16" s="28" customFormat="1" x14ac:dyDescent="0.25">
      <c r="A939" s="56"/>
      <c r="B939" s="62"/>
      <c r="C939" s="62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150"/>
    </row>
    <row r="940" spans="1:16" s="28" customFormat="1" x14ac:dyDescent="0.25">
      <c r="A940" s="56"/>
      <c r="B940" s="62"/>
      <c r="C940" s="62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150"/>
    </row>
    <row r="941" spans="1:16" s="28" customFormat="1" x14ac:dyDescent="0.25">
      <c r="A941" s="56"/>
      <c r="B941" s="62"/>
      <c r="C941" s="62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150"/>
    </row>
    <row r="942" spans="1:16" s="28" customFormat="1" x14ac:dyDescent="0.25">
      <c r="A942" s="56"/>
      <c r="B942" s="62"/>
      <c r="C942" s="62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150"/>
    </row>
    <row r="943" spans="1:16" s="28" customFormat="1" x14ac:dyDescent="0.25">
      <c r="A943" s="56"/>
      <c r="B943" s="62"/>
      <c r="C943" s="62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150"/>
    </row>
    <row r="944" spans="1:16" s="28" customFormat="1" x14ac:dyDescent="0.25">
      <c r="A944" s="56"/>
      <c r="B944" s="62"/>
      <c r="C944" s="62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150"/>
    </row>
    <row r="945" spans="1:16" s="28" customFormat="1" x14ac:dyDescent="0.25">
      <c r="A945" s="56"/>
      <c r="B945" s="62"/>
      <c r="C945" s="62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150"/>
    </row>
    <row r="946" spans="1:16" s="28" customFormat="1" x14ac:dyDescent="0.25">
      <c r="A946" s="56"/>
      <c r="B946" s="62"/>
      <c r="C946" s="62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150"/>
    </row>
    <row r="947" spans="1:16" s="28" customFormat="1" x14ac:dyDescent="0.25">
      <c r="A947" s="56"/>
      <c r="B947" s="62"/>
      <c r="C947" s="62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150"/>
    </row>
    <row r="948" spans="1:16" s="28" customFormat="1" x14ac:dyDescent="0.25">
      <c r="A948" s="56"/>
      <c r="B948" s="62"/>
      <c r="C948" s="62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150"/>
    </row>
    <row r="949" spans="1:16" s="28" customFormat="1" x14ac:dyDescent="0.25">
      <c r="A949" s="56"/>
      <c r="B949" s="62"/>
      <c r="C949" s="62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150"/>
    </row>
    <row r="950" spans="1:16" s="28" customFormat="1" x14ac:dyDescent="0.25">
      <c r="A950" s="56"/>
      <c r="B950" s="62"/>
      <c r="C950" s="62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150"/>
    </row>
    <row r="951" spans="1:16" s="28" customFormat="1" x14ac:dyDescent="0.25">
      <c r="A951" s="56"/>
      <c r="B951" s="62"/>
      <c r="C951" s="62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150"/>
    </row>
    <row r="952" spans="1:16" s="28" customFormat="1" x14ac:dyDescent="0.25">
      <c r="A952" s="56"/>
      <c r="B952" s="62"/>
      <c r="C952" s="62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150"/>
    </row>
    <row r="953" spans="1:16" s="28" customFormat="1" x14ac:dyDescent="0.25">
      <c r="A953" s="56"/>
      <c r="B953" s="62"/>
      <c r="C953" s="62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150"/>
    </row>
    <row r="954" spans="1:16" s="28" customFormat="1" x14ac:dyDescent="0.25">
      <c r="A954" s="56"/>
      <c r="B954" s="62"/>
      <c r="C954" s="62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150"/>
    </row>
    <row r="955" spans="1:16" s="28" customFormat="1" x14ac:dyDescent="0.25">
      <c r="A955" s="56"/>
      <c r="B955" s="62"/>
      <c r="C955" s="62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150"/>
    </row>
    <row r="956" spans="1:16" s="28" customFormat="1" x14ac:dyDescent="0.25">
      <c r="A956" s="56"/>
      <c r="B956" s="62"/>
      <c r="C956" s="62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150"/>
    </row>
    <row r="957" spans="1:16" s="28" customFormat="1" x14ac:dyDescent="0.25">
      <c r="A957" s="56"/>
      <c r="B957" s="62"/>
      <c r="C957" s="62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150"/>
    </row>
    <row r="958" spans="1:16" s="28" customFormat="1" x14ac:dyDescent="0.25">
      <c r="A958" s="56"/>
      <c r="B958" s="62"/>
      <c r="C958" s="62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150"/>
    </row>
    <row r="959" spans="1:16" s="28" customFormat="1" x14ac:dyDescent="0.25">
      <c r="A959" s="56"/>
      <c r="B959" s="62"/>
      <c r="C959" s="62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150"/>
    </row>
    <row r="960" spans="1:16" s="28" customFormat="1" x14ac:dyDescent="0.25">
      <c r="A960" s="56"/>
      <c r="B960" s="62"/>
      <c r="C960" s="62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150"/>
    </row>
    <row r="961" spans="1:16" s="28" customFormat="1" x14ac:dyDescent="0.25">
      <c r="A961" s="56"/>
      <c r="B961" s="62"/>
      <c r="C961" s="62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150"/>
    </row>
    <row r="962" spans="1:16" s="28" customFormat="1" x14ac:dyDescent="0.25">
      <c r="A962" s="56"/>
      <c r="B962" s="62"/>
      <c r="C962" s="62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150"/>
    </row>
    <row r="963" spans="1:16" s="28" customFormat="1" x14ac:dyDescent="0.25">
      <c r="A963" s="56"/>
      <c r="B963" s="62"/>
      <c r="C963" s="62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150"/>
    </row>
    <row r="964" spans="1:16" s="28" customFormat="1" x14ac:dyDescent="0.25">
      <c r="A964" s="56"/>
      <c r="B964" s="62"/>
      <c r="C964" s="62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150"/>
    </row>
    <row r="965" spans="1:16" s="28" customFormat="1" x14ac:dyDescent="0.25">
      <c r="A965" s="56"/>
      <c r="B965" s="62"/>
      <c r="C965" s="62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150"/>
    </row>
    <row r="966" spans="1:16" s="28" customFormat="1" x14ac:dyDescent="0.25">
      <c r="A966" s="56"/>
      <c r="B966" s="62"/>
      <c r="C966" s="62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150"/>
    </row>
    <row r="967" spans="1:16" s="28" customFormat="1" x14ac:dyDescent="0.25">
      <c r="A967" s="56"/>
      <c r="B967" s="62"/>
      <c r="C967" s="62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150"/>
    </row>
    <row r="968" spans="1:16" s="28" customFormat="1" x14ac:dyDescent="0.25">
      <c r="A968" s="56"/>
      <c r="B968" s="62"/>
      <c r="C968" s="62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150"/>
    </row>
    <row r="969" spans="1:16" s="28" customFormat="1" x14ac:dyDescent="0.25">
      <c r="A969" s="56"/>
      <c r="B969" s="62"/>
      <c r="C969" s="62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150"/>
    </row>
    <row r="970" spans="1:16" s="28" customFormat="1" x14ac:dyDescent="0.25">
      <c r="A970" s="56"/>
      <c r="B970" s="62"/>
      <c r="C970" s="62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150"/>
    </row>
    <row r="971" spans="1:16" s="28" customFormat="1" x14ac:dyDescent="0.25">
      <c r="A971" s="56"/>
      <c r="B971" s="62"/>
      <c r="C971" s="62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150"/>
    </row>
    <row r="972" spans="1:16" s="28" customFormat="1" x14ac:dyDescent="0.25">
      <c r="A972" s="56"/>
      <c r="B972" s="62"/>
      <c r="C972" s="62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150"/>
    </row>
    <row r="973" spans="1:16" s="28" customFormat="1" x14ac:dyDescent="0.25">
      <c r="A973" s="56"/>
      <c r="B973" s="62"/>
      <c r="C973" s="62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150"/>
    </row>
    <row r="974" spans="1:16" s="28" customFormat="1" x14ac:dyDescent="0.25">
      <c r="A974" s="56"/>
      <c r="B974" s="62"/>
      <c r="C974" s="62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150"/>
    </row>
    <row r="975" spans="1:16" s="28" customFormat="1" x14ac:dyDescent="0.25">
      <c r="A975" s="56"/>
      <c r="B975" s="62"/>
      <c r="C975" s="62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150"/>
    </row>
    <row r="976" spans="1:16" s="28" customFormat="1" x14ac:dyDescent="0.25">
      <c r="A976" s="56"/>
      <c r="B976" s="62"/>
      <c r="C976" s="62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150"/>
    </row>
    <row r="977" spans="1:16" s="28" customFormat="1" x14ac:dyDescent="0.25">
      <c r="A977" s="56"/>
      <c r="B977" s="62"/>
      <c r="C977" s="62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150"/>
    </row>
    <row r="978" spans="1:16" s="28" customFormat="1" x14ac:dyDescent="0.25">
      <c r="A978" s="56"/>
      <c r="B978" s="62"/>
      <c r="C978" s="62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150"/>
    </row>
    <row r="979" spans="1:16" s="28" customFormat="1" x14ac:dyDescent="0.25">
      <c r="A979" s="56"/>
      <c r="B979" s="62"/>
      <c r="C979" s="62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150"/>
    </row>
    <row r="980" spans="1:16" s="28" customFormat="1" x14ac:dyDescent="0.25">
      <c r="A980" s="56"/>
      <c r="B980" s="62"/>
      <c r="C980" s="62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150"/>
    </row>
    <row r="981" spans="1:16" s="28" customFormat="1" x14ac:dyDescent="0.25">
      <c r="A981" s="56"/>
      <c r="B981" s="62"/>
      <c r="C981" s="62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150"/>
    </row>
    <row r="982" spans="1:16" s="28" customFormat="1" x14ac:dyDescent="0.25">
      <c r="A982" s="56"/>
      <c r="B982" s="62"/>
      <c r="C982" s="62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150"/>
    </row>
    <row r="983" spans="1:16" s="28" customFormat="1" x14ac:dyDescent="0.25">
      <c r="A983" s="56"/>
      <c r="B983" s="62"/>
      <c r="C983" s="62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150"/>
    </row>
    <row r="984" spans="1:16" s="28" customFormat="1" x14ac:dyDescent="0.25">
      <c r="A984" s="56"/>
      <c r="B984" s="62"/>
      <c r="C984" s="62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150"/>
    </row>
    <row r="985" spans="1:16" s="28" customFormat="1" x14ac:dyDescent="0.25">
      <c r="A985" s="56"/>
      <c r="B985" s="62"/>
      <c r="C985" s="62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150"/>
    </row>
    <row r="986" spans="1:16" s="28" customFormat="1" x14ac:dyDescent="0.25">
      <c r="A986" s="56"/>
      <c r="B986" s="62"/>
      <c r="C986" s="62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150"/>
    </row>
    <row r="987" spans="1:16" s="28" customFormat="1" x14ac:dyDescent="0.25">
      <c r="A987" s="56"/>
      <c r="B987" s="62"/>
      <c r="C987" s="62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150"/>
    </row>
    <row r="988" spans="1:16" s="28" customFormat="1" x14ac:dyDescent="0.25">
      <c r="A988" s="56"/>
      <c r="B988" s="62"/>
      <c r="C988" s="62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150"/>
    </row>
    <row r="989" spans="1:16" s="28" customFormat="1" x14ac:dyDescent="0.25">
      <c r="A989" s="56"/>
      <c r="B989" s="62"/>
      <c r="C989" s="62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150"/>
    </row>
    <row r="990" spans="1:16" s="28" customFormat="1" x14ac:dyDescent="0.25">
      <c r="A990" s="56"/>
      <c r="B990" s="62"/>
      <c r="C990" s="62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150"/>
    </row>
    <row r="991" spans="1:16" s="28" customFormat="1" x14ac:dyDescent="0.25">
      <c r="A991" s="56"/>
      <c r="B991" s="62"/>
      <c r="C991" s="62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150"/>
    </row>
    <row r="992" spans="1:16" s="28" customFormat="1" x14ac:dyDescent="0.25">
      <c r="A992" s="56"/>
      <c r="B992" s="62"/>
      <c r="C992" s="62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150"/>
    </row>
    <row r="993" spans="1:16" s="28" customFormat="1" x14ac:dyDescent="0.25">
      <c r="A993" s="56"/>
      <c r="B993" s="62"/>
      <c r="C993" s="62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150"/>
    </row>
    <row r="994" spans="1:16" s="28" customFormat="1" x14ac:dyDescent="0.25">
      <c r="A994" s="56"/>
      <c r="B994" s="62"/>
      <c r="C994" s="62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150"/>
    </row>
    <row r="995" spans="1:16" s="28" customFormat="1" x14ac:dyDescent="0.25">
      <c r="A995" s="56"/>
      <c r="B995" s="62"/>
      <c r="C995" s="62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150"/>
    </row>
    <row r="996" spans="1:16" s="28" customFormat="1" x14ac:dyDescent="0.25">
      <c r="A996" s="56"/>
      <c r="B996" s="62"/>
      <c r="C996" s="62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150"/>
    </row>
    <row r="997" spans="1:16" s="28" customFormat="1" x14ac:dyDescent="0.25">
      <c r="A997" s="56"/>
      <c r="B997" s="62"/>
      <c r="C997" s="62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150"/>
    </row>
    <row r="998" spans="1:16" s="28" customFormat="1" x14ac:dyDescent="0.25">
      <c r="A998" s="56"/>
      <c r="B998" s="62"/>
      <c r="C998" s="62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150"/>
    </row>
    <row r="999" spans="1:16" s="28" customFormat="1" x14ac:dyDescent="0.25">
      <c r="A999" s="56"/>
      <c r="B999" s="62"/>
      <c r="C999" s="62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150"/>
    </row>
    <row r="1000" spans="1:16" s="28" customFormat="1" x14ac:dyDescent="0.25">
      <c r="A1000" s="56"/>
      <c r="B1000" s="62"/>
      <c r="C1000" s="62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150"/>
    </row>
    <row r="1001" spans="1:16" s="28" customFormat="1" x14ac:dyDescent="0.25">
      <c r="A1001" s="56"/>
      <c r="B1001" s="62"/>
      <c r="C1001" s="62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150"/>
    </row>
    <row r="1002" spans="1:16" s="28" customFormat="1" x14ac:dyDescent="0.25">
      <c r="A1002" s="56"/>
      <c r="B1002" s="62"/>
      <c r="C1002" s="62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150"/>
    </row>
    <row r="1003" spans="1:16" s="28" customFormat="1" x14ac:dyDescent="0.25">
      <c r="A1003" s="56"/>
      <c r="B1003" s="62"/>
      <c r="C1003" s="62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150"/>
    </row>
    <row r="1004" spans="1:16" s="28" customFormat="1" x14ac:dyDescent="0.25">
      <c r="A1004" s="56"/>
      <c r="B1004" s="62"/>
      <c r="C1004" s="62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150"/>
    </row>
    <row r="1005" spans="1:16" s="28" customFormat="1" x14ac:dyDescent="0.25">
      <c r="A1005" s="56"/>
      <c r="B1005" s="62"/>
      <c r="C1005" s="62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150"/>
    </row>
    <row r="1006" spans="1:16" s="28" customFormat="1" x14ac:dyDescent="0.25">
      <c r="A1006" s="56"/>
      <c r="B1006" s="62"/>
      <c r="C1006" s="62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150"/>
    </row>
    <row r="1007" spans="1:16" s="28" customFormat="1" x14ac:dyDescent="0.25">
      <c r="A1007" s="56"/>
      <c r="B1007" s="62"/>
      <c r="C1007" s="62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150"/>
    </row>
    <row r="1008" spans="1:16" s="28" customFormat="1" x14ac:dyDescent="0.25">
      <c r="A1008" s="56"/>
      <c r="B1008" s="62"/>
      <c r="C1008" s="62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150"/>
    </row>
    <row r="1009" spans="1:16" s="28" customFormat="1" x14ac:dyDescent="0.25">
      <c r="A1009" s="56"/>
      <c r="B1009" s="62"/>
      <c r="C1009" s="62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150"/>
    </row>
    <row r="1010" spans="1:16" s="28" customFormat="1" x14ac:dyDescent="0.25">
      <c r="A1010" s="56"/>
      <c r="B1010" s="62"/>
      <c r="C1010" s="62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150"/>
    </row>
    <row r="1011" spans="1:16" s="28" customFormat="1" x14ac:dyDescent="0.25">
      <c r="A1011" s="56"/>
      <c r="B1011" s="62"/>
      <c r="C1011" s="62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150"/>
    </row>
    <row r="1012" spans="1:16" s="28" customFormat="1" x14ac:dyDescent="0.25">
      <c r="A1012" s="56"/>
      <c r="B1012" s="62"/>
      <c r="C1012" s="62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150"/>
    </row>
    <row r="1013" spans="1:16" s="28" customFormat="1" x14ac:dyDescent="0.25">
      <c r="A1013" s="56"/>
      <c r="B1013" s="62"/>
      <c r="C1013" s="62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150"/>
    </row>
    <row r="1014" spans="1:16" s="28" customFormat="1" x14ac:dyDescent="0.25">
      <c r="A1014" s="56"/>
      <c r="B1014" s="62"/>
      <c r="C1014" s="62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150"/>
    </row>
    <row r="1015" spans="1:16" s="28" customFormat="1" x14ac:dyDescent="0.25">
      <c r="A1015" s="56"/>
      <c r="B1015" s="62"/>
      <c r="C1015" s="62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150"/>
    </row>
    <row r="1016" spans="1:16" s="28" customFormat="1" x14ac:dyDescent="0.25">
      <c r="A1016" s="56"/>
      <c r="B1016" s="62"/>
      <c r="C1016" s="62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150"/>
    </row>
    <row r="1017" spans="1:16" s="28" customFormat="1" x14ac:dyDescent="0.25">
      <c r="A1017" s="56"/>
      <c r="B1017" s="62"/>
      <c r="C1017" s="62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150"/>
    </row>
    <row r="1018" spans="1:16" s="28" customFormat="1" x14ac:dyDescent="0.25">
      <c r="A1018" s="56"/>
      <c r="B1018" s="62"/>
      <c r="C1018" s="62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150"/>
    </row>
    <row r="1019" spans="1:16" s="28" customFormat="1" x14ac:dyDescent="0.25">
      <c r="A1019" s="56"/>
      <c r="B1019" s="62"/>
      <c r="C1019" s="62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150"/>
    </row>
    <row r="1020" spans="1:16" s="28" customFormat="1" x14ac:dyDescent="0.25">
      <c r="A1020" s="56"/>
      <c r="B1020" s="62"/>
      <c r="C1020" s="62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150"/>
    </row>
    <row r="1021" spans="1:16" s="28" customFormat="1" x14ac:dyDescent="0.25">
      <c r="A1021" s="56"/>
      <c r="B1021" s="62"/>
      <c r="C1021" s="62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150"/>
    </row>
    <row r="1022" spans="1:16" s="28" customFormat="1" x14ac:dyDescent="0.25">
      <c r="A1022" s="56"/>
      <c r="B1022" s="62"/>
      <c r="C1022" s="62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150"/>
    </row>
    <row r="1023" spans="1:16" s="28" customFormat="1" x14ac:dyDescent="0.25">
      <c r="A1023" s="56"/>
      <c r="B1023" s="62"/>
      <c r="C1023" s="62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150"/>
    </row>
    <row r="1024" spans="1:16" s="28" customFormat="1" x14ac:dyDescent="0.25">
      <c r="A1024" s="56"/>
      <c r="B1024" s="62"/>
      <c r="C1024" s="62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150"/>
    </row>
    <row r="1025" spans="1:16" s="28" customFormat="1" x14ac:dyDescent="0.25">
      <c r="A1025" s="56"/>
      <c r="B1025" s="62"/>
      <c r="C1025" s="62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150"/>
    </row>
    <row r="1026" spans="1:16" s="28" customFormat="1" x14ac:dyDescent="0.25">
      <c r="A1026" s="56"/>
      <c r="B1026" s="62"/>
      <c r="C1026" s="62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150"/>
    </row>
    <row r="1027" spans="1:16" s="28" customFormat="1" x14ac:dyDescent="0.25">
      <c r="A1027" s="56"/>
      <c r="B1027" s="62"/>
      <c r="C1027" s="62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150"/>
    </row>
    <row r="1028" spans="1:16" s="28" customFormat="1" x14ac:dyDescent="0.25">
      <c r="A1028" s="56"/>
      <c r="B1028" s="62"/>
      <c r="C1028" s="62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150"/>
    </row>
    <row r="1029" spans="1:16" s="28" customFormat="1" x14ac:dyDescent="0.25">
      <c r="A1029" s="56"/>
      <c r="B1029" s="62"/>
      <c r="C1029" s="62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150"/>
    </row>
    <row r="1030" spans="1:16" s="28" customFormat="1" x14ac:dyDescent="0.25">
      <c r="A1030" s="56"/>
      <c r="B1030" s="62"/>
      <c r="C1030" s="62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150"/>
    </row>
    <row r="1031" spans="1:16" s="28" customFormat="1" x14ac:dyDescent="0.25">
      <c r="A1031" s="56"/>
      <c r="B1031" s="62"/>
      <c r="C1031" s="62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150"/>
    </row>
    <row r="1032" spans="1:16" s="28" customFormat="1" x14ac:dyDescent="0.25">
      <c r="A1032" s="56"/>
      <c r="B1032" s="62"/>
      <c r="C1032" s="62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150"/>
    </row>
    <row r="1033" spans="1:16" s="28" customFormat="1" x14ac:dyDescent="0.25">
      <c r="A1033" s="56"/>
      <c r="B1033" s="62"/>
      <c r="C1033" s="62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150"/>
    </row>
    <row r="1034" spans="1:16" s="28" customFormat="1" x14ac:dyDescent="0.25">
      <c r="A1034" s="56"/>
      <c r="B1034" s="62"/>
      <c r="C1034" s="62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150"/>
    </row>
    <row r="1035" spans="1:16" s="28" customFormat="1" x14ac:dyDescent="0.25">
      <c r="A1035" s="56"/>
      <c r="B1035" s="62"/>
      <c r="C1035" s="62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150"/>
    </row>
    <row r="1036" spans="1:16" s="28" customFormat="1" x14ac:dyDescent="0.25">
      <c r="A1036" s="56"/>
      <c r="B1036" s="62"/>
      <c r="C1036" s="62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150"/>
    </row>
    <row r="1037" spans="1:16" s="28" customFormat="1" x14ac:dyDescent="0.25">
      <c r="A1037" s="56"/>
      <c r="B1037" s="62"/>
      <c r="C1037" s="62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150"/>
    </row>
    <row r="1038" spans="1:16" s="28" customFormat="1" x14ac:dyDescent="0.25">
      <c r="A1038" s="56"/>
      <c r="B1038" s="62"/>
      <c r="C1038" s="62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150"/>
    </row>
    <row r="1039" spans="1:16" s="28" customFormat="1" x14ac:dyDescent="0.25">
      <c r="A1039" s="56"/>
      <c r="B1039" s="62"/>
      <c r="C1039" s="62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150"/>
    </row>
    <row r="1040" spans="1:16" s="28" customFormat="1" x14ac:dyDescent="0.25">
      <c r="A1040" s="56"/>
      <c r="B1040" s="62"/>
      <c r="C1040" s="62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150"/>
    </row>
    <row r="1041" spans="1:16" s="28" customFormat="1" x14ac:dyDescent="0.25">
      <c r="A1041" s="56"/>
      <c r="B1041" s="62"/>
      <c r="C1041" s="62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150"/>
    </row>
    <row r="1042" spans="1:16" s="28" customFormat="1" x14ac:dyDescent="0.25">
      <c r="A1042" s="56"/>
      <c r="B1042" s="62"/>
      <c r="C1042" s="62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150"/>
    </row>
    <row r="1043" spans="1:16" s="28" customFormat="1" x14ac:dyDescent="0.25">
      <c r="A1043" s="56"/>
      <c r="B1043" s="62"/>
      <c r="C1043" s="62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150"/>
    </row>
    <row r="1044" spans="1:16" s="28" customFormat="1" x14ac:dyDescent="0.25">
      <c r="A1044" s="56"/>
      <c r="B1044" s="62"/>
      <c r="C1044" s="62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150"/>
    </row>
    <row r="1045" spans="1:16" s="28" customFormat="1" x14ac:dyDescent="0.25">
      <c r="A1045" s="56"/>
      <c r="B1045" s="62"/>
      <c r="C1045" s="62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150"/>
    </row>
    <row r="1046" spans="1:16" s="28" customFormat="1" x14ac:dyDescent="0.25">
      <c r="A1046" s="56"/>
      <c r="B1046" s="62"/>
      <c r="C1046" s="62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150"/>
    </row>
    <row r="1047" spans="1:16" s="28" customFormat="1" x14ac:dyDescent="0.25">
      <c r="A1047" s="56"/>
      <c r="B1047" s="62"/>
      <c r="C1047" s="62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150"/>
    </row>
    <row r="1048" spans="1:16" s="28" customFormat="1" x14ac:dyDescent="0.25">
      <c r="A1048" s="56"/>
      <c r="B1048" s="62"/>
      <c r="C1048" s="62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150"/>
    </row>
    <row r="1049" spans="1:16" s="28" customFormat="1" x14ac:dyDescent="0.25">
      <c r="A1049" s="56"/>
      <c r="B1049" s="62"/>
      <c r="C1049" s="62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150"/>
    </row>
    <row r="1050" spans="1:16" s="28" customFormat="1" x14ac:dyDescent="0.25">
      <c r="A1050" s="56"/>
      <c r="B1050" s="62"/>
      <c r="C1050" s="62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150"/>
    </row>
    <row r="1051" spans="1:16" s="28" customFormat="1" x14ac:dyDescent="0.25">
      <c r="A1051" s="56"/>
      <c r="B1051" s="62"/>
      <c r="C1051" s="62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150"/>
    </row>
    <row r="1052" spans="1:16" s="28" customFormat="1" x14ac:dyDescent="0.25">
      <c r="A1052" s="56"/>
      <c r="B1052" s="62"/>
      <c r="C1052" s="62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150"/>
    </row>
    <row r="1053" spans="1:16" s="28" customFormat="1" x14ac:dyDescent="0.25">
      <c r="A1053" s="56"/>
      <c r="B1053" s="62"/>
      <c r="C1053" s="62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150"/>
    </row>
    <row r="1054" spans="1:16" s="28" customFormat="1" x14ac:dyDescent="0.25">
      <c r="A1054" s="56"/>
      <c r="B1054" s="62"/>
      <c r="C1054" s="62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150"/>
    </row>
    <row r="1055" spans="1:16" s="28" customFormat="1" x14ac:dyDescent="0.25">
      <c r="A1055" s="56"/>
      <c r="B1055" s="62"/>
      <c r="C1055" s="62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150"/>
    </row>
    <row r="1056" spans="1:16" s="28" customFormat="1" x14ac:dyDescent="0.25">
      <c r="A1056" s="56"/>
      <c r="B1056" s="62"/>
      <c r="C1056" s="62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150"/>
    </row>
    <row r="1057" spans="1:16" s="28" customFormat="1" x14ac:dyDescent="0.25">
      <c r="A1057" s="56"/>
      <c r="B1057" s="62"/>
      <c r="C1057" s="62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150"/>
    </row>
    <row r="1058" spans="1:16" s="28" customFormat="1" x14ac:dyDescent="0.25">
      <c r="A1058" s="56"/>
      <c r="B1058" s="62"/>
      <c r="C1058" s="62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150"/>
    </row>
    <row r="1059" spans="1:16" s="28" customFormat="1" x14ac:dyDescent="0.25">
      <c r="A1059" s="56"/>
      <c r="B1059" s="62"/>
      <c r="C1059" s="62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150"/>
    </row>
    <row r="1060" spans="1:16" s="28" customFormat="1" x14ac:dyDescent="0.25">
      <c r="A1060" s="56"/>
      <c r="B1060" s="62"/>
      <c r="C1060" s="62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150"/>
    </row>
    <row r="1061" spans="1:16" s="28" customFormat="1" x14ac:dyDescent="0.25">
      <c r="A1061" s="56"/>
      <c r="B1061" s="62"/>
      <c r="C1061" s="62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150"/>
    </row>
    <row r="1062" spans="1:16" s="28" customFormat="1" x14ac:dyDescent="0.25">
      <c r="A1062" s="56"/>
      <c r="B1062" s="62"/>
      <c r="C1062" s="62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150"/>
    </row>
    <row r="1063" spans="1:16" s="28" customFormat="1" x14ac:dyDescent="0.25">
      <c r="A1063" s="56"/>
      <c r="B1063" s="62"/>
      <c r="C1063" s="62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150"/>
    </row>
    <row r="1064" spans="1:16" s="28" customFormat="1" x14ac:dyDescent="0.25">
      <c r="A1064" s="56"/>
      <c r="B1064" s="62"/>
      <c r="C1064" s="62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150"/>
    </row>
    <row r="1065" spans="1:16" s="28" customFormat="1" x14ac:dyDescent="0.25">
      <c r="A1065" s="56"/>
      <c r="B1065" s="62"/>
      <c r="C1065" s="62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150"/>
    </row>
    <row r="1066" spans="1:16" s="28" customFormat="1" x14ac:dyDescent="0.25">
      <c r="A1066" s="56"/>
      <c r="B1066" s="62"/>
      <c r="C1066" s="62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150"/>
    </row>
    <row r="1067" spans="1:16" s="28" customFormat="1" x14ac:dyDescent="0.25">
      <c r="A1067" s="56"/>
      <c r="B1067" s="62"/>
      <c r="C1067" s="62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150"/>
    </row>
    <row r="1068" spans="1:16" s="28" customFormat="1" x14ac:dyDescent="0.25">
      <c r="A1068" s="56"/>
      <c r="B1068" s="62"/>
      <c r="C1068" s="62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150"/>
    </row>
    <row r="1069" spans="1:16" s="28" customFormat="1" x14ac:dyDescent="0.25">
      <c r="A1069" s="56"/>
      <c r="B1069" s="62"/>
      <c r="C1069" s="62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150"/>
    </row>
    <row r="1070" spans="1:16" s="28" customFormat="1" x14ac:dyDescent="0.25">
      <c r="A1070" s="56"/>
      <c r="B1070" s="62"/>
      <c r="C1070" s="62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150"/>
    </row>
    <row r="1071" spans="1:16" s="28" customFormat="1" x14ac:dyDescent="0.25">
      <c r="A1071" s="56"/>
      <c r="B1071" s="62"/>
      <c r="C1071" s="62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150"/>
    </row>
    <row r="1072" spans="1:16" s="28" customFormat="1" x14ac:dyDescent="0.25">
      <c r="A1072" s="56"/>
      <c r="B1072" s="62"/>
      <c r="C1072" s="62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150"/>
    </row>
    <row r="1073" spans="1:16" s="28" customFormat="1" x14ac:dyDescent="0.25">
      <c r="A1073" s="56"/>
      <c r="B1073" s="62"/>
      <c r="C1073" s="62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150"/>
    </row>
    <row r="1074" spans="1:16" s="28" customFormat="1" x14ac:dyDescent="0.25">
      <c r="A1074" s="56"/>
      <c r="B1074" s="62"/>
      <c r="C1074" s="62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150"/>
    </row>
    <row r="1075" spans="1:16" s="28" customFormat="1" x14ac:dyDescent="0.25">
      <c r="A1075" s="56"/>
      <c r="B1075" s="62"/>
      <c r="C1075" s="62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150"/>
    </row>
    <row r="1076" spans="1:16" s="28" customFormat="1" x14ac:dyDescent="0.25">
      <c r="A1076" s="56"/>
      <c r="B1076" s="62"/>
      <c r="C1076" s="62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150"/>
    </row>
    <row r="1077" spans="1:16" s="28" customFormat="1" x14ac:dyDescent="0.25">
      <c r="A1077" s="56"/>
      <c r="B1077" s="62"/>
      <c r="C1077" s="62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150"/>
    </row>
    <row r="1078" spans="1:16" s="28" customFormat="1" x14ac:dyDescent="0.25">
      <c r="A1078" s="56"/>
      <c r="B1078" s="62"/>
      <c r="C1078" s="62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150"/>
    </row>
    <row r="1079" spans="1:16" s="28" customFormat="1" x14ac:dyDescent="0.25">
      <c r="A1079" s="56"/>
      <c r="B1079" s="62"/>
      <c r="C1079" s="62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150"/>
    </row>
    <row r="1080" spans="1:16" s="28" customFormat="1" x14ac:dyDescent="0.25">
      <c r="A1080" s="56"/>
      <c r="B1080" s="62"/>
      <c r="C1080" s="62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150"/>
    </row>
    <row r="1081" spans="1:16" s="28" customFormat="1" x14ac:dyDescent="0.25">
      <c r="A1081" s="56"/>
      <c r="B1081" s="62"/>
      <c r="C1081" s="62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150"/>
    </row>
    <row r="1082" spans="1:16" s="28" customFormat="1" x14ac:dyDescent="0.25">
      <c r="A1082" s="56"/>
      <c r="B1082" s="62"/>
      <c r="C1082" s="62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150"/>
    </row>
    <row r="1083" spans="1:16" s="28" customFormat="1" x14ac:dyDescent="0.25">
      <c r="A1083" s="56"/>
      <c r="B1083" s="62"/>
      <c r="C1083" s="62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150"/>
    </row>
    <row r="1084" spans="1:16" s="28" customFormat="1" x14ac:dyDescent="0.25">
      <c r="A1084" s="56"/>
      <c r="B1084" s="62"/>
      <c r="C1084" s="62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150"/>
    </row>
    <row r="1085" spans="1:16" s="28" customFormat="1" x14ac:dyDescent="0.25">
      <c r="A1085" s="56"/>
      <c r="B1085" s="62"/>
      <c r="C1085" s="62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150"/>
    </row>
    <row r="1086" spans="1:16" s="28" customFormat="1" x14ac:dyDescent="0.25">
      <c r="A1086" s="56"/>
      <c r="B1086" s="62"/>
      <c r="C1086" s="62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150"/>
    </row>
    <row r="1087" spans="1:16" s="28" customFormat="1" x14ac:dyDescent="0.25">
      <c r="A1087" s="56"/>
      <c r="B1087" s="62"/>
      <c r="C1087" s="62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150"/>
    </row>
    <row r="1088" spans="1:16" s="28" customFormat="1" x14ac:dyDescent="0.25">
      <c r="A1088" s="56"/>
      <c r="B1088" s="62"/>
      <c r="C1088" s="62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150"/>
    </row>
    <row r="1089" spans="1:16" s="28" customFormat="1" x14ac:dyDescent="0.25">
      <c r="A1089" s="56"/>
      <c r="B1089" s="62"/>
      <c r="C1089" s="62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150"/>
    </row>
    <row r="1090" spans="1:16" s="28" customFormat="1" x14ac:dyDescent="0.25">
      <c r="A1090" s="56"/>
      <c r="B1090" s="62"/>
      <c r="C1090" s="62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150"/>
    </row>
    <row r="1091" spans="1:16" s="28" customFormat="1" x14ac:dyDescent="0.25">
      <c r="A1091" s="56"/>
      <c r="B1091" s="62"/>
      <c r="C1091" s="62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150"/>
    </row>
    <row r="1092" spans="1:16" s="28" customFormat="1" x14ac:dyDescent="0.25">
      <c r="A1092" s="56"/>
      <c r="B1092" s="62"/>
      <c r="C1092" s="62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150"/>
    </row>
    <row r="1093" spans="1:16" s="28" customFormat="1" x14ac:dyDescent="0.25">
      <c r="A1093" s="56"/>
      <c r="B1093" s="62"/>
      <c r="C1093" s="62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150"/>
    </row>
    <row r="1094" spans="1:16" s="28" customFormat="1" x14ac:dyDescent="0.25">
      <c r="A1094" s="56"/>
      <c r="B1094" s="62"/>
      <c r="C1094" s="62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150"/>
    </row>
    <row r="1095" spans="1:16" s="28" customFormat="1" x14ac:dyDescent="0.25">
      <c r="A1095" s="56"/>
      <c r="B1095" s="62"/>
      <c r="C1095" s="62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150"/>
    </row>
    <row r="1096" spans="1:16" s="28" customFormat="1" x14ac:dyDescent="0.25">
      <c r="A1096" s="56"/>
      <c r="B1096" s="62"/>
      <c r="C1096" s="62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150"/>
    </row>
    <row r="1097" spans="1:16" s="28" customFormat="1" x14ac:dyDescent="0.25">
      <c r="A1097" s="56"/>
      <c r="B1097" s="62"/>
      <c r="C1097" s="62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150"/>
    </row>
    <row r="1098" spans="1:16" s="28" customFormat="1" x14ac:dyDescent="0.25">
      <c r="A1098" s="56"/>
      <c r="B1098" s="62"/>
      <c r="C1098" s="62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150"/>
    </row>
    <row r="1099" spans="1:16" s="28" customFormat="1" x14ac:dyDescent="0.25">
      <c r="A1099" s="56"/>
      <c r="B1099" s="62"/>
      <c r="C1099" s="62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150"/>
    </row>
    <row r="1100" spans="1:16" s="28" customFormat="1" x14ac:dyDescent="0.25">
      <c r="A1100" s="56"/>
      <c r="B1100" s="62"/>
      <c r="C1100" s="62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150"/>
    </row>
    <row r="1101" spans="1:16" s="28" customFormat="1" x14ac:dyDescent="0.25">
      <c r="A1101" s="56"/>
      <c r="B1101" s="62"/>
      <c r="C1101" s="62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150"/>
    </row>
    <row r="1102" spans="1:16" s="28" customFormat="1" x14ac:dyDescent="0.25">
      <c r="A1102" s="56"/>
      <c r="B1102" s="62"/>
      <c r="C1102" s="62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150"/>
    </row>
    <row r="1103" spans="1:16" s="28" customFormat="1" x14ac:dyDescent="0.25">
      <c r="A1103" s="56"/>
      <c r="B1103" s="62"/>
      <c r="C1103" s="62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150"/>
    </row>
    <row r="1104" spans="1:16" s="28" customFormat="1" x14ac:dyDescent="0.25">
      <c r="A1104" s="56"/>
      <c r="B1104" s="62"/>
      <c r="C1104" s="62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150"/>
    </row>
    <row r="1105" spans="1:16" s="28" customFormat="1" x14ac:dyDescent="0.25">
      <c r="A1105" s="56"/>
      <c r="B1105" s="62"/>
      <c r="C1105" s="62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150"/>
    </row>
    <row r="1106" spans="1:16" s="28" customFormat="1" x14ac:dyDescent="0.25">
      <c r="A1106" s="56"/>
      <c r="B1106" s="62"/>
      <c r="C1106" s="62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150"/>
    </row>
    <row r="1107" spans="1:16" s="28" customFormat="1" x14ac:dyDescent="0.25">
      <c r="A1107" s="56"/>
      <c r="B1107" s="62"/>
      <c r="C1107" s="62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150"/>
    </row>
    <row r="1108" spans="1:16" s="28" customFormat="1" x14ac:dyDescent="0.25">
      <c r="A1108" s="56"/>
      <c r="B1108" s="62"/>
      <c r="C1108" s="62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150"/>
    </row>
    <row r="1109" spans="1:16" s="28" customFormat="1" x14ac:dyDescent="0.25">
      <c r="A1109" s="56"/>
      <c r="B1109" s="62"/>
      <c r="C1109" s="62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150"/>
    </row>
    <row r="1110" spans="1:16" s="28" customFormat="1" x14ac:dyDescent="0.25">
      <c r="A1110" s="56"/>
      <c r="B1110" s="62"/>
      <c r="C1110" s="62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150"/>
    </row>
    <row r="1111" spans="1:16" s="28" customFormat="1" x14ac:dyDescent="0.25">
      <c r="A1111" s="56"/>
      <c r="B1111" s="62"/>
      <c r="C1111" s="62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150"/>
    </row>
    <row r="1112" spans="1:16" s="28" customFormat="1" x14ac:dyDescent="0.25">
      <c r="A1112" s="56"/>
      <c r="B1112" s="62"/>
      <c r="C1112" s="62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150"/>
    </row>
    <row r="1113" spans="1:16" s="28" customFormat="1" x14ac:dyDescent="0.25">
      <c r="A1113" s="56"/>
      <c r="B1113" s="62"/>
      <c r="C1113" s="62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150"/>
    </row>
    <row r="1114" spans="1:16" s="28" customFormat="1" x14ac:dyDescent="0.25">
      <c r="A1114" s="56"/>
      <c r="B1114" s="62"/>
      <c r="C1114" s="62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150"/>
    </row>
    <row r="1115" spans="1:16" s="28" customFormat="1" x14ac:dyDescent="0.25">
      <c r="A1115" s="56"/>
      <c r="B1115" s="62"/>
      <c r="C1115" s="62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150"/>
    </row>
    <row r="1116" spans="1:16" s="28" customFormat="1" x14ac:dyDescent="0.25">
      <c r="A1116" s="56"/>
      <c r="B1116" s="62"/>
      <c r="C1116" s="62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150"/>
    </row>
    <row r="1117" spans="1:16" s="28" customFormat="1" x14ac:dyDescent="0.25">
      <c r="A1117" s="56"/>
      <c r="B1117" s="62"/>
      <c r="C1117" s="62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150"/>
    </row>
    <row r="1118" spans="1:16" s="28" customFormat="1" x14ac:dyDescent="0.25">
      <c r="A1118" s="56"/>
      <c r="B1118" s="62"/>
      <c r="C1118" s="62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150"/>
    </row>
    <row r="1119" spans="1:16" s="28" customFormat="1" x14ac:dyDescent="0.25">
      <c r="A1119" s="56"/>
      <c r="B1119" s="62"/>
      <c r="C1119" s="62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150"/>
    </row>
    <row r="1120" spans="1:16" s="28" customFormat="1" x14ac:dyDescent="0.25">
      <c r="A1120" s="56"/>
      <c r="B1120" s="62"/>
      <c r="C1120" s="62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150"/>
    </row>
    <row r="1121" spans="1:16" s="28" customFormat="1" x14ac:dyDescent="0.25">
      <c r="A1121" s="56"/>
      <c r="B1121" s="62"/>
      <c r="C1121" s="62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150"/>
    </row>
    <row r="1122" spans="1:16" s="28" customFormat="1" x14ac:dyDescent="0.25">
      <c r="A1122" s="56"/>
      <c r="B1122" s="62"/>
      <c r="C1122" s="62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150"/>
    </row>
    <row r="1123" spans="1:16" s="28" customFormat="1" x14ac:dyDescent="0.25">
      <c r="A1123" s="56"/>
      <c r="B1123" s="62"/>
      <c r="C1123" s="62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150"/>
    </row>
    <row r="1124" spans="1:16" s="28" customFormat="1" x14ac:dyDescent="0.25">
      <c r="A1124" s="56"/>
      <c r="B1124" s="62"/>
      <c r="C1124" s="62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150"/>
    </row>
    <row r="1125" spans="1:16" s="28" customFormat="1" x14ac:dyDescent="0.25">
      <c r="A1125" s="56"/>
      <c r="B1125" s="62"/>
      <c r="C1125" s="62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150"/>
    </row>
    <row r="1126" spans="1:16" s="28" customFormat="1" x14ac:dyDescent="0.25">
      <c r="A1126" s="56"/>
      <c r="B1126" s="62"/>
      <c r="C1126" s="62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150"/>
    </row>
    <row r="1127" spans="1:16" s="28" customFormat="1" x14ac:dyDescent="0.25">
      <c r="A1127" s="56"/>
      <c r="B1127" s="62"/>
      <c r="C1127" s="62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150"/>
    </row>
    <row r="1128" spans="1:16" s="28" customFormat="1" x14ac:dyDescent="0.25">
      <c r="A1128" s="56"/>
      <c r="B1128" s="62"/>
      <c r="C1128" s="62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150"/>
    </row>
    <row r="1129" spans="1:16" s="28" customFormat="1" x14ac:dyDescent="0.25">
      <c r="A1129" s="56"/>
      <c r="B1129" s="62"/>
      <c r="C1129" s="62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150"/>
    </row>
    <row r="1130" spans="1:16" s="28" customFormat="1" x14ac:dyDescent="0.25">
      <c r="A1130" s="56"/>
      <c r="B1130" s="62"/>
      <c r="C1130" s="62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150"/>
    </row>
    <row r="1131" spans="1:16" s="28" customFormat="1" x14ac:dyDescent="0.25">
      <c r="A1131" s="56"/>
      <c r="B1131" s="62"/>
      <c r="C1131" s="62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150"/>
    </row>
    <row r="1132" spans="1:16" s="28" customFormat="1" x14ac:dyDescent="0.25">
      <c r="A1132" s="56"/>
      <c r="B1132" s="62"/>
      <c r="C1132" s="62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150"/>
    </row>
    <row r="1133" spans="1:16" s="28" customFormat="1" x14ac:dyDescent="0.25">
      <c r="A1133" s="56"/>
      <c r="B1133" s="62"/>
      <c r="C1133" s="62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150"/>
    </row>
    <row r="1134" spans="1:16" s="28" customFormat="1" x14ac:dyDescent="0.25">
      <c r="A1134" s="56"/>
      <c r="B1134" s="62"/>
      <c r="C1134" s="62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150"/>
    </row>
    <row r="1135" spans="1:16" s="28" customFormat="1" x14ac:dyDescent="0.25">
      <c r="A1135" s="56"/>
      <c r="B1135" s="62"/>
      <c r="C1135" s="62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150"/>
    </row>
    <row r="1136" spans="1:16" s="28" customFormat="1" x14ac:dyDescent="0.25">
      <c r="A1136" s="56"/>
      <c r="B1136" s="62"/>
      <c r="C1136" s="62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150"/>
    </row>
    <row r="1137" spans="1:16" s="28" customFormat="1" x14ac:dyDescent="0.25">
      <c r="A1137" s="56"/>
      <c r="B1137" s="62"/>
      <c r="C1137" s="62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150"/>
    </row>
    <row r="1138" spans="1:16" s="28" customFormat="1" x14ac:dyDescent="0.25">
      <c r="A1138" s="56"/>
      <c r="B1138" s="62"/>
      <c r="C1138" s="62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150"/>
    </row>
    <row r="1139" spans="1:16" s="28" customFormat="1" x14ac:dyDescent="0.25">
      <c r="A1139" s="56"/>
      <c r="B1139" s="62"/>
      <c r="C1139" s="62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150"/>
    </row>
    <row r="1140" spans="1:16" s="28" customFormat="1" x14ac:dyDescent="0.25">
      <c r="A1140" s="56"/>
      <c r="B1140" s="62"/>
      <c r="C1140" s="62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150"/>
    </row>
    <row r="1141" spans="1:16" s="28" customFormat="1" x14ac:dyDescent="0.25">
      <c r="A1141" s="56"/>
      <c r="B1141" s="62"/>
      <c r="C1141" s="62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150"/>
    </row>
    <row r="1142" spans="1:16" s="28" customFormat="1" x14ac:dyDescent="0.25">
      <c r="A1142" s="56"/>
      <c r="B1142" s="62"/>
      <c r="C1142" s="62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150"/>
    </row>
    <row r="1143" spans="1:16" s="28" customFormat="1" x14ac:dyDescent="0.25">
      <c r="A1143" s="56"/>
      <c r="B1143" s="62"/>
      <c r="C1143" s="62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150"/>
    </row>
    <row r="1144" spans="1:16" s="28" customFormat="1" x14ac:dyDescent="0.25">
      <c r="A1144" s="56"/>
      <c r="B1144" s="62"/>
      <c r="C1144" s="62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150"/>
    </row>
    <row r="1145" spans="1:16" s="28" customFormat="1" x14ac:dyDescent="0.25">
      <c r="A1145" s="56"/>
      <c r="B1145" s="62"/>
      <c r="C1145" s="62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150"/>
    </row>
    <row r="1146" spans="1:16" s="28" customFormat="1" x14ac:dyDescent="0.25">
      <c r="A1146" s="56"/>
      <c r="B1146" s="62"/>
      <c r="C1146" s="62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150"/>
    </row>
    <row r="1147" spans="1:16" s="28" customFormat="1" x14ac:dyDescent="0.25">
      <c r="A1147" s="56"/>
      <c r="B1147" s="62"/>
      <c r="C1147" s="62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150"/>
    </row>
    <row r="1148" spans="1:16" s="28" customFormat="1" x14ac:dyDescent="0.25">
      <c r="A1148" s="56"/>
      <c r="B1148" s="62"/>
      <c r="C1148" s="62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150"/>
    </row>
    <row r="1149" spans="1:16" s="28" customFormat="1" x14ac:dyDescent="0.25">
      <c r="A1149" s="56"/>
      <c r="B1149" s="62"/>
      <c r="C1149" s="62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150"/>
    </row>
    <row r="1150" spans="1:16" s="28" customFormat="1" x14ac:dyDescent="0.25">
      <c r="A1150" s="56"/>
      <c r="B1150" s="62"/>
      <c r="C1150" s="62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150"/>
    </row>
    <row r="1151" spans="1:16" s="28" customFormat="1" x14ac:dyDescent="0.25">
      <c r="A1151" s="56"/>
      <c r="B1151" s="62"/>
      <c r="C1151" s="62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150"/>
    </row>
    <row r="1152" spans="1:16" s="28" customFormat="1" x14ac:dyDescent="0.25">
      <c r="A1152" s="56"/>
      <c r="B1152" s="62"/>
      <c r="C1152" s="62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150"/>
    </row>
    <row r="1153" spans="1:16" s="28" customFormat="1" x14ac:dyDescent="0.25">
      <c r="A1153" s="56"/>
      <c r="B1153" s="62"/>
      <c r="C1153" s="62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150"/>
    </row>
    <row r="1154" spans="1:16" s="28" customFormat="1" x14ac:dyDescent="0.25">
      <c r="A1154" s="56"/>
      <c r="B1154" s="62"/>
      <c r="C1154" s="62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150"/>
    </row>
    <row r="1155" spans="1:16" s="28" customFormat="1" x14ac:dyDescent="0.25">
      <c r="A1155" s="56"/>
      <c r="B1155" s="62"/>
      <c r="C1155" s="62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150"/>
    </row>
    <row r="1156" spans="1:16" s="28" customFormat="1" x14ac:dyDescent="0.25">
      <c r="A1156" s="56"/>
      <c r="B1156" s="62"/>
      <c r="C1156" s="62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150"/>
    </row>
    <row r="1157" spans="1:16" s="28" customFormat="1" x14ac:dyDescent="0.25">
      <c r="A1157" s="56"/>
      <c r="B1157" s="62"/>
      <c r="C1157" s="62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150"/>
    </row>
    <row r="1158" spans="1:16" s="28" customFormat="1" x14ac:dyDescent="0.25">
      <c r="A1158" s="56"/>
      <c r="B1158" s="62"/>
      <c r="C1158" s="62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150"/>
    </row>
    <row r="1159" spans="1:16" s="28" customFormat="1" x14ac:dyDescent="0.25">
      <c r="A1159" s="56"/>
      <c r="B1159" s="62"/>
      <c r="C1159" s="62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150"/>
    </row>
    <row r="1160" spans="1:16" s="28" customFormat="1" x14ac:dyDescent="0.25">
      <c r="A1160" s="56"/>
      <c r="B1160" s="62"/>
      <c r="C1160" s="62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150"/>
    </row>
    <row r="1161" spans="1:16" s="28" customFormat="1" x14ac:dyDescent="0.25">
      <c r="A1161" s="56"/>
      <c r="B1161" s="62"/>
      <c r="C1161" s="62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150"/>
    </row>
    <row r="1162" spans="1:16" s="28" customFormat="1" x14ac:dyDescent="0.25">
      <c r="A1162" s="56"/>
      <c r="B1162" s="62"/>
      <c r="C1162" s="62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150"/>
    </row>
    <row r="1163" spans="1:16" s="28" customFormat="1" x14ac:dyDescent="0.25">
      <c r="A1163" s="56"/>
      <c r="B1163" s="62"/>
      <c r="C1163" s="62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150"/>
    </row>
    <row r="1164" spans="1:16" s="28" customFormat="1" x14ac:dyDescent="0.25">
      <c r="A1164" s="56"/>
      <c r="B1164" s="62"/>
      <c r="C1164" s="62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150"/>
    </row>
    <row r="1165" spans="1:16" s="28" customFormat="1" x14ac:dyDescent="0.25">
      <c r="A1165" s="56"/>
      <c r="B1165" s="62"/>
      <c r="C1165" s="62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150"/>
    </row>
    <row r="1166" spans="1:16" s="28" customFormat="1" x14ac:dyDescent="0.25">
      <c r="A1166" s="56"/>
      <c r="B1166" s="62"/>
      <c r="C1166" s="62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150"/>
    </row>
    <row r="1167" spans="1:16" s="28" customFormat="1" x14ac:dyDescent="0.25">
      <c r="A1167" s="56"/>
      <c r="B1167" s="62"/>
      <c r="C1167" s="62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150"/>
    </row>
    <row r="1168" spans="1:16" s="28" customFormat="1" x14ac:dyDescent="0.25">
      <c r="A1168" s="56"/>
      <c r="B1168" s="62"/>
      <c r="C1168" s="62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150"/>
    </row>
    <row r="1169" spans="1:16" s="28" customFormat="1" x14ac:dyDescent="0.25">
      <c r="A1169" s="56"/>
      <c r="B1169" s="62"/>
      <c r="C1169" s="62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150"/>
    </row>
    <row r="1170" spans="1:16" s="28" customFormat="1" x14ac:dyDescent="0.25">
      <c r="A1170" s="56"/>
      <c r="B1170" s="62"/>
      <c r="C1170" s="62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150"/>
    </row>
    <row r="1171" spans="1:16" s="28" customFormat="1" x14ac:dyDescent="0.25">
      <c r="A1171" s="56"/>
      <c r="B1171" s="62"/>
      <c r="C1171" s="62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150"/>
    </row>
    <row r="1172" spans="1:16" s="28" customFormat="1" x14ac:dyDescent="0.25">
      <c r="A1172" s="56"/>
      <c r="B1172" s="62"/>
      <c r="C1172" s="62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150"/>
    </row>
    <row r="1173" spans="1:16" s="28" customFormat="1" x14ac:dyDescent="0.25">
      <c r="A1173" s="56"/>
      <c r="B1173" s="62"/>
      <c r="C1173" s="62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150"/>
    </row>
    <row r="1174" spans="1:16" s="28" customFormat="1" x14ac:dyDescent="0.25">
      <c r="A1174" s="56"/>
      <c r="B1174" s="62"/>
      <c r="C1174" s="62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150"/>
    </row>
    <row r="1175" spans="1:16" s="28" customFormat="1" x14ac:dyDescent="0.25">
      <c r="A1175" s="56"/>
      <c r="B1175" s="62"/>
      <c r="C1175" s="62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150"/>
    </row>
    <row r="1176" spans="1:16" s="28" customFormat="1" x14ac:dyDescent="0.25">
      <c r="A1176" s="56"/>
      <c r="B1176" s="62"/>
      <c r="C1176" s="62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150"/>
    </row>
    <row r="1177" spans="1:16" s="28" customFormat="1" x14ac:dyDescent="0.25">
      <c r="A1177" s="56"/>
      <c r="B1177" s="62"/>
      <c r="C1177" s="62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150"/>
    </row>
    <row r="1178" spans="1:16" s="28" customFormat="1" x14ac:dyDescent="0.25">
      <c r="A1178" s="56"/>
      <c r="B1178" s="62"/>
      <c r="C1178" s="62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150"/>
    </row>
    <row r="1179" spans="1:16" s="28" customFormat="1" x14ac:dyDescent="0.25">
      <c r="A1179" s="56"/>
      <c r="B1179" s="62"/>
      <c r="C1179" s="62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150"/>
    </row>
    <row r="1180" spans="1:16" s="28" customFormat="1" x14ac:dyDescent="0.25">
      <c r="A1180" s="56"/>
      <c r="B1180" s="62"/>
      <c r="C1180" s="62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150"/>
    </row>
    <row r="1181" spans="1:16" s="28" customFormat="1" x14ac:dyDescent="0.25">
      <c r="A1181" s="56"/>
      <c r="B1181" s="62"/>
      <c r="C1181" s="62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150"/>
    </row>
    <row r="1182" spans="1:16" s="28" customFormat="1" x14ac:dyDescent="0.25">
      <c r="A1182" s="56"/>
      <c r="B1182" s="62"/>
      <c r="C1182" s="62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150"/>
    </row>
    <row r="1183" spans="1:16" s="28" customFormat="1" x14ac:dyDescent="0.25">
      <c r="A1183" s="56"/>
      <c r="B1183" s="62"/>
      <c r="C1183" s="62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150"/>
    </row>
    <row r="1184" spans="1:16" s="28" customFormat="1" x14ac:dyDescent="0.25">
      <c r="A1184" s="56"/>
      <c r="B1184" s="62"/>
      <c r="C1184" s="62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150"/>
    </row>
    <row r="1185" spans="1:16" s="28" customFormat="1" x14ac:dyDescent="0.25">
      <c r="A1185" s="56"/>
      <c r="B1185" s="62"/>
      <c r="C1185" s="62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150"/>
    </row>
    <row r="1186" spans="1:16" s="28" customFormat="1" x14ac:dyDescent="0.25">
      <c r="A1186" s="56"/>
      <c r="B1186" s="62"/>
      <c r="C1186" s="62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150"/>
    </row>
    <row r="1187" spans="1:16" s="28" customFormat="1" x14ac:dyDescent="0.25">
      <c r="A1187" s="56"/>
      <c r="B1187" s="62"/>
      <c r="C1187" s="62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150"/>
    </row>
    <row r="1188" spans="1:16" s="28" customFormat="1" x14ac:dyDescent="0.25">
      <c r="A1188" s="56"/>
      <c r="B1188" s="62"/>
      <c r="C1188" s="62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150"/>
    </row>
    <row r="1189" spans="1:16" s="28" customFormat="1" x14ac:dyDescent="0.25">
      <c r="A1189" s="56"/>
      <c r="B1189" s="62"/>
      <c r="C1189" s="62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150"/>
    </row>
    <row r="1190" spans="1:16" s="28" customFormat="1" x14ac:dyDescent="0.25">
      <c r="A1190" s="56"/>
      <c r="B1190" s="62"/>
      <c r="C1190" s="62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150"/>
    </row>
    <row r="1191" spans="1:16" s="28" customFormat="1" x14ac:dyDescent="0.25">
      <c r="A1191" s="56"/>
      <c r="B1191" s="62"/>
      <c r="C1191" s="62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150"/>
    </row>
    <row r="1192" spans="1:16" s="28" customFormat="1" x14ac:dyDescent="0.25">
      <c r="A1192" s="56"/>
      <c r="B1192" s="62"/>
      <c r="C1192" s="62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150"/>
    </row>
    <row r="1193" spans="1:16" s="28" customFormat="1" x14ac:dyDescent="0.25">
      <c r="A1193" s="56"/>
      <c r="B1193" s="62"/>
      <c r="C1193" s="62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150"/>
    </row>
    <row r="1194" spans="1:16" s="28" customFormat="1" x14ac:dyDescent="0.25">
      <c r="A1194" s="56"/>
      <c r="B1194" s="62"/>
      <c r="C1194" s="62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150"/>
    </row>
    <row r="1195" spans="1:16" s="28" customFormat="1" x14ac:dyDescent="0.25">
      <c r="A1195" s="56"/>
      <c r="B1195" s="62"/>
      <c r="C1195" s="62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150"/>
    </row>
    <row r="1196" spans="1:16" s="28" customFormat="1" x14ac:dyDescent="0.25">
      <c r="A1196" s="56"/>
      <c r="B1196" s="62"/>
      <c r="C1196" s="62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150"/>
    </row>
    <row r="1197" spans="1:16" s="28" customFormat="1" x14ac:dyDescent="0.25">
      <c r="A1197" s="56"/>
      <c r="B1197" s="62"/>
      <c r="C1197" s="62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150"/>
    </row>
    <row r="1198" spans="1:16" s="28" customFormat="1" x14ac:dyDescent="0.25">
      <c r="A1198" s="56"/>
      <c r="B1198" s="62"/>
      <c r="C1198" s="62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150"/>
    </row>
    <row r="1199" spans="1:16" s="28" customFormat="1" x14ac:dyDescent="0.25">
      <c r="A1199" s="56"/>
      <c r="B1199" s="62"/>
      <c r="C1199" s="62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150"/>
    </row>
    <row r="1200" spans="1:16" s="28" customFormat="1" x14ac:dyDescent="0.25">
      <c r="A1200" s="56"/>
      <c r="B1200" s="62"/>
      <c r="C1200" s="62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150"/>
    </row>
    <row r="1201" spans="1:16" s="28" customFormat="1" x14ac:dyDescent="0.25">
      <c r="A1201" s="56"/>
      <c r="B1201" s="62"/>
      <c r="C1201" s="62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150"/>
    </row>
    <row r="1202" spans="1:16" s="28" customFormat="1" x14ac:dyDescent="0.25">
      <c r="A1202" s="56"/>
      <c r="B1202" s="62"/>
      <c r="C1202" s="62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150"/>
    </row>
    <row r="1203" spans="1:16" s="28" customFormat="1" x14ac:dyDescent="0.25">
      <c r="A1203" s="56"/>
      <c r="B1203" s="62"/>
      <c r="C1203" s="62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150"/>
    </row>
    <row r="1204" spans="1:16" s="28" customFormat="1" x14ac:dyDescent="0.25">
      <c r="A1204" s="56"/>
      <c r="B1204" s="62"/>
      <c r="C1204" s="62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150"/>
    </row>
    <row r="1205" spans="1:16" s="28" customFormat="1" x14ac:dyDescent="0.25">
      <c r="A1205" s="56"/>
      <c r="B1205" s="62"/>
      <c r="C1205" s="62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150"/>
    </row>
    <row r="1206" spans="1:16" s="28" customFormat="1" x14ac:dyDescent="0.25">
      <c r="A1206" s="56"/>
      <c r="B1206" s="62"/>
      <c r="C1206" s="62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150"/>
    </row>
    <row r="1207" spans="1:16" s="28" customFormat="1" x14ac:dyDescent="0.25">
      <c r="A1207" s="56"/>
      <c r="B1207" s="62"/>
      <c r="C1207" s="62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150"/>
    </row>
    <row r="1208" spans="1:16" s="28" customFormat="1" x14ac:dyDescent="0.25">
      <c r="A1208" s="56"/>
      <c r="B1208" s="62"/>
      <c r="C1208" s="62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150"/>
    </row>
    <row r="1209" spans="1:16" s="28" customFormat="1" x14ac:dyDescent="0.25">
      <c r="A1209" s="56"/>
      <c r="B1209" s="62"/>
      <c r="C1209" s="62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150"/>
    </row>
    <row r="1210" spans="1:16" s="28" customFormat="1" x14ac:dyDescent="0.25">
      <c r="A1210" s="56"/>
      <c r="B1210" s="62"/>
      <c r="C1210" s="62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150"/>
    </row>
    <row r="1211" spans="1:16" s="28" customFormat="1" x14ac:dyDescent="0.25">
      <c r="A1211" s="56"/>
      <c r="B1211" s="62"/>
      <c r="C1211" s="62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150"/>
    </row>
    <row r="1212" spans="1:16" s="28" customFormat="1" x14ac:dyDescent="0.25">
      <c r="A1212" s="56"/>
      <c r="B1212" s="62"/>
      <c r="C1212" s="62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150"/>
    </row>
    <row r="1213" spans="1:16" s="28" customFormat="1" x14ac:dyDescent="0.25">
      <c r="A1213" s="56"/>
      <c r="B1213" s="62"/>
      <c r="C1213" s="62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150"/>
    </row>
    <row r="1214" spans="1:16" s="28" customFormat="1" x14ac:dyDescent="0.25">
      <c r="A1214" s="56"/>
      <c r="B1214" s="62"/>
      <c r="C1214" s="62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150"/>
    </row>
    <row r="1215" spans="1:16" s="28" customFormat="1" x14ac:dyDescent="0.25">
      <c r="A1215" s="56"/>
      <c r="B1215" s="62"/>
      <c r="C1215" s="62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150"/>
    </row>
    <row r="1216" spans="1:16" s="28" customFormat="1" x14ac:dyDescent="0.25">
      <c r="A1216" s="56"/>
      <c r="B1216" s="62"/>
      <c r="C1216" s="62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150"/>
    </row>
    <row r="1217" spans="1:16" s="28" customFormat="1" x14ac:dyDescent="0.25">
      <c r="A1217" s="56"/>
      <c r="B1217" s="62"/>
      <c r="C1217" s="62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150"/>
    </row>
    <row r="1218" spans="1:16" s="28" customFormat="1" x14ac:dyDescent="0.25">
      <c r="A1218" s="56"/>
      <c r="B1218" s="62"/>
      <c r="C1218" s="62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150"/>
    </row>
    <row r="1219" spans="1:16" s="28" customFormat="1" x14ac:dyDescent="0.25">
      <c r="A1219" s="56"/>
      <c r="B1219" s="62"/>
      <c r="C1219" s="62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150"/>
    </row>
    <row r="1220" spans="1:16" s="28" customFormat="1" x14ac:dyDescent="0.25">
      <c r="A1220" s="56"/>
      <c r="B1220" s="62"/>
      <c r="C1220" s="62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150"/>
    </row>
    <row r="1221" spans="1:16" s="28" customFormat="1" x14ac:dyDescent="0.25">
      <c r="A1221" s="56"/>
      <c r="B1221" s="62"/>
      <c r="C1221" s="62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150"/>
    </row>
    <row r="1222" spans="1:16" s="28" customFormat="1" x14ac:dyDescent="0.25">
      <c r="A1222" s="56"/>
      <c r="B1222" s="62"/>
      <c r="C1222" s="62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150"/>
    </row>
    <row r="1223" spans="1:16" s="28" customFormat="1" x14ac:dyDescent="0.25">
      <c r="A1223" s="56"/>
      <c r="B1223" s="62"/>
      <c r="C1223" s="62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150"/>
    </row>
    <row r="1224" spans="1:16" s="28" customFormat="1" x14ac:dyDescent="0.25">
      <c r="A1224" s="56"/>
      <c r="B1224" s="62"/>
      <c r="C1224" s="62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150"/>
    </row>
    <row r="1225" spans="1:16" s="28" customFormat="1" x14ac:dyDescent="0.25">
      <c r="A1225" s="56"/>
      <c r="B1225" s="62"/>
      <c r="C1225" s="62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150"/>
    </row>
    <row r="1226" spans="1:16" s="28" customFormat="1" x14ac:dyDescent="0.25">
      <c r="A1226" s="56"/>
      <c r="B1226" s="62"/>
      <c r="C1226" s="62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150"/>
    </row>
    <row r="1227" spans="1:16" s="28" customFormat="1" x14ac:dyDescent="0.25">
      <c r="A1227" s="56"/>
      <c r="B1227" s="62"/>
      <c r="C1227" s="62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150"/>
    </row>
    <row r="1228" spans="1:16" s="28" customFormat="1" x14ac:dyDescent="0.25">
      <c r="A1228" s="56"/>
      <c r="B1228" s="62"/>
      <c r="C1228" s="62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150"/>
    </row>
    <row r="1229" spans="1:16" s="28" customFormat="1" x14ac:dyDescent="0.25">
      <c r="A1229" s="56"/>
      <c r="B1229" s="62"/>
      <c r="C1229" s="62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150"/>
    </row>
    <row r="1230" spans="1:16" s="28" customFormat="1" x14ac:dyDescent="0.25">
      <c r="A1230" s="56"/>
      <c r="B1230" s="62"/>
      <c r="C1230" s="62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150"/>
    </row>
    <row r="1231" spans="1:16" s="28" customFormat="1" x14ac:dyDescent="0.25">
      <c r="A1231" s="56"/>
      <c r="B1231" s="62"/>
      <c r="C1231" s="62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150"/>
    </row>
    <row r="1232" spans="1:16" s="28" customFormat="1" x14ac:dyDescent="0.25">
      <c r="A1232" s="56"/>
      <c r="B1232" s="62"/>
      <c r="C1232" s="62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150"/>
    </row>
    <row r="1233" spans="1:16" s="28" customFormat="1" x14ac:dyDescent="0.25">
      <c r="A1233" s="56"/>
      <c r="B1233" s="62"/>
      <c r="C1233" s="62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150"/>
    </row>
    <row r="1234" spans="1:16" s="28" customFormat="1" x14ac:dyDescent="0.25">
      <c r="A1234" s="56"/>
      <c r="B1234" s="62"/>
      <c r="C1234" s="62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150"/>
    </row>
    <row r="1235" spans="1:16" s="28" customFormat="1" x14ac:dyDescent="0.25">
      <c r="A1235" s="56"/>
      <c r="B1235" s="62"/>
      <c r="C1235" s="62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150"/>
    </row>
    <row r="1236" spans="1:16" s="28" customFormat="1" x14ac:dyDescent="0.25">
      <c r="A1236" s="56"/>
      <c r="B1236" s="62"/>
      <c r="C1236" s="62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150"/>
    </row>
    <row r="1237" spans="1:16" s="28" customFormat="1" x14ac:dyDescent="0.25">
      <c r="A1237" s="56"/>
      <c r="B1237" s="62"/>
      <c r="C1237" s="62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150"/>
    </row>
    <row r="1238" spans="1:16" s="28" customFormat="1" x14ac:dyDescent="0.25">
      <c r="A1238" s="56"/>
      <c r="B1238" s="62"/>
      <c r="C1238" s="62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150"/>
    </row>
    <row r="1239" spans="1:16" s="28" customFormat="1" x14ac:dyDescent="0.25">
      <c r="A1239" s="56"/>
      <c r="B1239" s="62"/>
      <c r="C1239" s="62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150"/>
    </row>
    <row r="1240" spans="1:16" s="28" customFormat="1" x14ac:dyDescent="0.25">
      <c r="A1240" s="56"/>
      <c r="B1240" s="62"/>
      <c r="C1240" s="62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150"/>
    </row>
    <row r="1241" spans="1:16" s="28" customFormat="1" x14ac:dyDescent="0.25">
      <c r="A1241" s="56"/>
      <c r="B1241" s="62"/>
      <c r="C1241" s="62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150"/>
    </row>
    <row r="1242" spans="1:16" s="28" customFormat="1" x14ac:dyDescent="0.25">
      <c r="A1242" s="56"/>
      <c r="B1242" s="62"/>
      <c r="C1242" s="62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150"/>
    </row>
    <row r="1243" spans="1:16" s="28" customFormat="1" x14ac:dyDescent="0.25">
      <c r="A1243" s="56"/>
      <c r="B1243" s="62"/>
      <c r="C1243" s="62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150"/>
    </row>
    <row r="1244" spans="1:16" s="28" customFormat="1" x14ac:dyDescent="0.25">
      <c r="A1244" s="56"/>
      <c r="B1244" s="62"/>
      <c r="C1244" s="62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150"/>
    </row>
    <row r="1245" spans="1:16" s="28" customFormat="1" x14ac:dyDescent="0.25">
      <c r="A1245" s="56"/>
      <c r="B1245" s="62"/>
      <c r="C1245" s="62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150"/>
    </row>
    <row r="1246" spans="1:16" s="28" customFormat="1" x14ac:dyDescent="0.25">
      <c r="A1246" s="56"/>
      <c r="B1246" s="62"/>
      <c r="C1246" s="62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150"/>
    </row>
    <row r="1247" spans="1:16" s="28" customFormat="1" x14ac:dyDescent="0.25">
      <c r="A1247" s="56"/>
      <c r="B1247" s="62"/>
      <c r="C1247" s="62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150"/>
    </row>
    <row r="1248" spans="1:16" s="28" customFormat="1" x14ac:dyDescent="0.25">
      <c r="A1248" s="56"/>
      <c r="B1248" s="62"/>
      <c r="C1248" s="62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150"/>
    </row>
    <row r="1249" spans="1:16" s="28" customFormat="1" x14ac:dyDescent="0.25">
      <c r="A1249" s="56"/>
      <c r="B1249" s="62"/>
      <c r="C1249" s="62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150"/>
    </row>
    <row r="1250" spans="1:16" s="28" customFormat="1" x14ac:dyDescent="0.25">
      <c r="A1250" s="56"/>
      <c r="B1250" s="62"/>
      <c r="C1250" s="62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150"/>
    </row>
    <row r="1251" spans="1:16" s="28" customFormat="1" x14ac:dyDescent="0.25">
      <c r="A1251" s="56"/>
      <c r="B1251" s="62"/>
      <c r="C1251" s="62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150"/>
    </row>
    <row r="1252" spans="1:16" s="28" customFormat="1" x14ac:dyDescent="0.25">
      <c r="A1252" s="56"/>
      <c r="B1252" s="62"/>
      <c r="C1252" s="62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150"/>
    </row>
    <row r="1253" spans="1:16" s="28" customFormat="1" x14ac:dyDescent="0.25">
      <c r="A1253" s="56"/>
      <c r="B1253" s="62"/>
      <c r="C1253" s="62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150"/>
    </row>
    <row r="1254" spans="1:16" s="28" customFormat="1" x14ac:dyDescent="0.25">
      <c r="A1254" s="56"/>
      <c r="B1254" s="62"/>
      <c r="C1254" s="62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150"/>
    </row>
    <row r="1255" spans="1:16" s="28" customFormat="1" x14ac:dyDescent="0.25">
      <c r="A1255" s="56"/>
      <c r="B1255" s="62"/>
      <c r="C1255" s="62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150"/>
    </row>
    <row r="1256" spans="1:16" s="28" customFormat="1" x14ac:dyDescent="0.25">
      <c r="A1256" s="56"/>
      <c r="B1256" s="62"/>
      <c r="C1256" s="62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150"/>
    </row>
    <row r="1257" spans="1:16" s="28" customFormat="1" x14ac:dyDescent="0.25">
      <c r="A1257" s="56"/>
      <c r="B1257" s="62"/>
      <c r="C1257" s="62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150"/>
    </row>
    <row r="1258" spans="1:16" s="28" customFormat="1" x14ac:dyDescent="0.25">
      <c r="A1258" s="56"/>
      <c r="B1258" s="62"/>
      <c r="C1258" s="62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150"/>
    </row>
    <row r="1259" spans="1:16" s="28" customFormat="1" x14ac:dyDescent="0.25">
      <c r="A1259" s="56"/>
      <c r="B1259" s="62"/>
      <c r="C1259" s="62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150"/>
    </row>
    <row r="1260" spans="1:16" s="28" customFormat="1" x14ac:dyDescent="0.25">
      <c r="A1260" s="56"/>
      <c r="B1260" s="62"/>
      <c r="C1260" s="62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150"/>
    </row>
    <row r="1261" spans="1:16" s="28" customFormat="1" x14ac:dyDescent="0.25">
      <c r="A1261" s="56"/>
      <c r="B1261" s="62"/>
      <c r="C1261" s="62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150"/>
    </row>
    <row r="1262" spans="1:16" s="28" customFormat="1" x14ac:dyDescent="0.25">
      <c r="A1262" s="56"/>
      <c r="B1262" s="62"/>
      <c r="C1262" s="62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150"/>
    </row>
    <row r="1263" spans="1:16" s="28" customFormat="1" x14ac:dyDescent="0.25">
      <c r="A1263" s="56"/>
      <c r="B1263" s="62"/>
      <c r="C1263" s="62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150"/>
    </row>
    <row r="1264" spans="1:16" s="28" customFormat="1" x14ac:dyDescent="0.25">
      <c r="A1264" s="56"/>
      <c r="B1264" s="62"/>
      <c r="C1264" s="62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150"/>
    </row>
    <row r="1265" spans="1:16" s="28" customFormat="1" x14ac:dyDescent="0.25">
      <c r="A1265" s="56"/>
      <c r="B1265" s="62"/>
      <c r="C1265" s="62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150"/>
    </row>
    <row r="1266" spans="1:16" s="28" customFormat="1" x14ac:dyDescent="0.25">
      <c r="A1266" s="56"/>
      <c r="B1266" s="62"/>
      <c r="C1266" s="62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150"/>
    </row>
    <row r="1267" spans="1:16" s="28" customFormat="1" x14ac:dyDescent="0.25">
      <c r="A1267" s="56"/>
      <c r="B1267" s="62"/>
      <c r="C1267" s="62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150"/>
    </row>
    <row r="1268" spans="1:16" s="28" customFormat="1" x14ac:dyDescent="0.25">
      <c r="A1268" s="56"/>
      <c r="B1268" s="62"/>
      <c r="C1268" s="62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150"/>
    </row>
    <row r="1269" spans="1:16" s="28" customFormat="1" x14ac:dyDescent="0.25">
      <c r="A1269" s="56"/>
      <c r="B1269" s="62"/>
      <c r="C1269" s="62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150"/>
    </row>
    <row r="1270" spans="1:16" s="28" customFormat="1" x14ac:dyDescent="0.25">
      <c r="A1270" s="56"/>
      <c r="B1270" s="62"/>
      <c r="C1270" s="62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150"/>
    </row>
    <row r="1271" spans="1:16" s="28" customFormat="1" x14ac:dyDescent="0.25">
      <c r="A1271" s="56"/>
      <c r="B1271" s="62"/>
      <c r="C1271" s="62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150"/>
    </row>
    <row r="1272" spans="1:16" s="28" customFormat="1" x14ac:dyDescent="0.25">
      <c r="A1272" s="56"/>
      <c r="B1272" s="62"/>
      <c r="C1272" s="62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150"/>
    </row>
    <row r="1273" spans="1:16" s="28" customFormat="1" x14ac:dyDescent="0.25">
      <c r="A1273" s="56"/>
      <c r="B1273" s="62"/>
      <c r="C1273" s="62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150"/>
    </row>
    <row r="1274" spans="1:16" s="28" customFormat="1" x14ac:dyDescent="0.25">
      <c r="A1274" s="56"/>
      <c r="B1274" s="62"/>
      <c r="C1274" s="62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150"/>
    </row>
    <row r="1275" spans="1:16" s="28" customFormat="1" x14ac:dyDescent="0.25">
      <c r="A1275" s="56"/>
      <c r="B1275" s="62"/>
      <c r="C1275" s="62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150"/>
    </row>
    <row r="1276" spans="1:16" s="28" customFormat="1" x14ac:dyDescent="0.25">
      <c r="A1276" s="56"/>
      <c r="B1276" s="62"/>
      <c r="C1276" s="62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150"/>
    </row>
    <row r="1277" spans="1:16" s="28" customFormat="1" x14ac:dyDescent="0.25">
      <c r="A1277" s="56"/>
      <c r="B1277" s="62"/>
      <c r="C1277" s="62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150"/>
    </row>
    <row r="1278" spans="1:16" s="28" customFormat="1" x14ac:dyDescent="0.25">
      <c r="A1278" s="56"/>
      <c r="B1278" s="62"/>
      <c r="C1278" s="62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150"/>
    </row>
    <row r="1279" spans="1:16" s="28" customFormat="1" x14ac:dyDescent="0.25">
      <c r="A1279" s="56"/>
      <c r="B1279" s="62"/>
      <c r="C1279" s="62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150"/>
    </row>
    <row r="1280" spans="1:16" s="28" customFormat="1" x14ac:dyDescent="0.25">
      <c r="A1280" s="56"/>
      <c r="B1280" s="62"/>
      <c r="C1280" s="62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150"/>
    </row>
    <row r="1281" spans="1:16" s="28" customFormat="1" x14ac:dyDescent="0.25">
      <c r="A1281" s="56"/>
      <c r="B1281" s="62"/>
      <c r="C1281" s="62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150"/>
    </row>
    <row r="1282" spans="1:16" s="28" customFormat="1" x14ac:dyDescent="0.25">
      <c r="A1282" s="56"/>
      <c r="B1282" s="62"/>
      <c r="C1282" s="62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150"/>
    </row>
    <row r="1283" spans="1:16" s="28" customFormat="1" x14ac:dyDescent="0.25">
      <c r="A1283" s="56"/>
      <c r="B1283" s="62"/>
      <c r="C1283" s="62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150"/>
    </row>
    <row r="1284" spans="1:16" s="28" customFormat="1" x14ac:dyDescent="0.25">
      <c r="A1284" s="56"/>
      <c r="B1284" s="62"/>
      <c r="C1284" s="62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150"/>
    </row>
    <row r="1285" spans="1:16" s="28" customFormat="1" x14ac:dyDescent="0.25">
      <c r="A1285" s="56"/>
      <c r="B1285" s="62"/>
      <c r="C1285" s="62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150"/>
    </row>
    <row r="1286" spans="1:16" s="28" customFormat="1" x14ac:dyDescent="0.25">
      <c r="A1286" s="56"/>
      <c r="B1286" s="62"/>
      <c r="C1286" s="62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150"/>
    </row>
    <row r="1287" spans="1:16" s="28" customFormat="1" x14ac:dyDescent="0.25">
      <c r="A1287" s="56"/>
      <c r="B1287" s="62"/>
      <c r="C1287" s="62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150"/>
    </row>
    <row r="1288" spans="1:16" s="28" customFormat="1" x14ac:dyDescent="0.25">
      <c r="A1288" s="56"/>
      <c r="B1288" s="62"/>
      <c r="C1288" s="62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150"/>
    </row>
    <row r="1289" spans="1:16" s="28" customFormat="1" x14ac:dyDescent="0.25">
      <c r="A1289" s="56"/>
      <c r="B1289" s="62"/>
      <c r="C1289" s="62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150"/>
    </row>
    <row r="1290" spans="1:16" s="28" customFormat="1" x14ac:dyDescent="0.25">
      <c r="A1290" s="56"/>
      <c r="B1290" s="62"/>
      <c r="C1290" s="62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150"/>
    </row>
    <row r="1291" spans="1:16" s="28" customFormat="1" x14ac:dyDescent="0.25">
      <c r="A1291" s="56"/>
      <c r="B1291" s="62"/>
      <c r="C1291" s="62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150"/>
    </row>
    <row r="1292" spans="1:16" s="28" customFormat="1" x14ac:dyDescent="0.25">
      <c r="A1292" s="56"/>
      <c r="B1292" s="62"/>
      <c r="C1292" s="62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150"/>
    </row>
    <row r="1293" spans="1:16" s="28" customFormat="1" x14ac:dyDescent="0.25">
      <c r="A1293" s="56"/>
      <c r="B1293" s="62"/>
      <c r="C1293" s="62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150"/>
    </row>
    <row r="1294" spans="1:16" s="28" customFormat="1" x14ac:dyDescent="0.25">
      <c r="A1294" s="56"/>
      <c r="B1294" s="62"/>
      <c r="C1294" s="62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150"/>
    </row>
    <row r="1295" spans="1:16" s="28" customFormat="1" x14ac:dyDescent="0.25">
      <c r="A1295" s="56"/>
      <c r="B1295" s="62"/>
      <c r="C1295" s="62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150"/>
    </row>
    <row r="1296" spans="1:16" s="28" customFormat="1" x14ac:dyDescent="0.25">
      <c r="A1296" s="56"/>
      <c r="B1296" s="62"/>
      <c r="C1296" s="62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150"/>
    </row>
    <row r="1297" spans="1:16" s="28" customFormat="1" x14ac:dyDescent="0.25">
      <c r="A1297" s="56"/>
      <c r="B1297" s="62"/>
      <c r="C1297" s="62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150"/>
    </row>
    <row r="1298" spans="1:16" s="28" customFormat="1" x14ac:dyDescent="0.25">
      <c r="A1298" s="56"/>
      <c r="B1298" s="62"/>
      <c r="C1298" s="62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150"/>
    </row>
    <row r="1299" spans="1:16" s="28" customFormat="1" x14ac:dyDescent="0.25">
      <c r="A1299" s="56"/>
      <c r="B1299" s="62"/>
      <c r="C1299" s="62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150"/>
    </row>
    <row r="1300" spans="1:16" s="28" customFormat="1" x14ac:dyDescent="0.25">
      <c r="A1300" s="56"/>
      <c r="B1300" s="62"/>
      <c r="C1300" s="62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150"/>
    </row>
    <row r="1301" spans="1:16" s="28" customFormat="1" x14ac:dyDescent="0.25">
      <c r="A1301" s="56"/>
      <c r="B1301" s="62"/>
      <c r="C1301" s="62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150"/>
    </row>
    <row r="1302" spans="1:16" s="28" customFormat="1" x14ac:dyDescent="0.25">
      <c r="A1302" s="56"/>
      <c r="B1302" s="62"/>
      <c r="C1302" s="62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150"/>
    </row>
    <row r="1303" spans="1:16" s="28" customFormat="1" x14ac:dyDescent="0.25">
      <c r="A1303" s="56"/>
      <c r="B1303" s="62"/>
      <c r="C1303" s="62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150"/>
    </row>
    <row r="1304" spans="1:16" s="28" customFormat="1" x14ac:dyDescent="0.25">
      <c r="A1304" s="56"/>
      <c r="B1304" s="62"/>
      <c r="C1304" s="62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150"/>
    </row>
    <row r="1305" spans="1:16" s="28" customFormat="1" x14ac:dyDescent="0.25">
      <c r="A1305" s="56"/>
      <c r="B1305" s="62"/>
      <c r="C1305" s="62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150"/>
    </row>
    <row r="1306" spans="1:16" s="28" customFormat="1" x14ac:dyDescent="0.25">
      <c r="A1306" s="56"/>
      <c r="B1306" s="62"/>
      <c r="C1306" s="62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150"/>
    </row>
    <row r="1307" spans="1:16" s="28" customFormat="1" x14ac:dyDescent="0.25">
      <c r="A1307" s="56"/>
      <c r="B1307" s="62"/>
      <c r="C1307" s="62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150"/>
    </row>
    <row r="1308" spans="1:16" s="28" customFormat="1" x14ac:dyDescent="0.25">
      <c r="A1308" s="56"/>
      <c r="B1308" s="62"/>
      <c r="C1308" s="62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150"/>
    </row>
    <row r="1309" spans="1:16" s="28" customFormat="1" x14ac:dyDescent="0.25">
      <c r="A1309" s="56"/>
      <c r="B1309" s="62"/>
      <c r="C1309" s="62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150"/>
    </row>
    <row r="1310" spans="1:16" s="28" customFormat="1" x14ac:dyDescent="0.25">
      <c r="A1310" s="56"/>
      <c r="B1310" s="62"/>
      <c r="C1310" s="62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150"/>
    </row>
    <row r="1311" spans="1:16" s="28" customFormat="1" x14ac:dyDescent="0.25">
      <c r="A1311" s="56"/>
      <c r="B1311" s="62"/>
      <c r="C1311" s="62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150"/>
    </row>
    <row r="1312" spans="1:16" s="28" customFormat="1" x14ac:dyDescent="0.25">
      <c r="A1312" s="56"/>
      <c r="B1312" s="62"/>
      <c r="C1312" s="62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150"/>
    </row>
    <row r="1313" spans="1:16" s="28" customFormat="1" x14ac:dyDescent="0.25">
      <c r="A1313" s="56"/>
      <c r="B1313" s="62"/>
      <c r="C1313" s="62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150"/>
    </row>
    <row r="1314" spans="1:16" s="28" customFormat="1" x14ac:dyDescent="0.25">
      <c r="A1314" s="56"/>
      <c r="B1314" s="62"/>
      <c r="C1314" s="62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150"/>
    </row>
    <row r="1315" spans="1:16" s="28" customFormat="1" x14ac:dyDescent="0.25">
      <c r="A1315" s="56"/>
      <c r="B1315" s="62"/>
      <c r="C1315" s="62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150"/>
    </row>
    <row r="1316" spans="1:16" s="28" customFormat="1" x14ac:dyDescent="0.25">
      <c r="A1316" s="56"/>
      <c r="B1316" s="62"/>
      <c r="C1316" s="62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150"/>
    </row>
    <row r="1317" spans="1:16" s="28" customFormat="1" x14ac:dyDescent="0.25">
      <c r="A1317" s="56"/>
      <c r="B1317" s="62"/>
      <c r="C1317" s="62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150"/>
    </row>
    <row r="1318" spans="1:16" s="28" customFormat="1" x14ac:dyDescent="0.25">
      <c r="A1318" s="56"/>
      <c r="B1318" s="62"/>
      <c r="C1318" s="62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150"/>
    </row>
    <row r="1319" spans="1:16" s="28" customFormat="1" x14ac:dyDescent="0.25">
      <c r="A1319" s="56"/>
      <c r="B1319" s="62"/>
      <c r="C1319" s="62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150"/>
    </row>
    <row r="1320" spans="1:16" s="28" customFormat="1" x14ac:dyDescent="0.25">
      <c r="A1320" s="56"/>
      <c r="B1320" s="62"/>
      <c r="C1320" s="62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150"/>
    </row>
    <row r="1321" spans="1:16" s="28" customFormat="1" x14ac:dyDescent="0.25">
      <c r="A1321" s="56"/>
      <c r="B1321" s="62"/>
      <c r="C1321" s="62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150"/>
    </row>
    <row r="1322" spans="1:16" s="28" customFormat="1" x14ac:dyDescent="0.25">
      <c r="A1322" s="56"/>
      <c r="B1322" s="62"/>
      <c r="C1322" s="62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150"/>
    </row>
    <row r="1323" spans="1:16" s="28" customFormat="1" x14ac:dyDescent="0.25">
      <c r="A1323" s="56"/>
      <c r="B1323" s="62"/>
      <c r="C1323" s="62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150"/>
    </row>
    <row r="1324" spans="1:16" s="28" customFormat="1" x14ac:dyDescent="0.25">
      <c r="A1324" s="56"/>
      <c r="B1324" s="62"/>
      <c r="C1324" s="62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150"/>
    </row>
    <row r="1325" spans="1:16" s="28" customFormat="1" x14ac:dyDescent="0.25">
      <c r="A1325" s="56"/>
      <c r="B1325" s="62"/>
      <c r="C1325" s="62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150"/>
    </row>
    <row r="1326" spans="1:16" s="28" customFormat="1" x14ac:dyDescent="0.25">
      <c r="A1326" s="56"/>
      <c r="B1326" s="62"/>
      <c r="C1326" s="62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150"/>
    </row>
    <row r="1327" spans="1:16" s="28" customFormat="1" x14ac:dyDescent="0.25">
      <c r="A1327" s="56"/>
      <c r="B1327" s="62"/>
      <c r="C1327" s="62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150"/>
    </row>
    <row r="1328" spans="1:16" s="28" customFormat="1" x14ac:dyDescent="0.25">
      <c r="A1328" s="56"/>
      <c r="B1328" s="62"/>
      <c r="C1328" s="62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150"/>
    </row>
    <row r="1329" spans="1:16" s="28" customFormat="1" x14ac:dyDescent="0.25">
      <c r="A1329" s="56"/>
      <c r="B1329" s="62"/>
      <c r="C1329" s="62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150"/>
    </row>
    <row r="1330" spans="1:16" s="28" customFormat="1" x14ac:dyDescent="0.25">
      <c r="A1330" s="56"/>
      <c r="B1330" s="62"/>
      <c r="C1330" s="62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150"/>
    </row>
    <row r="1331" spans="1:16" s="28" customFormat="1" x14ac:dyDescent="0.25">
      <c r="A1331" s="56"/>
      <c r="B1331" s="62"/>
      <c r="C1331" s="62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150"/>
    </row>
    <row r="1332" spans="1:16" s="28" customFormat="1" x14ac:dyDescent="0.25">
      <c r="A1332" s="56"/>
      <c r="B1332" s="62"/>
      <c r="C1332" s="62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150"/>
    </row>
    <row r="1333" spans="1:16" s="28" customFormat="1" x14ac:dyDescent="0.25">
      <c r="A1333" s="56"/>
      <c r="B1333" s="62"/>
      <c r="C1333" s="62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150"/>
    </row>
    <row r="1334" spans="1:16" s="28" customFormat="1" x14ac:dyDescent="0.25">
      <c r="A1334" s="56"/>
      <c r="B1334" s="62"/>
      <c r="C1334" s="62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150"/>
    </row>
    <row r="1335" spans="1:16" s="28" customFormat="1" x14ac:dyDescent="0.25">
      <c r="A1335" s="56"/>
      <c r="B1335" s="62"/>
      <c r="C1335" s="62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150"/>
    </row>
    <row r="1336" spans="1:16" s="28" customFormat="1" x14ac:dyDescent="0.25">
      <c r="A1336" s="56"/>
      <c r="B1336" s="62"/>
      <c r="C1336" s="62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150"/>
    </row>
    <row r="1337" spans="1:16" s="28" customFormat="1" x14ac:dyDescent="0.25">
      <c r="A1337" s="56"/>
      <c r="B1337" s="62"/>
      <c r="C1337" s="62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150"/>
    </row>
    <row r="1338" spans="1:16" s="28" customFormat="1" x14ac:dyDescent="0.25">
      <c r="A1338" s="56"/>
      <c r="B1338" s="62"/>
      <c r="C1338" s="62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150"/>
    </row>
    <row r="1339" spans="1:16" s="28" customFormat="1" x14ac:dyDescent="0.25">
      <c r="A1339" s="56"/>
      <c r="B1339" s="62"/>
      <c r="C1339" s="62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150"/>
    </row>
    <row r="1340" spans="1:16" s="28" customFormat="1" x14ac:dyDescent="0.25">
      <c r="A1340" s="56"/>
      <c r="B1340" s="62"/>
      <c r="C1340" s="62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150"/>
    </row>
    <row r="1341" spans="1:16" s="28" customFormat="1" x14ac:dyDescent="0.25">
      <c r="A1341" s="56"/>
      <c r="B1341" s="62"/>
      <c r="C1341" s="62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150"/>
    </row>
    <row r="1342" spans="1:16" s="28" customFormat="1" x14ac:dyDescent="0.25">
      <c r="A1342" s="56"/>
      <c r="B1342" s="62"/>
      <c r="C1342" s="62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150"/>
    </row>
    <row r="1343" spans="1:16" s="28" customFormat="1" x14ac:dyDescent="0.25">
      <c r="A1343" s="56"/>
      <c r="B1343" s="62"/>
      <c r="C1343" s="62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150"/>
    </row>
    <row r="1344" spans="1:16" s="28" customFormat="1" x14ac:dyDescent="0.25">
      <c r="A1344" s="56"/>
      <c r="B1344" s="62"/>
      <c r="C1344" s="62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150"/>
    </row>
    <row r="1345" spans="1:16" s="28" customFormat="1" x14ac:dyDescent="0.25">
      <c r="A1345" s="56"/>
      <c r="B1345" s="62"/>
      <c r="C1345" s="62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150"/>
    </row>
    <row r="1346" spans="1:16" s="28" customFormat="1" x14ac:dyDescent="0.25">
      <c r="A1346" s="56"/>
      <c r="B1346" s="62"/>
      <c r="C1346" s="62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150"/>
    </row>
    <row r="1347" spans="1:16" s="28" customFormat="1" x14ac:dyDescent="0.25">
      <c r="A1347" s="56"/>
      <c r="B1347" s="62"/>
      <c r="C1347" s="62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150"/>
    </row>
    <row r="1348" spans="1:16" s="28" customFormat="1" x14ac:dyDescent="0.25">
      <c r="A1348" s="56"/>
      <c r="B1348" s="62"/>
      <c r="C1348" s="62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150"/>
    </row>
    <row r="1349" spans="1:16" s="28" customFormat="1" x14ac:dyDescent="0.25">
      <c r="A1349" s="56"/>
      <c r="B1349" s="62"/>
      <c r="C1349" s="62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150"/>
    </row>
    <row r="1350" spans="1:16" s="28" customFormat="1" x14ac:dyDescent="0.25">
      <c r="A1350" s="56"/>
      <c r="B1350" s="62"/>
      <c r="C1350" s="62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150"/>
    </row>
    <row r="1351" spans="1:16" s="28" customFormat="1" x14ac:dyDescent="0.25">
      <c r="A1351" s="56"/>
      <c r="B1351" s="62"/>
      <c r="C1351" s="62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150"/>
    </row>
    <row r="1352" spans="1:16" s="28" customFormat="1" x14ac:dyDescent="0.25">
      <c r="A1352" s="56"/>
      <c r="B1352" s="62"/>
      <c r="C1352" s="62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150"/>
    </row>
    <row r="1353" spans="1:16" s="28" customFormat="1" x14ac:dyDescent="0.25">
      <c r="A1353" s="56"/>
      <c r="B1353" s="62"/>
      <c r="C1353" s="62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150"/>
    </row>
    <row r="1354" spans="1:16" s="28" customFormat="1" x14ac:dyDescent="0.25">
      <c r="A1354" s="56"/>
      <c r="B1354" s="62"/>
      <c r="C1354" s="62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150"/>
    </row>
    <row r="1355" spans="1:16" s="28" customFormat="1" x14ac:dyDescent="0.25">
      <c r="A1355" s="56"/>
      <c r="B1355" s="62"/>
      <c r="C1355" s="62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150"/>
    </row>
    <row r="1356" spans="1:16" s="28" customFormat="1" x14ac:dyDescent="0.25">
      <c r="A1356" s="56"/>
      <c r="B1356" s="62"/>
      <c r="C1356" s="62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150"/>
    </row>
    <row r="1357" spans="1:16" s="28" customFormat="1" x14ac:dyDescent="0.25">
      <c r="A1357" s="56"/>
      <c r="B1357" s="62"/>
      <c r="C1357" s="62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150"/>
    </row>
    <row r="1358" spans="1:16" s="28" customFormat="1" x14ac:dyDescent="0.25">
      <c r="A1358" s="56"/>
      <c r="B1358" s="62"/>
      <c r="C1358" s="62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150"/>
    </row>
    <row r="1359" spans="1:16" s="28" customFormat="1" x14ac:dyDescent="0.25">
      <c r="A1359" s="56"/>
      <c r="B1359" s="62"/>
      <c r="C1359" s="62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150"/>
    </row>
    <row r="1360" spans="1:16" s="28" customFormat="1" x14ac:dyDescent="0.25">
      <c r="A1360" s="56"/>
      <c r="B1360" s="62"/>
      <c r="C1360" s="62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150"/>
    </row>
    <row r="1361" spans="1:16" s="28" customFormat="1" x14ac:dyDescent="0.25">
      <c r="A1361" s="56"/>
      <c r="B1361" s="62"/>
      <c r="C1361" s="62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150"/>
    </row>
    <row r="1362" spans="1:16" s="28" customFormat="1" x14ac:dyDescent="0.25">
      <c r="A1362" s="56"/>
      <c r="B1362" s="62"/>
      <c r="C1362" s="62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150"/>
    </row>
    <row r="1363" spans="1:16" s="28" customFormat="1" x14ac:dyDescent="0.25">
      <c r="A1363" s="56"/>
      <c r="B1363" s="62"/>
      <c r="C1363" s="62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150"/>
    </row>
    <row r="1364" spans="1:16" s="28" customFormat="1" x14ac:dyDescent="0.25">
      <c r="A1364" s="56"/>
      <c r="B1364" s="62"/>
      <c r="C1364" s="62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150"/>
    </row>
    <row r="1365" spans="1:16" s="28" customFormat="1" x14ac:dyDescent="0.25">
      <c r="A1365" s="56"/>
      <c r="B1365" s="62"/>
      <c r="C1365" s="62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150"/>
    </row>
    <row r="1366" spans="1:16" s="28" customFormat="1" x14ac:dyDescent="0.25">
      <c r="A1366" s="56"/>
      <c r="B1366" s="62"/>
      <c r="C1366" s="62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150"/>
    </row>
    <row r="1367" spans="1:16" s="28" customFormat="1" x14ac:dyDescent="0.25">
      <c r="A1367" s="56"/>
      <c r="B1367" s="62"/>
      <c r="C1367" s="62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150"/>
    </row>
    <row r="1368" spans="1:16" s="28" customFormat="1" x14ac:dyDescent="0.25">
      <c r="A1368" s="56"/>
      <c r="B1368" s="62"/>
      <c r="C1368" s="62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150"/>
    </row>
    <row r="1369" spans="1:16" s="28" customFormat="1" x14ac:dyDescent="0.25">
      <c r="A1369" s="56"/>
      <c r="B1369" s="62"/>
      <c r="C1369" s="62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150"/>
    </row>
    <row r="1370" spans="1:16" s="28" customFormat="1" x14ac:dyDescent="0.25">
      <c r="A1370" s="56"/>
      <c r="B1370" s="62"/>
      <c r="C1370" s="62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150"/>
    </row>
    <row r="1371" spans="1:16" s="28" customFormat="1" x14ac:dyDescent="0.25">
      <c r="A1371" s="56"/>
      <c r="B1371" s="62"/>
      <c r="C1371" s="62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150"/>
    </row>
    <row r="1372" spans="1:16" s="28" customFormat="1" x14ac:dyDescent="0.25">
      <c r="A1372" s="56"/>
      <c r="B1372" s="62"/>
      <c r="C1372" s="62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150"/>
    </row>
    <row r="1373" spans="1:16" s="28" customFormat="1" x14ac:dyDescent="0.25">
      <c r="A1373" s="56"/>
      <c r="B1373" s="62"/>
      <c r="C1373" s="62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150"/>
    </row>
    <row r="1374" spans="1:16" s="28" customFormat="1" x14ac:dyDescent="0.25">
      <c r="A1374" s="56"/>
      <c r="B1374" s="62"/>
      <c r="C1374" s="62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150"/>
    </row>
    <row r="1375" spans="1:16" s="28" customFormat="1" x14ac:dyDescent="0.25">
      <c r="A1375" s="56"/>
      <c r="B1375" s="62"/>
      <c r="C1375" s="62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150"/>
    </row>
    <row r="1376" spans="1:16" s="28" customFormat="1" x14ac:dyDescent="0.25">
      <c r="A1376" s="56"/>
      <c r="B1376" s="62"/>
      <c r="C1376" s="62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150"/>
    </row>
    <row r="1377" spans="1:16" s="28" customFormat="1" x14ac:dyDescent="0.25">
      <c r="A1377" s="56"/>
      <c r="B1377" s="62"/>
      <c r="C1377" s="62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150"/>
    </row>
    <row r="1378" spans="1:16" s="28" customFormat="1" x14ac:dyDescent="0.25">
      <c r="A1378" s="56"/>
      <c r="B1378" s="62"/>
      <c r="C1378" s="62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150"/>
    </row>
    <row r="1379" spans="1:16" s="28" customFormat="1" x14ac:dyDescent="0.25">
      <c r="A1379" s="56"/>
      <c r="B1379" s="62"/>
      <c r="C1379" s="62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150"/>
    </row>
    <row r="1380" spans="1:16" s="28" customFormat="1" x14ac:dyDescent="0.25">
      <c r="A1380" s="56"/>
      <c r="B1380" s="62"/>
      <c r="C1380" s="62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150"/>
    </row>
    <row r="1381" spans="1:16" s="28" customFormat="1" x14ac:dyDescent="0.25">
      <c r="A1381" s="56"/>
      <c r="B1381" s="62"/>
      <c r="C1381" s="62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150"/>
    </row>
    <row r="1382" spans="1:16" s="28" customFormat="1" x14ac:dyDescent="0.25">
      <c r="A1382" s="56"/>
      <c r="B1382" s="62"/>
      <c r="C1382" s="62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150"/>
    </row>
    <row r="1383" spans="1:16" s="28" customFormat="1" x14ac:dyDescent="0.25">
      <c r="A1383" s="56"/>
      <c r="B1383" s="62"/>
      <c r="C1383" s="62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150"/>
    </row>
    <row r="1384" spans="1:16" s="28" customFormat="1" x14ac:dyDescent="0.25">
      <c r="A1384" s="56"/>
      <c r="B1384" s="62"/>
      <c r="C1384" s="62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150"/>
    </row>
    <row r="1385" spans="1:16" s="28" customFormat="1" x14ac:dyDescent="0.25">
      <c r="A1385" s="56"/>
      <c r="B1385" s="62"/>
      <c r="C1385" s="62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150"/>
    </row>
    <row r="1386" spans="1:16" s="28" customFormat="1" x14ac:dyDescent="0.25">
      <c r="A1386" s="56"/>
      <c r="B1386" s="62"/>
      <c r="C1386" s="62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150"/>
    </row>
    <row r="1387" spans="1:16" s="28" customFormat="1" x14ac:dyDescent="0.25">
      <c r="A1387" s="56"/>
      <c r="B1387" s="62"/>
      <c r="C1387" s="62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150"/>
    </row>
    <row r="1388" spans="1:16" s="28" customFormat="1" x14ac:dyDescent="0.25">
      <c r="A1388" s="56"/>
      <c r="B1388" s="62"/>
      <c r="C1388" s="62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150"/>
    </row>
    <row r="1389" spans="1:16" s="28" customFormat="1" x14ac:dyDescent="0.25">
      <c r="A1389" s="56"/>
      <c r="B1389" s="62"/>
      <c r="C1389" s="62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150"/>
    </row>
    <row r="1390" spans="1:16" s="28" customFormat="1" x14ac:dyDescent="0.25">
      <c r="A1390" s="56"/>
      <c r="B1390" s="62"/>
      <c r="C1390" s="62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150"/>
    </row>
    <row r="1391" spans="1:16" s="28" customFormat="1" x14ac:dyDescent="0.25">
      <c r="A1391" s="56"/>
      <c r="B1391" s="62"/>
      <c r="C1391" s="62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150"/>
    </row>
    <row r="1392" spans="1:16" s="28" customFormat="1" x14ac:dyDescent="0.25">
      <c r="A1392" s="56"/>
      <c r="B1392" s="62"/>
      <c r="C1392" s="62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150"/>
    </row>
    <row r="1393" spans="1:16" s="28" customFormat="1" x14ac:dyDescent="0.25">
      <c r="A1393" s="56"/>
      <c r="B1393" s="62"/>
      <c r="C1393" s="62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150"/>
    </row>
    <row r="1394" spans="1:16" s="28" customFormat="1" x14ac:dyDescent="0.25">
      <c r="A1394" s="56"/>
      <c r="B1394" s="62"/>
      <c r="C1394" s="62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150"/>
    </row>
    <row r="1395" spans="1:16" s="28" customFormat="1" x14ac:dyDescent="0.25">
      <c r="A1395" s="56"/>
      <c r="B1395" s="62"/>
      <c r="C1395" s="62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150"/>
    </row>
    <row r="1396" spans="1:16" s="28" customFormat="1" x14ac:dyDescent="0.25">
      <c r="A1396" s="56"/>
      <c r="B1396" s="62"/>
      <c r="C1396" s="62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150"/>
    </row>
    <row r="1397" spans="1:16" s="28" customFormat="1" x14ac:dyDescent="0.25">
      <c r="A1397" s="56"/>
      <c r="B1397" s="62"/>
      <c r="C1397" s="62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150"/>
    </row>
    <row r="1398" spans="1:16" s="28" customFormat="1" x14ac:dyDescent="0.25">
      <c r="A1398" s="56"/>
      <c r="B1398" s="62"/>
      <c r="C1398" s="62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150"/>
    </row>
    <row r="1399" spans="1:16" s="28" customFormat="1" x14ac:dyDescent="0.25">
      <c r="A1399" s="56"/>
      <c r="B1399" s="62"/>
      <c r="C1399" s="62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150"/>
    </row>
    <row r="1400" spans="1:16" s="28" customFormat="1" x14ac:dyDescent="0.25">
      <c r="A1400" s="56"/>
      <c r="B1400" s="62"/>
      <c r="C1400" s="62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150"/>
    </row>
    <row r="1401" spans="1:16" s="28" customFormat="1" x14ac:dyDescent="0.25">
      <c r="A1401" s="56"/>
      <c r="B1401" s="62"/>
      <c r="C1401" s="62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150"/>
    </row>
    <row r="1402" spans="1:16" s="28" customFormat="1" x14ac:dyDescent="0.25">
      <c r="A1402" s="56"/>
      <c r="B1402" s="62"/>
      <c r="C1402" s="62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150"/>
    </row>
    <row r="1403" spans="1:16" s="28" customFormat="1" x14ac:dyDescent="0.25">
      <c r="A1403" s="56"/>
      <c r="B1403" s="62"/>
      <c r="C1403" s="62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150"/>
    </row>
    <row r="1404" spans="1:16" s="28" customFormat="1" x14ac:dyDescent="0.25">
      <c r="A1404" s="56"/>
      <c r="B1404" s="62"/>
      <c r="C1404" s="62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150"/>
    </row>
    <row r="1405" spans="1:16" s="28" customFormat="1" x14ac:dyDescent="0.25">
      <c r="A1405" s="56"/>
      <c r="B1405" s="62"/>
      <c r="C1405" s="62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150"/>
    </row>
    <row r="1406" spans="1:16" s="28" customFormat="1" x14ac:dyDescent="0.25">
      <c r="A1406" s="56"/>
      <c r="B1406" s="62"/>
      <c r="C1406" s="62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150"/>
    </row>
    <row r="1407" spans="1:16" s="28" customFormat="1" x14ac:dyDescent="0.25">
      <c r="A1407" s="56"/>
      <c r="B1407" s="62"/>
      <c r="C1407" s="62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150"/>
    </row>
    <row r="1408" spans="1:16" s="28" customFormat="1" x14ac:dyDescent="0.25">
      <c r="A1408" s="56"/>
      <c r="B1408" s="62"/>
      <c r="C1408" s="62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150"/>
    </row>
    <row r="1409" spans="1:16" s="28" customFormat="1" x14ac:dyDescent="0.25">
      <c r="A1409" s="56"/>
      <c r="B1409" s="62"/>
      <c r="C1409" s="62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150"/>
    </row>
    <row r="1410" spans="1:16" s="28" customFormat="1" x14ac:dyDescent="0.25">
      <c r="A1410" s="56"/>
      <c r="B1410" s="62"/>
      <c r="C1410" s="62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150"/>
    </row>
    <row r="1411" spans="1:16" s="28" customFormat="1" x14ac:dyDescent="0.25">
      <c r="A1411" s="56"/>
      <c r="B1411" s="62"/>
      <c r="C1411" s="62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150"/>
    </row>
    <row r="1412" spans="1:16" s="28" customFormat="1" x14ac:dyDescent="0.25">
      <c r="A1412" s="56"/>
      <c r="B1412" s="62"/>
      <c r="C1412" s="62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150"/>
    </row>
    <row r="1413" spans="1:16" s="28" customFormat="1" x14ac:dyDescent="0.25">
      <c r="A1413" s="56"/>
      <c r="B1413" s="62"/>
      <c r="C1413" s="62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150"/>
    </row>
    <row r="1414" spans="1:16" s="28" customFormat="1" x14ac:dyDescent="0.25">
      <c r="A1414" s="56"/>
      <c r="B1414" s="62"/>
      <c r="C1414" s="62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150"/>
    </row>
    <row r="1415" spans="1:16" s="28" customFormat="1" x14ac:dyDescent="0.25">
      <c r="A1415" s="56"/>
      <c r="B1415" s="62"/>
      <c r="C1415" s="62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150"/>
    </row>
    <row r="1416" spans="1:16" s="28" customFormat="1" x14ac:dyDescent="0.25">
      <c r="A1416" s="56"/>
      <c r="B1416" s="62"/>
      <c r="C1416" s="62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150"/>
    </row>
    <row r="1417" spans="1:16" s="28" customFormat="1" x14ac:dyDescent="0.25">
      <c r="A1417" s="56"/>
      <c r="B1417" s="62"/>
      <c r="C1417" s="62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150"/>
    </row>
    <row r="1418" spans="1:16" s="28" customFormat="1" x14ac:dyDescent="0.25">
      <c r="A1418" s="56"/>
      <c r="B1418" s="62"/>
      <c r="C1418" s="62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150"/>
    </row>
    <row r="1419" spans="1:16" s="28" customFormat="1" x14ac:dyDescent="0.25">
      <c r="A1419" s="56"/>
      <c r="B1419" s="62"/>
      <c r="C1419" s="62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150"/>
    </row>
    <row r="1420" spans="1:16" s="28" customFormat="1" x14ac:dyDescent="0.25">
      <c r="A1420" s="56"/>
      <c r="B1420" s="62"/>
      <c r="C1420" s="62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150"/>
    </row>
    <row r="1421" spans="1:16" s="28" customFormat="1" x14ac:dyDescent="0.25">
      <c r="A1421" s="56"/>
      <c r="B1421" s="62"/>
      <c r="C1421" s="62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150"/>
    </row>
    <row r="1422" spans="1:16" s="28" customFormat="1" x14ac:dyDescent="0.25">
      <c r="A1422" s="56"/>
      <c r="B1422" s="62"/>
      <c r="C1422" s="62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150"/>
    </row>
    <row r="1423" spans="1:16" s="28" customFormat="1" x14ac:dyDescent="0.25">
      <c r="A1423" s="56"/>
      <c r="B1423" s="62"/>
      <c r="C1423" s="62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150"/>
    </row>
    <row r="1424" spans="1:16" s="28" customFormat="1" x14ac:dyDescent="0.25">
      <c r="A1424" s="56"/>
      <c r="B1424" s="62"/>
      <c r="C1424" s="62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150"/>
    </row>
    <row r="1425" spans="1:16" s="28" customFormat="1" x14ac:dyDescent="0.25">
      <c r="A1425" s="56"/>
      <c r="B1425" s="62"/>
      <c r="C1425" s="62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150"/>
    </row>
    <row r="1426" spans="1:16" s="28" customFormat="1" x14ac:dyDescent="0.25">
      <c r="A1426" s="56"/>
      <c r="B1426" s="62"/>
      <c r="C1426" s="62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150"/>
    </row>
    <row r="1427" spans="1:16" s="28" customFormat="1" x14ac:dyDescent="0.25">
      <c r="A1427" s="56"/>
      <c r="B1427" s="62"/>
      <c r="C1427" s="62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150"/>
    </row>
    <row r="1428" spans="1:16" s="28" customFormat="1" x14ac:dyDescent="0.25">
      <c r="A1428" s="56"/>
      <c r="B1428" s="62"/>
      <c r="C1428" s="62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150"/>
    </row>
    <row r="1429" spans="1:16" s="28" customFormat="1" x14ac:dyDescent="0.25">
      <c r="A1429" s="56"/>
      <c r="B1429" s="62"/>
      <c r="C1429" s="62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150"/>
    </row>
    <row r="1430" spans="1:16" s="28" customFormat="1" x14ac:dyDescent="0.25">
      <c r="A1430" s="56"/>
      <c r="B1430" s="62"/>
      <c r="C1430" s="62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150"/>
    </row>
    <row r="1431" spans="1:16" s="28" customFormat="1" x14ac:dyDescent="0.25">
      <c r="A1431" s="56"/>
      <c r="B1431" s="62"/>
      <c r="C1431" s="62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150"/>
    </row>
    <row r="1432" spans="1:16" s="28" customFormat="1" x14ac:dyDescent="0.25">
      <c r="A1432" s="56"/>
      <c r="B1432" s="62"/>
      <c r="C1432" s="62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150"/>
    </row>
    <row r="1433" spans="1:16" s="28" customFormat="1" x14ac:dyDescent="0.25">
      <c r="A1433" s="56"/>
      <c r="B1433" s="62"/>
      <c r="C1433" s="62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150"/>
    </row>
    <row r="1434" spans="1:16" s="28" customFormat="1" x14ac:dyDescent="0.25">
      <c r="A1434" s="56"/>
      <c r="B1434" s="62"/>
      <c r="C1434" s="62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150"/>
    </row>
    <row r="1435" spans="1:16" s="28" customFormat="1" x14ac:dyDescent="0.25">
      <c r="A1435" s="56"/>
      <c r="B1435" s="62"/>
      <c r="C1435" s="62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150"/>
    </row>
    <row r="1436" spans="1:16" s="28" customFormat="1" x14ac:dyDescent="0.25">
      <c r="A1436" s="56"/>
      <c r="B1436" s="62"/>
      <c r="C1436" s="62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150"/>
    </row>
    <row r="1437" spans="1:16" s="28" customFormat="1" x14ac:dyDescent="0.25">
      <c r="A1437" s="56"/>
      <c r="B1437" s="62"/>
      <c r="C1437" s="62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150"/>
    </row>
    <row r="1438" spans="1:16" s="28" customFormat="1" x14ac:dyDescent="0.25">
      <c r="A1438" s="56"/>
      <c r="B1438" s="62"/>
      <c r="C1438" s="62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150"/>
    </row>
    <row r="1439" spans="1:16" s="28" customFormat="1" x14ac:dyDescent="0.25">
      <c r="A1439" s="56"/>
      <c r="B1439" s="62"/>
      <c r="C1439" s="62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150"/>
    </row>
    <row r="1440" spans="1:16" s="28" customFormat="1" x14ac:dyDescent="0.25">
      <c r="A1440" s="56"/>
      <c r="B1440" s="62"/>
      <c r="C1440" s="62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150"/>
    </row>
    <row r="1441" spans="1:16" s="28" customFormat="1" x14ac:dyDescent="0.25">
      <c r="A1441" s="56"/>
      <c r="B1441" s="62"/>
      <c r="C1441" s="62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150"/>
    </row>
    <row r="1442" spans="1:16" s="28" customFormat="1" x14ac:dyDescent="0.25">
      <c r="A1442" s="56"/>
      <c r="B1442" s="62"/>
      <c r="C1442" s="62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150"/>
    </row>
    <row r="1443" spans="1:16" s="28" customFormat="1" x14ac:dyDescent="0.25">
      <c r="A1443" s="56"/>
      <c r="B1443" s="62"/>
      <c r="C1443" s="62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150"/>
    </row>
    <row r="1444" spans="1:16" s="28" customFormat="1" x14ac:dyDescent="0.25">
      <c r="A1444" s="56"/>
      <c r="B1444" s="62"/>
      <c r="C1444" s="62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150"/>
    </row>
    <row r="1445" spans="1:16" s="28" customFormat="1" x14ac:dyDescent="0.25">
      <c r="A1445" s="56"/>
      <c r="B1445" s="62"/>
      <c r="C1445" s="62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150"/>
    </row>
    <row r="1446" spans="1:16" s="28" customFormat="1" x14ac:dyDescent="0.25">
      <c r="A1446" s="56"/>
      <c r="B1446" s="62"/>
      <c r="C1446" s="62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150"/>
    </row>
    <row r="1447" spans="1:16" s="28" customFormat="1" x14ac:dyDescent="0.25">
      <c r="A1447" s="56"/>
      <c r="B1447" s="62"/>
      <c r="C1447" s="62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150"/>
    </row>
    <row r="1448" spans="1:16" s="28" customFormat="1" x14ac:dyDescent="0.25">
      <c r="A1448" s="56"/>
      <c r="B1448" s="62"/>
      <c r="C1448" s="62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150"/>
    </row>
    <row r="1449" spans="1:16" s="28" customFormat="1" x14ac:dyDescent="0.25">
      <c r="A1449" s="56"/>
      <c r="B1449" s="62"/>
      <c r="C1449" s="62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150"/>
    </row>
    <row r="1450" spans="1:16" s="28" customFormat="1" x14ac:dyDescent="0.25">
      <c r="A1450" s="56"/>
      <c r="B1450" s="62"/>
      <c r="C1450" s="62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150"/>
    </row>
    <row r="1451" spans="1:16" s="28" customFormat="1" x14ac:dyDescent="0.25">
      <c r="A1451" s="56"/>
      <c r="B1451" s="62"/>
      <c r="C1451" s="62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150"/>
    </row>
    <row r="1452" spans="1:16" s="28" customFormat="1" x14ac:dyDescent="0.25">
      <c r="A1452" s="56"/>
      <c r="B1452" s="62"/>
      <c r="C1452" s="62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150"/>
    </row>
    <row r="1453" spans="1:16" s="28" customFormat="1" x14ac:dyDescent="0.25">
      <c r="A1453" s="56"/>
      <c r="B1453" s="62"/>
      <c r="C1453" s="62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150"/>
    </row>
    <row r="1454" spans="1:16" s="28" customFormat="1" x14ac:dyDescent="0.25">
      <c r="A1454" s="56"/>
      <c r="B1454" s="62"/>
      <c r="C1454" s="62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150"/>
    </row>
    <row r="1455" spans="1:16" s="28" customFormat="1" x14ac:dyDescent="0.25">
      <c r="A1455" s="56"/>
      <c r="B1455" s="62"/>
      <c r="C1455" s="62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150"/>
    </row>
    <row r="1456" spans="1:16" s="28" customFormat="1" x14ac:dyDescent="0.25">
      <c r="A1456" s="56"/>
      <c r="B1456" s="62"/>
      <c r="C1456" s="62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150"/>
    </row>
    <row r="1457" spans="1:16" s="28" customFormat="1" x14ac:dyDescent="0.25">
      <c r="A1457" s="56"/>
      <c r="B1457" s="62"/>
      <c r="C1457" s="62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150"/>
    </row>
    <row r="1458" spans="1:16" s="28" customFormat="1" x14ac:dyDescent="0.25">
      <c r="A1458" s="56"/>
      <c r="B1458" s="62"/>
      <c r="C1458" s="62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150"/>
    </row>
    <row r="1459" spans="1:16" s="28" customFormat="1" x14ac:dyDescent="0.25">
      <c r="A1459" s="56"/>
      <c r="B1459" s="62"/>
      <c r="C1459" s="62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150"/>
    </row>
    <row r="1460" spans="1:16" s="28" customFormat="1" x14ac:dyDescent="0.25">
      <c r="A1460" s="56"/>
      <c r="B1460" s="62"/>
      <c r="C1460" s="62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150"/>
    </row>
    <row r="1461" spans="1:16" s="28" customFormat="1" x14ac:dyDescent="0.25">
      <c r="A1461" s="56"/>
      <c r="B1461" s="62"/>
      <c r="C1461" s="62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150"/>
    </row>
    <row r="1462" spans="1:16" s="28" customFormat="1" x14ac:dyDescent="0.25">
      <c r="A1462" s="56"/>
      <c r="B1462" s="62"/>
      <c r="C1462" s="62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150"/>
    </row>
    <row r="1463" spans="1:16" s="28" customFormat="1" x14ac:dyDescent="0.25">
      <c r="A1463" s="56"/>
      <c r="B1463" s="62"/>
      <c r="C1463" s="62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150"/>
    </row>
    <row r="1464" spans="1:16" s="28" customFormat="1" x14ac:dyDescent="0.25">
      <c r="A1464" s="56"/>
      <c r="B1464" s="62"/>
      <c r="C1464" s="62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150"/>
    </row>
    <row r="1465" spans="1:16" s="28" customFormat="1" x14ac:dyDescent="0.25">
      <c r="A1465" s="56"/>
      <c r="B1465" s="62"/>
      <c r="C1465" s="62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150"/>
    </row>
    <row r="1466" spans="1:16" s="28" customFormat="1" x14ac:dyDescent="0.25">
      <c r="A1466" s="56"/>
      <c r="B1466" s="62"/>
      <c r="C1466" s="62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150"/>
    </row>
    <row r="1467" spans="1:16" s="28" customFormat="1" x14ac:dyDescent="0.25">
      <c r="A1467" s="56"/>
      <c r="B1467" s="62"/>
      <c r="C1467" s="62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150"/>
    </row>
    <row r="1468" spans="1:16" s="28" customFormat="1" x14ac:dyDescent="0.25">
      <c r="A1468" s="56"/>
      <c r="B1468" s="62"/>
      <c r="C1468" s="62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150"/>
    </row>
    <row r="1469" spans="1:16" s="28" customFormat="1" x14ac:dyDescent="0.25">
      <c r="A1469" s="56"/>
      <c r="B1469" s="62"/>
      <c r="C1469" s="62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150"/>
    </row>
    <row r="1470" spans="1:16" s="28" customFormat="1" x14ac:dyDescent="0.25">
      <c r="A1470" s="56"/>
      <c r="B1470" s="62"/>
      <c r="C1470" s="62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150"/>
    </row>
    <row r="1471" spans="1:16" s="28" customFormat="1" x14ac:dyDescent="0.25">
      <c r="A1471" s="56"/>
      <c r="B1471" s="62"/>
      <c r="C1471" s="62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150"/>
    </row>
    <row r="1472" spans="1:16" s="28" customFormat="1" x14ac:dyDescent="0.25">
      <c r="A1472" s="56"/>
      <c r="B1472" s="62"/>
      <c r="C1472" s="62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150"/>
    </row>
    <row r="1473" spans="1:16" s="28" customFormat="1" x14ac:dyDescent="0.25">
      <c r="A1473" s="56"/>
      <c r="B1473" s="62"/>
      <c r="C1473" s="62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150"/>
    </row>
    <row r="1474" spans="1:16" s="28" customFormat="1" x14ac:dyDescent="0.25">
      <c r="A1474" s="56"/>
      <c r="B1474" s="62"/>
      <c r="C1474" s="62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150"/>
    </row>
    <row r="1475" spans="1:16" s="28" customFormat="1" x14ac:dyDescent="0.25">
      <c r="A1475" s="56"/>
      <c r="B1475" s="62"/>
      <c r="C1475" s="62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150"/>
    </row>
    <row r="1476" spans="1:16" s="28" customFormat="1" x14ac:dyDescent="0.25">
      <c r="A1476" s="56"/>
      <c r="B1476" s="62"/>
      <c r="C1476" s="62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150"/>
    </row>
    <row r="1477" spans="1:16" s="28" customFormat="1" x14ac:dyDescent="0.25">
      <c r="A1477" s="56"/>
      <c r="B1477" s="62"/>
      <c r="C1477" s="62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150"/>
    </row>
    <row r="1478" spans="1:16" s="28" customFormat="1" x14ac:dyDescent="0.25">
      <c r="A1478" s="56"/>
      <c r="B1478" s="62"/>
      <c r="C1478" s="62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150"/>
    </row>
    <row r="1479" spans="1:16" s="28" customFormat="1" x14ac:dyDescent="0.25">
      <c r="A1479" s="56"/>
      <c r="B1479" s="62"/>
      <c r="C1479" s="62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150"/>
    </row>
    <row r="1480" spans="1:16" s="28" customFormat="1" x14ac:dyDescent="0.25">
      <c r="A1480" s="56"/>
      <c r="B1480" s="62"/>
      <c r="C1480" s="62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150"/>
    </row>
    <row r="1481" spans="1:16" s="28" customFormat="1" x14ac:dyDescent="0.25">
      <c r="A1481" s="56"/>
      <c r="B1481" s="62"/>
      <c r="C1481" s="62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150"/>
    </row>
    <row r="1482" spans="1:16" s="28" customFormat="1" x14ac:dyDescent="0.25">
      <c r="A1482" s="56"/>
      <c r="B1482" s="62"/>
      <c r="C1482" s="62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150"/>
    </row>
    <row r="1483" spans="1:16" s="28" customFormat="1" x14ac:dyDescent="0.25">
      <c r="A1483" s="56"/>
      <c r="B1483" s="62"/>
      <c r="C1483" s="62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150"/>
    </row>
    <row r="1484" spans="1:16" s="28" customFormat="1" x14ac:dyDescent="0.25">
      <c r="A1484" s="56"/>
      <c r="B1484" s="62"/>
      <c r="C1484" s="62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150"/>
    </row>
    <row r="1485" spans="1:16" s="28" customFormat="1" x14ac:dyDescent="0.25">
      <c r="A1485" s="56"/>
      <c r="B1485" s="62"/>
      <c r="C1485" s="62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150"/>
    </row>
    <row r="1486" spans="1:16" s="28" customFormat="1" x14ac:dyDescent="0.25">
      <c r="A1486" s="56"/>
      <c r="B1486" s="62"/>
      <c r="C1486" s="62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150"/>
    </row>
    <row r="1487" spans="1:16" s="28" customFormat="1" x14ac:dyDescent="0.25">
      <c r="A1487" s="56"/>
      <c r="B1487" s="62"/>
      <c r="C1487" s="62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150"/>
    </row>
    <row r="1488" spans="1:16" s="28" customFormat="1" x14ac:dyDescent="0.25">
      <c r="A1488" s="56"/>
      <c r="B1488" s="62"/>
      <c r="C1488" s="62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150"/>
    </row>
    <row r="1489" spans="1:16" s="28" customFormat="1" x14ac:dyDescent="0.25">
      <c r="A1489" s="56"/>
      <c r="B1489" s="62"/>
      <c r="C1489" s="62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150"/>
    </row>
    <row r="1490" spans="1:16" s="28" customFormat="1" x14ac:dyDescent="0.25">
      <c r="A1490" s="56"/>
      <c r="B1490" s="62"/>
      <c r="C1490" s="62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150"/>
    </row>
    <row r="1491" spans="1:16" s="28" customFormat="1" x14ac:dyDescent="0.25">
      <c r="A1491" s="56"/>
      <c r="B1491" s="62"/>
      <c r="C1491" s="62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150"/>
    </row>
    <row r="1492" spans="1:16" s="28" customFormat="1" x14ac:dyDescent="0.25">
      <c r="A1492" s="56"/>
      <c r="B1492" s="62"/>
      <c r="C1492" s="62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150"/>
    </row>
    <row r="1493" spans="1:16" s="28" customFormat="1" x14ac:dyDescent="0.25">
      <c r="A1493" s="56"/>
      <c r="B1493" s="62"/>
      <c r="C1493" s="62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150"/>
    </row>
    <row r="1494" spans="1:16" s="28" customFormat="1" x14ac:dyDescent="0.25">
      <c r="A1494" s="56"/>
      <c r="B1494" s="62"/>
      <c r="C1494" s="62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150"/>
    </row>
    <row r="1495" spans="1:16" s="28" customFormat="1" x14ac:dyDescent="0.25">
      <c r="A1495" s="56"/>
      <c r="B1495" s="62"/>
      <c r="C1495" s="62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150"/>
    </row>
    <row r="1496" spans="1:16" s="28" customFormat="1" x14ac:dyDescent="0.25">
      <c r="A1496" s="56"/>
      <c r="B1496" s="62"/>
      <c r="C1496" s="62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150"/>
    </row>
    <row r="1497" spans="1:16" s="28" customFormat="1" x14ac:dyDescent="0.25">
      <c r="A1497" s="56"/>
      <c r="B1497" s="62"/>
      <c r="C1497" s="62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150"/>
    </row>
    <row r="1498" spans="1:16" s="28" customFormat="1" x14ac:dyDescent="0.25">
      <c r="A1498" s="56"/>
      <c r="B1498" s="62"/>
      <c r="C1498" s="62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150"/>
    </row>
    <row r="1499" spans="1:16" s="28" customFormat="1" x14ac:dyDescent="0.25">
      <c r="A1499" s="56"/>
      <c r="B1499" s="62"/>
      <c r="C1499" s="62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150"/>
    </row>
    <row r="1500" spans="1:16" s="28" customFormat="1" x14ac:dyDescent="0.25">
      <c r="A1500" s="56"/>
      <c r="B1500" s="62"/>
      <c r="C1500" s="62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150"/>
    </row>
    <row r="1501" spans="1:16" s="28" customFormat="1" x14ac:dyDescent="0.25">
      <c r="A1501" s="56"/>
      <c r="B1501" s="62"/>
      <c r="C1501" s="62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150"/>
    </row>
    <row r="1502" spans="1:16" s="28" customFormat="1" x14ac:dyDescent="0.25">
      <c r="A1502" s="56"/>
      <c r="B1502" s="62"/>
      <c r="C1502" s="62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150"/>
    </row>
    <row r="1503" spans="1:16" s="28" customFormat="1" x14ac:dyDescent="0.25">
      <c r="A1503" s="56"/>
      <c r="B1503" s="62"/>
      <c r="C1503" s="62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150"/>
    </row>
    <row r="1504" spans="1:16" s="28" customFormat="1" x14ac:dyDescent="0.25">
      <c r="A1504" s="56"/>
      <c r="B1504" s="62"/>
      <c r="C1504" s="62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150"/>
    </row>
    <row r="1505" spans="1:16" s="28" customFormat="1" x14ac:dyDescent="0.25">
      <c r="A1505" s="56"/>
      <c r="B1505" s="62"/>
      <c r="C1505" s="62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150"/>
    </row>
    <row r="1506" spans="1:16" s="28" customFormat="1" x14ac:dyDescent="0.25">
      <c r="A1506" s="56"/>
      <c r="B1506" s="62"/>
      <c r="C1506" s="62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150"/>
    </row>
    <row r="1507" spans="1:16" s="28" customFormat="1" x14ac:dyDescent="0.25">
      <c r="A1507" s="56"/>
      <c r="B1507" s="62"/>
      <c r="C1507" s="62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150"/>
    </row>
    <row r="1508" spans="1:16" s="28" customFormat="1" x14ac:dyDescent="0.25">
      <c r="A1508" s="56"/>
      <c r="B1508" s="62"/>
      <c r="C1508" s="62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150"/>
    </row>
    <row r="1509" spans="1:16" s="28" customFormat="1" x14ac:dyDescent="0.25">
      <c r="A1509" s="56"/>
      <c r="B1509" s="62"/>
      <c r="C1509" s="62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150"/>
    </row>
    <row r="1510" spans="1:16" s="28" customFormat="1" x14ac:dyDescent="0.25">
      <c r="A1510" s="56"/>
      <c r="B1510" s="62"/>
      <c r="C1510" s="62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150"/>
    </row>
    <row r="1511" spans="1:16" s="28" customFormat="1" x14ac:dyDescent="0.25">
      <c r="A1511" s="56"/>
      <c r="B1511" s="62"/>
      <c r="C1511" s="62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150"/>
    </row>
    <row r="1512" spans="1:16" s="28" customFormat="1" x14ac:dyDescent="0.25">
      <c r="A1512" s="56"/>
      <c r="B1512" s="62"/>
      <c r="C1512" s="62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150"/>
    </row>
    <row r="1513" spans="1:16" s="28" customFormat="1" x14ac:dyDescent="0.25">
      <c r="A1513" s="56"/>
      <c r="B1513" s="62"/>
      <c r="C1513" s="62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150"/>
    </row>
    <row r="1514" spans="1:16" s="28" customFormat="1" x14ac:dyDescent="0.25">
      <c r="A1514" s="56"/>
      <c r="B1514" s="62"/>
      <c r="C1514" s="62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150"/>
    </row>
    <row r="1515" spans="1:16" s="28" customFormat="1" x14ac:dyDescent="0.25">
      <c r="A1515" s="56"/>
      <c r="B1515" s="62"/>
      <c r="C1515" s="62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150"/>
    </row>
    <row r="1516" spans="1:16" s="28" customFormat="1" x14ac:dyDescent="0.25">
      <c r="A1516" s="56"/>
      <c r="B1516" s="62"/>
      <c r="C1516" s="62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150"/>
    </row>
    <row r="1517" spans="1:16" s="28" customFormat="1" x14ac:dyDescent="0.25">
      <c r="A1517" s="56"/>
      <c r="B1517" s="62"/>
      <c r="C1517" s="62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150"/>
    </row>
    <row r="1518" spans="1:16" s="28" customFormat="1" x14ac:dyDescent="0.25">
      <c r="A1518" s="56"/>
      <c r="B1518" s="62"/>
      <c r="C1518" s="62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150"/>
    </row>
    <row r="1519" spans="1:16" s="28" customFormat="1" x14ac:dyDescent="0.25">
      <c r="A1519" s="56"/>
      <c r="B1519" s="62"/>
      <c r="C1519" s="62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150"/>
    </row>
    <row r="1520" spans="1:16" s="28" customFormat="1" x14ac:dyDescent="0.25">
      <c r="A1520" s="56"/>
      <c r="B1520" s="62"/>
      <c r="C1520" s="62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150"/>
    </row>
    <row r="1521" spans="1:16" s="28" customFormat="1" x14ac:dyDescent="0.25">
      <c r="A1521" s="56"/>
      <c r="B1521" s="62"/>
      <c r="C1521" s="62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150"/>
    </row>
    <row r="1522" spans="1:16" s="28" customFormat="1" x14ac:dyDescent="0.25">
      <c r="A1522" s="56"/>
      <c r="B1522" s="62"/>
      <c r="C1522" s="62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150"/>
    </row>
    <row r="1523" spans="1:16" s="28" customFormat="1" x14ac:dyDescent="0.25">
      <c r="A1523" s="56"/>
      <c r="B1523" s="62"/>
      <c r="C1523" s="62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150"/>
    </row>
    <row r="1524" spans="1:16" s="28" customFormat="1" x14ac:dyDescent="0.25">
      <c r="A1524" s="56"/>
      <c r="B1524" s="62"/>
      <c r="C1524" s="62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150"/>
    </row>
    <row r="1525" spans="1:16" s="28" customFormat="1" x14ac:dyDescent="0.25">
      <c r="A1525" s="56"/>
      <c r="B1525" s="62"/>
      <c r="C1525" s="62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150"/>
    </row>
    <row r="1526" spans="1:16" s="28" customFormat="1" x14ac:dyDescent="0.25">
      <c r="A1526" s="56"/>
      <c r="B1526" s="62"/>
      <c r="C1526" s="62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150"/>
    </row>
    <row r="1527" spans="1:16" s="28" customFormat="1" x14ac:dyDescent="0.25">
      <c r="A1527" s="56"/>
      <c r="B1527" s="62"/>
      <c r="C1527" s="62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150"/>
    </row>
    <row r="1528" spans="1:16" s="28" customFormat="1" x14ac:dyDescent="0.25">
      <c r="A1528" s="56"/>
      <c r="B1528" s="62"/>
      <c r="C1528" s="62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150"/>
    </row>
    <row r="1529" spans="1:16" s="28" customFormat="1" x14ac:dyDescent="0.25">
      <c r="A1529" s="56"/>
      <c r="B1529" s="62"/>
      <c r="C1529" s="62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150"/>
    </row>
    <row r="1530" spans="1:16" s="28" customFormat="1" x14ac:dyDescent="0.25">
      <c r="A1530" s="56"/>
      <c r="B1530" s="62"/>
      <c r="C1530" s="62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150"/>
    </row>
    <row r="1531" spans="1:16" s="28" customFormat="1" x14ac:dyDescent="0.25">
      <c r="A1531" s="56"/>
      <c r="B1531" s="62"/>
      <c r="C1531" s="62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150"/>
    </row>
    <row r="1532" spans="1:16" s="28" customFormat="1" x14ac:dyDescent="0.25">
      <c r="A1532" s="56"/>
      <c r="B1532" s="62"/>
      <c r="C1532" s="62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150"/>
    </row>
    <row r="1533" spans="1:16" s="28" customFormat="1" x14ac:dyDescent="0.25">
      <c r="A1533" s="56"/>
      <c r="B1533" s="62"/>
      <c r="C1533" s="62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150"/>
    </row>
    <row r="1534" spans="1:16" s="28" customFormat="1" x14ac:dyDescent="0.25">
      <c r="A1534" s="56"/>
      <c r="B1534" s="62"/>
      <c r="C1534" s="62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150"/>
    </row>
    <row r="1535" spans="1:16" s="28" customFormat="1" x14ac:dyDescent="0.25">
      <c r="A1535" s="56"/>
      <c r="B1535" s="62"/>
      <c r="C1535" s="62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150"/>
    </row>
    <row r="1536" spans="1:16" s="28" customFormat="1" x14ac:dyDescent="0.25">
      <c r="A1536" s="56"/>
      <c r="B1536" s="62"/>
      <c r="C1536" s="62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150"/>
    </row>
    <row r="1537" spans="1:16" s="28" customFormat="1" x14ac:dyDescent="0.25">
      <c r="A1537" s="56"/>
      <c r="B1537" s="62"/>
      <c r="C1537" s="62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150"/>
    </row>
    <row r="1538" spans="1:16" s="28" customFormat="1" x14ac:dyDescent="0.25">
      <c r="A1538" s="56"/>
      <c r="B1538" s="62"/>
      <c r="C1538" s="62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150"/>
    </row>
    <row r="1539" spans="1:16" s="28" customFormat="1" x14ac:dyDescent="0.25">
      <c r="A1539" s="56"/>
      <c r="B1539" s="62"/>
      <c r="C1539" s="62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150"/>
    </row>
    <row r="1540" spans="1:16" s="28" customFormat="1" x14ac:dyDescent="0.25">
      <c r="A1540" s="56"/>
      <c r="B1540" s="62"/>
      <c r="C1540" s="62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150"/>
    </row>
    <row r="1541" spans="1:16" s="28" customFormat="1" x14ac:dyDescent="0.25">
      <c r="A1541" s="56"/>
      <c r="B1541" s="62"/>
      <c r="C1541" s="62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150"/>
    </row>
    <row r="1542" spans="1:16" s="28" customFormat="1" x14ac:dyDescent="0.25">
      <c r="A1542" s="56"/>
      <c r="B1542" s="62"/>
      <c r="C1542" s="62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150"/>
    </row>
    <row r="1543" spans="1:16" s="28" customFormat="1" x14ac:dyDescent="0.25">
      <c r="A1543" s="56"/>
      <c r="B1543" s="62"/>
      <c r="C1543" s="62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150"/>
    </row>
    <row r="1544" spans="1:16" s="28" customFormat="1" x14ac:dyDescent="0.25">
      <c r="A1544" s="56"/>
      <c r="B1544" s="62"/>
      <c r="C1544" s="62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150"/>
    </row>
    <row r="1545" spans="1:16" s="28" customFormat="1" x14ac:dyDescent="0.25">
      <c r="A1545" s="56"/>
      <c r="B1545" s="62"/>
      <c r="C1545" s="62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150"/>
    </row>
    <row r="1546" spans="1:16" s="28" customFormat="1" x14ac:dyDescent="0.25">
      <c r="A1546" s="56"/>
      <c r="B1546" s="62"/>
      <c r="C1546" s="62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150"/>
    </row>
    <row r="1547" spans="1:16" s="28" customFormat="1" x14ac:dyDescent="0.25">
      <c r="A1547" s="56"/>
      <c r="B1547" s="62"/>
      <c r="C1547" s="62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150"/>
    </row>
    <row r="1548" spans="1:16" s="28" customFormat="1" x14ac:dyDescent="0.25">
      <c r="A1548" s="56"/>
      <c r="B1548" s="62"/>
      <c r="C1548" s="62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150"/>
    </row>
    <row r="1549" spans="1:16" s="28" customFormat="1" x14ac:dyDescent="0.25">
      <c r="A1549" s="56"/>
      <c r="B1549" s="62"/>
      <c r="C1549" s="62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150"/>
    </row>
    <row r="1550" spans="1:16" s="28" customFormat="1" x14ac:dyDescent="0.25">
      <c r="A1550" s="56"/>
      <c r="B1550" s="62"/>
      <c r="C1550" s="62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150"/>
    </row>
    <row r="1551" spans="1:16" s="28" customFormat="1" x14ac:dyDescent="0.25">
      <c r="A1551" s="56"/>
      <c r="B1551" s="62"/>
      <c r="C1551" s="62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150"/>
    </row>
    <row r="1552" spans="1:16" s="28" customFormat="1" x14ac:dyDescent="0.25">
      <c r="A1552" s="56"/>
      <c r="B1552" s="62"/>
      <c r="C1552" s="62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150"/>
    </row>
    <row r="1553" spans="1:16" s="28" customFormat="1" x14ac:dyDescent="0.25">
      <c r="A1553" s="56"/>
      <c r="B1553" s="62"/>
      <c r="C1553" s="62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150"/>
    </row>
    <row r="1554" spans="1:16" s="28" customFormat="1" x14ac:dyDescent="0.25">
      <c r="A1554" s="56"/>
      <c r="B1554" s="62"/>
      <c r="C1554" s="62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150"/>
    </row>
    <row r="1555" spans="1:16" s="28" customFormat="1" x14ac:dyDescent="0.25">
      <c r="A1555" s="56"/>
      <c r="B1555" s="62"/>
      <c r="C1555" s="62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150"/>
    </row>
    <row r="1556" spans="1:16" s="28" customFormat="1" x14ac:dyDescent="0.25">
      <c r="A1556" s="56"/>
      <c r="B1556" s="62"/>
      <c r="C1556" s="62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150"/>
    </row>
    <row r="1557" spans="1:16" s="28" customFormat="1" x14ac:dyDescent="0.25">
      <c r="A1557" s="56"/>
      <c r="B1557" s="62"/>
      <c r="C1557" s="62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150"/>
    </row>
    <row r="1558" spans="1:16" s="28" customFormat="1" x14ac:dyDescent="0.25">
      <c r="A1558" s="56"/>
      <c r="B1558" s="62"/>
      <c r="C1558" s="62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150"/>
    </row>
    <row r="1559" spans="1:16" s="28" customFormat="1" x14ac:dyDescent="0.25">
      <c r="A1559" s="56"/>
      <c r="B1559" s="62"/>
      <c r="C1559" s="62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150"/>
    </row>
    <row r="1560" spans="1:16" s="28" customFormat="1" x14ac:dyDescent="0.25">
      <c r="A1560" s="56"/>
      <c r="B1560" s="62"/>
      <c r="C1560" s="62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150"/>
    </row>
    <row r="1561" spans="1:16" s="28" customFormat="1" x14ac:dyDescent="0.25">
      <c r="A1561" s="56"/>
      <c r="B1561" s="62"/>
      <c r="C1561" s="62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150"/>
    </row>
    <row r="1562" spans="1:16" s="28" customFormat="1" x14ac:dyDescent="0.25">
      <c r="A1562" s="56"/>
      <c r="B1562" s="62"/>
      <c r="C1562" s="62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150"/>
    </row>
    <row r="1563" spans="1:16" s="28" customFormat="1" x14ac:dyDescent="0.25">
      <c r="A1563" s="56"/>
      <c r="B1563" s="62"/>
      <c r="C1563" s="62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150"/>
    </row>
    <row r="1564" spans="1:16" s="28" customFormat="1" x14ac:dyDescent="0.25">
      <c r="A1564" s="56"/>
      <c r="B1564" s="62"/>
      <c r="C1564" s="62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150"/>
    </row>
    <row r="1565" spans="1:16" s="28" customFormat="1" x14ac:dyDescent="0.25">
      <c r="A1565" s="56"/>
      <c r="B1565" s="62"/>
      <c r="C1565" s="62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150"/>
    </row>
    <row r="1566" spans="1:16" s="28" customFormat="1" x14ac:dyDescent="0.25">
      <c r="A1566" s="56"/>
      <c r="B1566" s="62"/>
      <c r="C1566" s="62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150"/>
    </row>
    <row r="1567" spans="1:16" s="28" customFormat="1" x14ac:dyDescent="0.25">
      <c r="A1567" s="56"/>
      <c r="B1567" s="62"/>
      <c r="C1567" s="62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150"/>
    </row>
    <row r="1568" spans="1:16" s="28" customFormat="1" x14ac:dyDescent="0.25">
      <c r="A1568" s="56"/>
      <c r="B1568" s="62"/>
      <c r="C1568" s="62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150"/>
    </row>
    <row r="1569" spans="1:16" s="28" customFormat="1" x14ac:dyDescent="0.25">
      <c r="A1569" s="56"/>
      <c r="B1569" s="62"/>
      <c r="C1569" s="62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150"/>
    </row>
    <row r="1570" spans="1:16" s="28" customFormat="1" x14ac:dyDescent="0.25">
      <c r="A1570" s="56"/>
      <c r="B1570" s="62"/>
      <c r="C1570" s="62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150"/>
    </row>
    <row r="1571" spans="1:16" s="28" customFormat="1" x14ac:dyDescent="0.25">
      <c r="A1571" s="56"/>
      <c r="B1571" s="62"/>
      <c r="C1571" s="62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150"/>
    </row>
    <row r="1572" spans="1:16" s="28" customFormat="1" x14ac:dyDescent="0.25">
      <c r="A1572" s="56"/>
      <c r="B1572" s="62"/>
      <c r="C1572" s="62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150"/>
    </row>
    <row r="1573" spans="1:16" s="28" customFormat="1" x14ac:dyDescent="0.25">
      <c r="A1573" s="56"/>
      <c r="B1573" s="62"/>
      <c r="C1573" s="62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150"/>
    </row>
    <row r="1574" spans="1:16" s="28" customFormat="1" x14ac:dyDescent="0.25">
      <c r="A1574" s="56"/>
      <c r="B1574" s="62"/>
      <c r="C1574" s="62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150"/>
    </row>
    <row r="1575" spans="1:16" s="28" customFormat="1" x14ac:dyDescent="0.25">
      <c r="A1575" s="56"/>
      <c r="B1575" s="62"/>
      <c r="C1575" s="62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150"/>
    </row>
    <row r="1576" spans="1:16" s="28" customFormat="1" x14ac:dyDescent="0.25">
      <c r="A1576" s="56"/>
      <c r="B1576" s="62"/>
      <c r="C1576" s="62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150"/>
    </row>
    <row r="1577" spans="1:16" s="28" customFormat="1" x14ac:dyDescent="0.25">
      <c r="A1577" s="56"/>
      <c r="B1577" s="62"/>
      <c r="C1577" s="62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150"/>
    </row>
    <row r="1578" spans="1:16" s="28" customFormat="1" x14ac:dyDescent="0.25">
      <c r="A1578" s="56"/>
      <c r="B1578" s="62"/>
      <c r="C1578" s="62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150"/>
    </row>
    <row r="1579" spans="1:16" s="28" customFormat="1" x14ac:dyDescent="0.25">
      <c r="A1579" s="56"/>
      <c r="B1579" s="62"/>
      <c r="C1579" s="62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150"/>
    </row>
    <row r="1580" spans="1:16" s="28" customFormat="1" x14ac:dyDescent="0.25">
      <c r="A1580" s="56"/>
      <c r="B1580" s="62"/>
      <c r="C1580" s="62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150"/>
    </row>
    <row r="1581" spans="1:16" s="28" customFormat="1" x14ac:dyDescent="0.25">
      <c r="A1581" s="56"/>
      <c r="B1581" s="62"/>
      <c r="C1581" s="62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150"/>
    </row>
    <row r="1582" spans="1:16" s="28" customFormat="1" x14ac:dyDescent="0.25">
      <c r="A1582" s="56"/>
      <c r="B1582" s="62"/>
      <c r="C1582" s="62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150"/>
    </row>
    <row r="1583" spans="1:16" s="28" customFormat="1" x14ac:dyDescent="0.25">
      <c r="A1583" s="56"/>
      <c r="B1583" s="62"/>
      <c r="C1583" s="62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150"/>
    </row>
    <row r="1584" spans="1:16" s="28" customFormat="1" x14ac:dyDescent="0.25">
      <c r="A1584" s="56"/>
      <c r="B1584" s="62"/>
      <c r="C1584" s="62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150"/>
    </row>
    <row r="1585" spans="1:16" s="28" customFormat="1" x14ac:dyDescent="0.25">
      <c r="A1585" s="56"/>
      <c r="B1585" s="62"/>
      <c r="C1585" s="62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150"/>
    </row>
    <row r="1586" spans="1:16" s="28" customFormat="1" x14ac:dyDescent="0.25">
      <c r="A1586" s="56"/>
      <c r="B1586" s="62"/>
      <c r="C1586" s="62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150"/>
    </row>
    <row r="1587" spans="1:16" s="28" customFormat="1" x14ac:dyDescent="0.25">
      <c r="A1587" s="56"/>
      <c r="B1587" s="62"/>
      <c r="C1587" s="62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150"/>
    </row>
    <row r="1588" spans="1:16" s="28" customFormat="1" x14ac:dyDescent="0.25">
      <c r="A1588" s="56"/>
      <c r="B1588" s="62"/>
      <c r="C1588" s="62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150"/>
    </row>
    <row r="1589" spans="1:16" s="28" customFormat="1" x14ac:dyDescent="0.25">
      <c r="A1589" s="56"/>
      <c r="B1589" s="62"/>
      <c r="C1589" s="62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150"/>
    </row>
    <row r="1590" spans="1:16" s="28" customFormat="1" x14ac:dyDescent="0.25">
      <c r="A1590" s="56"/>
      <c r="B1590" s="62"/>
      <c r="C1590" s="62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150"/>
    </row>
    <row r="1591" spans="1:16" s="28" customFormat="1" x14ac:dyDescent="0.25">
      <c r="A1591" s="56"/>
      <c r="B1591" s="62"/>
      <c r="C1591" s="62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150"/>
    </row>
    <row r="1592" spans="1:16" s="28" customFormat="1" x14ac:dyDescent="0.25">
      <c r="A1592" s="56"/>
      <c r="B1592" s="62"/>
      <c r="C1592" s="62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150"/>
    </row>
    <row r="1593" spans="1:16" s="28" customFormat="1" x14ac:dyDescent="0.25">
      <c r="A1593" s="56"/>
      <c r="B1593" s="62"/>
      <c r="C1593" s="62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150"/>
    </row>
    <row r="1594" spans="1:16" s="28" customFormat="1" x14ac:dyDescent="0.25">
      <c r="A1594" s="56"/>
      <c r="B1594" s="62"/>
      <c r="C1594" s="62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150"/>
    </row>
    <row r="1595" spans="1:16" s="28" customFormat="1" x14ac:dyDescent="0.25">
      <c r="A1595" s="56"/>
      <c r="B1595" s="62"/>
      <c r="C1595" s="62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150"/>
    </row>
    <row r="1596" spans="1:16" s="28" customFormat="1" x14ac:dyDescent="0.25">
      <c r="A1596" s="56"/>
      <c r="B1596" s="62"/>
      <c r="C1596" s="62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150"/>
    </row>
    <row r="1597" spans="1:16" s="28" customFormat="1" x14ac:dyDescent="0.25">
      <c r="A1597" s="56"/>
      <c r="B1597" s="62"/>
      <c r="C1597" s="62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150"/>
    </row>
    <row r="1598" spans="1:16" s="28" customFormat="1" x14ac:dyDescent="0.25">
      <c r="A1598" s="56"/>
      <c r="B1598" s="62"/>
      <c r="C1598" s="62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150"/>
    </row>
    <row r="1599" spans="1:16" s="28" customFormat="1" x14ac:dyDescent="0.25">
      <c r="A1599" s="56"/>
      <c r="B1599" s="62"/>
      <c r="C1599" s="62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150"/>
    </row>
    <row r="1600" spans="1:16" s="28" customFormat="1" x14ac:dyDescent="0.25">
      <c r="A1600" s="56"/>
      <c r="B1600" s="62"/>
      <c r="C1600" s="62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150"/>
    </row>
    <row r="1601" spans="1:16" s="28" customFormat="1" x14ac:dyDescent="0.25">
      <c r="A1601" s="56"/>
      <c r="B1601" s="62"/>
      <c r="C1601" s="62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150"/>
    </row>
    <row r="1602" spans="1:16" s="28" customFormat="1" x14ac:dyDescent="0.25">
      <c r="A1602" s="56"/>
      <c r="B1602" s="62"/>
      <c r="C1602" s="62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150"/>
    </row>
    <row r="1603" spans="1:16" s="28" customFormat="1" x14ac:dyDescent="0.25">
      <c r="A1603" s="56"/>
      <c r="B1603" s="62"/>
      <c r="C1603" s="62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150"/>
    </row>
    <row r="1604" spans="1:16" s="28" customFormat="1" x14ac:dyDescent="0.25">
      <c r="A1604" s="56"/>
      <c r="B1604" s="62"/>
      <c r="C1604" s="62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150"/>
    </row>
    <row r="1605" spans="1:16" s="28" customFormat="1" x14ac:dyDescent="0.25">
      <c r="A1605" s="56"/>
      <c r="B1605" s="62"/>
      <c r="C1605" s="62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150"/>
    </row>
    <row r="1606" spans="1:16" s="28" customFormat="1" x14ac:dyDescent="0.25">
      <c r="A1606" s="56"/>
      <c r="B1606" s="62"/>
      <c r="C1606" s="62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150"/>
    </row>
    <row r="1607" spans="1:16" s="28" customFormat="1" x14ac:dyDescent="0.25">
      <c r="A1607" s="56"/>
      <c r="B1607" s="62"/>
      <c r="C1607" s="62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150"/>
    </row>
    <row r="1608" spans="1:16" s="28" customFormat="1" x14ac:dyDescent="0.25">
      <c r="A1608" s="56"/>
      <c r="B1608" s="62"/>
      <c r="C1608" s="62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150"/>
    </row>
    <row r="1609" spans="1:16" s="28" customFormat="1" x14ac:dyDescent="0.25">
      <c r="A1609" s="56"/>
      <c r="B1609" s="62"/>
      <c r="C1609" s="62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150"/>
    </row>
    <row r="1610" spans="1:16" s="28" customFormat="1" x14ac:dyDescent="0.25">
      <c r="A1610" s="56"/>
      <c r="B1610" s="62"/>
      <c r="C1610" s="62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150"/>
    </row>
    <row r="1611" spans="1:16" s="28" customFormat="1" x14ac:dyDescent="0.25">
      <c r="A1611" s="56"/>
      <c r="B1611" s="62"/>
      <c r="C1611" s="62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150"/>
    </row>
    <row r="1612" spans="1:16" s="28" customFormat="1" x14ac:dyDescent="0.25">
      <c r="A1612" s="56"/>
      <c r="B1612" s="62"/>
      <c r="C1612" s="62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150"/>
    </row>
    <row r="1613" spans="1:16" s="28" customFormat="1" x14ac:dyDescent="0.25">
      <c r="A1613" s="56"/>
      <c r="B1613" s="62"/>
      <c r="C1613" s="62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150"/>
    </row>
    <row r="1614" spans="1:16" s="28" customFormat="1" x14ac:dyDescent="0.25">
      <c r="A1614" s="56"/>
      <c r="B1614" s="62"/>
      <c r="C1614" s="62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150"/>
    </row>
    <row r="1615" spans="1:16" s="28" customFormat="1" x14ac:dyDescent="0.25">
      <c r="A1615" s="56"/>
      <c r="B1615" s="62"/>
      <c r="C1615" s="62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150"/>
    </row>
    <row r="1616" spans="1:16" s="28" customFormat="1" x14ac:dyDescent="0.25">
      <c r="A1616" s="56"/>
      <c r="B1616" s="62"/>
      <c r="C1616" s="62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150"/>
    </row>
    <row r="1617" spans="1:16" s="28" customFormat="1" x14ac:dyDescent="0.25">
      <c r="A1617" s="56"/>
      <c r="B1617" s="62"/>
      <c r="C1617" s="62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150"/>
    </row>
    <row r="1618" spans="1:16" s="28" customFormat="1" x14ac:dyDescent="0.25">
      <c r="A1618" s="56"/>
      <c r="B1618" s="62"/>
      <c r="C1618" s="62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150"/>
    </row>
    <row r="1619" spans="1:16" s="28" customFormat="1" x14ac:dyDescent="0.25">
      <c r="A1619" s="56"/>
      <c r="B1619" s="62"/>
      <c r="C1619" s="62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150"/>
    </row>
    <row r="1620" spans="1:16" s="28" customFormat="1" x14ac:dyDescent="0.25">
      <c r="A1620" s="56"/>
      <c r="B1620" s="62"/>
      <c r="C1620" s="62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150"/>
    </row>
    <row r="1621" spans="1:16" s="28" customFormat="1" x14ac:dyDescent="0.25">
      <c r="A1621" s="56"/>
      <c r="B1621" s="62"/>
      <c r="C1621" s="62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150"/>
    </row>
    <row r="1622" spans="1:16" s="28" customFormat="1" x14ac:dyDescent="0.25">
      <c r="A1622" s="56"/>
      <c r="B1622" s="62"/>
      <c r="C1622" s="62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150"/>
    </row>
    <row r="1623" spans="1:16" s="28" customFormat="1" x14ac:dyDescent="0.25">
      <c r="A1623" s="56"/>
      <c r="B1623" s="62"/>
      <c r="C1623" s="62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150"/>
    </row>
    <row r="1624" spans="1:16" s="28" customFormat="1" x14ac:dyDescent="0.25">
      <c r="A1624" s="56"/>
      <c r="B1624" s="62"/>
      <c r="C1624" s="62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150"/>
    </row>
    <row r="1625" spans="1:16" s="28" customFormat="1" x14ac:dyDescent="0.25">
      <c r="A1625" s="56"/>
      <c r="B1625" s="62"/>
      <c r="C1625" s="62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150"/>
    </row>
    <row r="1626" spans="1:16" s="28" customFormat="1" x14ac:dyDescent="0.25">
      <c r="A1626" s="56"/>
      <c r="B1626" s="62"/>
      <c r="C1626" s="62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150"/>
    </row>
    <row r="1627" spans="1:16" s="28" customFormat="1" x14ac:dyDescent="0.25">
      <c r="A1627" s="56"/>
      <c r="B1627" s="62"/>
      <c r="C1627" s="62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150"/>
    </row>
    <row r="1628" spans="1:16" s="28" customFormat="1" x14ac:dyDescent="0.25">
      <c r="A1628" s="56"/>
      <c r="B1628" s="62"/>
      <c r="C1628" s="62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150"/>
    </row>
    <row r="1629" spans="1:16" s="28" customFormat="1" x14ac:dyDescent="0.25">
      <c r="A1629" s="56"/>
      <c r="B1629" s="62"/>
      <c r="C1629" s="62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150"/>
    </row>
    <row r="1630" spans="1:16" s="28" customFormat="1" x14ac:dyDescent="0.25">
      <c r="A1630" s="56"/>
      <c r="B1630" s="62"/>
      <c r="C1630" s="62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150"/>
    </row>
    <row r="1631" spans="1:16" s="28" customFormat="1" x14ac:dyDescent="0.25">
      <c r="A1631" s="56"/>
      <c r="B1631" s="62"/>
      <c r="C1631" s="62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150"/>
    </row>
    <row r="1632" spans="1:16" s="28" customFormat="1" x14ac:dyDescent="0.25">
      <c r="A1632" s="56"/>
      <c r="B1632" s="62"/>
      <c r="C1632" s="62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150"/>
    </row>
    <row r="1633" spans="1:16" s="28" customFormat="1" x14ac:dyDescent="0.25">
      <c r="A1633" s="56"/>
      <c r="B1633" s="62"/>
      <c r="C1633" s="62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150"/>
    </row>
    <row r="1634" spans="1:16" s="28" customFormat="1" x14ac:dyDescent="0.25">
      <c r="A1634" s="56"/>
      <c r="B1634" s="62"/>
      <c r="C1634" s="62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150"/>
    </row>
    <row r="1635" spans="1:16" s="28" customFormat="1" x14ac:dyDescent="0.25">
      <c r="A1635" s="56"/>
      <c r="B1635" s="62"/>
      <c r="C1635" s="62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150"/>
    </row>
    <row r="1636" spans="1:16" s="28" customFormat="1" x14ac:dyDescent="0.25">
      <c r="A1636" s="56"/>
      <c r="B1636" s="62"/>
      <c r="C1636" s="62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150"/>
    </row>
    <row r="1637" spans="1:16" s="28" customFormat="1" x14ac:dyDescent="0.25">
      <c r="A1637" s="56"/>
      <c r="B1637" s="62"/>
      <c r="C1637" s="62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150"/>
    </row>
    <row r="1638" spans="1:16" s="28" customFormat="1" x14ac:dyDescent="0.25">
      <c r="A1638" s="56"/>
      <c r="B1638" s="62"/>
      <c r="C1638" s="62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150"/>
    </row>
    <row r="1639" spans="1:16" s="28" customFormat="1" x14ac:dyDescent="0.25">
      <c r="A1639" s="56"/>
      <c r="B1639" s="62"/>
      <c r="C1639" s="62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150"/>
    </row>
    <row r="1640" spans="1:16" s="28" customFormat="1" x14ac:dyDescent="0.25">
      <c r="A1640" s="56"/>
      <c r="B1640" s="62"/>
      <c r="C1640" s="62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150"/>
    </row>
    <row r="1641" spans="1:16" s="28" customFormat="1" x14ac:dyDescent="0.25">
      <c r="A1641" s="56"/>
      <c r="B1641" s="62"/>
      <c r="C1641" s="62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150"/>
    </row>
    <row r="1642" spans="1:16" s="28" customFormat="1" x14ac:dyDescent="0.25">
      <c r="A1642" s="56"/>
      <c r="B1642" s="62"/>
      <c r="C1642" s="62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150"/>
    </row>
    <row r="1643" spans="1:16" s="28" customFormat="1" x14ac:dyDescent="0.25">
      <c r="A1643" s="56"/>
      <c r="B1643" s="62"/>
      <c r="C1643" s="62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150"/>
    </row>
    <row r="1644" spans="1:16" s="28" customFormat="1" x14ac:dyDescent="0.25">
      <c r="A1644" s="56"/>
      <c r="B1644" s="62"/>
      <c r="C1644" s="62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150"/>
    </row>
    <row r="1645" spans="1:16" s="28" customFormat="1" x14ac:dyDescent="0.25">
      <c r="A1645" s="56"/>
      <c r="B1645" s="62"/>
      <c r="C1645" s="62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150"/>
    </row>
    <row r="1646" spans="1:16" s="28" customFormat="1" x14ac:dyDescent="0.25">
      <c r="A1646" s="56"/>
      <c r="B1646" s="62"/>
      <c r="C1646" s="62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150"/>
    </row>
    <row r="1647" spans="1:16" s="28" customFormat="1" x14ac:dyDescent="0.25">
      <c r="A1647" s="56"/>
      <c r="B1647" s="62"/>
      <c r="C1647" s="62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150"/>
    </row>
    <row r="1648" spans="1:16" s="28" customFormat="1" x14ac:dyDescent="0.25">
      <c r="A1648" s="56"/>
      <c r="B1648" s="62"/>
      <c r="C1648" s="62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150"/>
    </row>
    <row r="1649" spans="1:16" s="28" customFormat="1" x14ac:dyDescent="0.25">
      <c r="A1649" s="56"/>
      <c r="B1649" s="62"/>
      <c r="C1649" s="62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150"/>
    </row>
    <row r="1650" spans="1:16" s="28" customFormat="1" x14ac:dyDescent="0.25">
      <c r="A1650" s="56"/>
      <c r="B1650" s="62"/>
      <c r="C1650" s="62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150"/>
    </row>
    <row r="1651" spans="1:16" s="28" customFormat="1" x14ac:dyDescent="0.25">
      <c r="A1651" s="56"/>
      <c r="B1651" s="62"/>
      <c r="C1651" s="62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150"/>
    </row>
    <row r="1652" spans="1:16" s="28" customFormat="1" x14ac:dyDescent="0.25">
      <c r="A1652" s="56"/>
      <c r="B1652" s="62"/>
      <c r="C1652" s="62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150"/>
    </row>
    <row r="1653" spans="1:16" s="28" customFormat="1" x14ac:dyDescent="0.25">
      <c r="A1653" s="56"/>
      <c r="B1653" s="62"/>
      <c r="C1653" s="62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150"/>
    </row>
    <row r="1654" spans="1:16" s="28" customFormat="1" x14ac:dyDescent="0.25">
      <c r="A1654" s="56"/>
      <c r="B1654" s="62"/>
      <c r="C1654" s="62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150"/>
    </row>
    <row r="1655" spans="1:16" s="28" customFormat="1" x14ac:dyDescent="0.25">
      <c r="A1655" s="56"/>
      <c r="B1655" s="62"/>
      <c r="C1655" s="62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150"/>
    </row>
    <row r="1656" spans="1:16" s="28" customFormat="1" x14ac:dyDescent="0.25">
      <c r="A1656" s="56"/>
      <c r="B1656" s="62"/>
      <c r="C1656" s="62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150"/>
    </row>
    <row r="1657" spans="1:16" s="28" customFormat="1" x14ac:dyDescent="0.25">
      <c r="A1657" s="56"/>
      <c r="B1657" s="62"/>
      <c r="C1657" s="62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150"/>
    </row>
    <row r="1658" spans="1:16" s="28" customFormat="1" x14ac:dyDescent="0.25">
      <c r="A1658" s="56"/>
      <c r="B1658" s="62"/>
      <c r="C1658" s="62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150"/>
    </row>
    <row r="1659" spans="1:16" s="28" customFormat="1" x14ac:dyDescent="0.25">
      <c r="A1659" s="56"/>
      <c r="B1659" s="62"/>
      <c r="C1659" s="62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150"/>
    </row>
    <row r="1660" spans="1:16" s="28" customFormat="1" x14ac:dyDescent="0.25">
      <c r="A1660" s="56"/>
      <c r="B1660" s="62"/>
      <c r="C1660" s="62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150"/>
    </row>
    <row r="1661" spans="1:16" s="28" customFormat="1" x14ac:dyDescent="0.25">
      <c r="A1661" s="56"/>
      <c r="B1661" s="62"/>
      <c r="C1661" s="62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150"/>
    </row>
    <row r="1662" spans="1:16" s="28" customFormat="1" x14ac:dyDescent="0.25">
      <c r="A1662" s="56"/>
      <c r="B1662" s="62"/>
      <c r="C1662" s="62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150"/>
    </row>
    <row r="1663" spans="1:16" s="28" customFormat="1" x14ac:dyDescent="0.25">
      <c r="A1663" s="56"/>
      <c r="B1663" s="62"/>
      <c r="C1663" s="62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150"/>
    </row>
    <row r="1664" spans="1:16" s="28" customFormat="1" x14ac:dyDescent="0.25">
      <c r="A1664" s="56"/>
      <c r="B1664" s="62"/>
      <c r="C1664" s="62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150"/>
    </row>
    <row r="1665" spans="1:16" s="28" customFormat="1" x14ac:dyDescent="0.25">
      <c r="A1665" s="56"/>
      <c r="B1665" s="62"/>
      <c r="C1665" s="62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150"/>
    </row>
    <row r="1666" spans="1:16" s="28" customFormat="1" x14ac:dyDescent="0.25">
      <c r="A1666" s="56"/>
      <c r="B1666" s="62"/>
      <c r="C1666" s="62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150"/>
    </row>
    <row r="1667" spans="1:16" s="28" customFormat="1" x14ac:dyDescent="0.25">
      <c r="A1667" s="56"/>
      <c r="B1667" s="62"/>
      <c r="C1667" s="62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150"/>
    </row>
    <row r="1668" spans="1:16" s="28" customFormat="1" x14ac:dyDescent="0.25">
      <c r="A1668" s="56"/>
      <c r="B1668" s="62"/>
      <c r="C1668" s="62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150"/>
    </row>
    <row r="1669" spans="1:16" s="28" customFormat="1" x14ac:dyDescent="0.25">
      <c r="A1669" s="56"/>
      <c r="B1669" s="62"/>
      <c r="C1669" s="62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150"/>
    </row>
    <row r="1670" spans="1:16" s="28" customFormat="1" x14ac:dyDescent="0.25">
      <c r="A1670" s="56"/>
      <c r="B1670" s="62"/>
      <c r="C1670" s="62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150"/>
    </row>
    <row r="1671" spans="1:16" s="28" customFormat="1" x14ac:dyDescent="0.25">
      <c r="A1671" s="56"/>
      <c r="B1671" s="62"/>
      <c r="C1671" s="62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150"/>
    </row>
    <row r="1672" spans="1:16" s="28" customFormat="1" x14ac:dyDescent="0.25">
      <c r="A1672" s="56"/>
      <c r="B1672" s="62"/>
      <c r="C1672" s="62"/>
      <c r="D1672" s="35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150"/>
    </row>
    <row r="1673" spans="1:16" s="28" customFormat="1" x14ac:dyDescent="0.25">
      <c r="A1673" s="56"/>
      <c r="B1673" s="62"/>
      <c r="C1673" s="62"/>
      <c r="D1673" s="35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150"/>
    </row>
    <row r="1674" spans="1:16" s="28" customFormat="1" x14ac:dyDescent="0.25">
      <c r="A1674" s="56"/>
      <c r="B1674" s="62"/>
      <c r="C1674" s="62"/>
      <c r="D1674" s="35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150"/>
    </row>
    <row r="1675" spans="1:16" s="28" customFormat="1" x14ac:dyDescent="0.25">
      <c r="A1675" s="56"/>
      <c r="B1675" s="62"/>
      <c r="C1675" s="62"/>
      <c r="D1675" s="35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150"/>
    </row>
    <row r="1676" spans="1:16" s="28" customFormat="1" x14ac:dyDescent="0.25">
      <c r="A1676" s="56"/>
      <c r="B1676" s="62"/>
      <c r="C1676" s="62"/>
      <c r="D1676" s="35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150"/>
    </row>
    <row r="1677" spans="1:16" s="28" customFormat="1" x14ac:dyDescent="0.25">
      <c r="A1677" s="56"/>
      <c r="B1677" s="62"/>
      <c r="C1677" s="62"/>
      <c r="D1677" s="35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150"/>
    </row>
  </sheetData>
  <mergeCells count="23">
    <mergeCell ref="M15:N15"/>
    <mergeCell ref="O15:O16"/>
    <mergeCell ref="K3:P3"/>
    <mergeCell ref="K4:P4"/>
    <mergeCell ref="K5:P5"/>
    <mergeCell ref="K6:P6"/>
    <mergeCell ref="K8:P8"/>
    <mergeCell ref="A303:D303"/>
    <mergeCell ref="A10:P10"/>
    <mergeCell ref="A14:A16"/>
    <mergeCell ref="C14:C16"/>
    <mergeCell ref="B14:B16"/>
    <mergeCell ref="D14:D16"/>
    <mergeCell ref="G15:H15"/>
    <mergeCell ref="J14:O14"/>
    <mergeCell ref="I15:I16"/>
    <mergeCell ref="P14:P16"/>
    <mergeCell ref="J15:J16"/>
    <mergeCell ref="K15:K16"/>
    <mergeCell ref="E15:E16"/>
    <mergeCell ref="F15:F16"/>
    <mergeCell ref="E14:I14"/>
    <mergeCell ref="L15:L16"/>
  </mergeCells>
  <phoneticPr fontId="3" type="noConversion"/>
  <printOptions horizontalCentered="1"/>
  <pageMargins left="0.19685039370078741" right="0" top="0.78740157480314965" bottom="0.59055118110236227" header="0.59055118110236227" footer="0.31496062992125984"/>
  <pageSetup paperSize="9" scale="44" fitToHeight="100" orientation="landscape" useFirstPageNumber="1" r:id="rId1"/>
  <headerFooter scaleWithDoc="0" alignWithMargins="0">
    <oddHeader xml:space="preserve">&amp;R
</oddHeader>
    <oddFooter>&amp;R&amp;9Сторінка &amp;P</oddFooter>
  </headerFooter>
  <rowBreaks count="3" manualBreakCount="3">
    <brk id="34" max="16" man="1"/>
    <brk id="60" max="16" man="1"/>
    <brk id="29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S244"/>
  <sheetViews>
    <sheetView showGridLines="0" showZeros="0" tabSelected="1" view="pageBreakPreview" topLeftCell="A226" zoomScale="55" zoomScaleNormal="87" zoomScaleSheetLayoutView="55" workbookViewId="0">
      <selection activeCell="D214" sqref="D214:O229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3.1640625" style="4" customWidth="1"/>
    <col min="5" max="5" width="23.83203125" style="4" customWidth="1"/>
    <col min="6" max="6" width="22.33203125" style="4" customWidth="1"/>
    <col min="7" max="7" width="20.1640625" style="4" customWidth="1"/>
    <col min="8" max="8" width="19.6640625" style="4" customWidth="1"/>
    <col min="9" max="9" width="21.33203125" style="4" bestFit="1" customWidth="1"/>
    <col min="10" max="10" width="21.1640625" style="4" customWidth="1"/>
    <col min="11" max="11" width="19.83203125" style="4" customWidth="1"/>
    <col min="12" max="12" width="18" style="4" customWidth="1"/>
    <col min="13" max="13" width="14.83203125" style="4" customWidth="1"/>
    <col min="14" max="14" width="21.5" style="4" customWidth="1"/>
    <col min="15" max="15" width="22.83203125" style="4" customWidth="1"/>
    <col min="16" max="16384" width="9.1640625" style="4"/>
  </cols>
  <sheetData>
    <row r="1" spans="1:15" ht="27.75" customHeight="1" x14ac:dyDescent="0.4">
      <c r="J1" s="172" t="s">
        <v>555</v>
      </c>
      <c r="K1" s="172"/>
      <c r="L1" s="172"/>
      <c r="M1" s="172"/>
      <c r="N1" s="172"/>
      <c r="O1" s="172"/>
    </row>
    <row r="2" spans="1:15" ht="24" customHeight="1" x14ac:dyDescent="0.25">
      <c r="J2" s="96" t="s">
        <v>535</v>
      </c>
      <c r="K2" s="96"/>
      <c r="L2" s="96"/>
      <c r="M2" s="96"/>
      <c r="N2" s="96"/>
      <c r="O2" s="96"/>
    </row>
    <row r="3" spans="1:15" ht="26.25" customHeight="1" x14ac:dyDescent="0.4">
      <c r="J3" s="171" t="s">
        <v>584</v>
      </c>
      <c r="K3" s="171"/>
      <c r="L3" s="171"/>
      <c r="M3" s="171"/>
      <c r="N3" s="171"/>
      <c r="O3" s="171"/>
    </row>
    <row r="4" spans="1:15" ht="26.25" customHeight="1" x14ac:dyDescent="0.4">
      <c r="J4" s="171" t="s">
        <v>534</v>
      </c>
      <c r="K4" s="171"/>
      <c r="L4" s="171"/>
      <c r="M4" s="171"/>
      <c r="N4" s="171"/>
      <c r="O4" s="171"/>
    </row>
    <row r="5" spans="1:15" ht="29.25" customHeight="1" x14ac:dyDescent="0.4">
      <c r="J5" s="171" t="s">
        <v>582</v>
      </c>
      <c r="K5" s="171"/>
      <c r="L5" s="171"/>
      <c r="M5" s="171"/>
      <c r="N5" s="171"/>
      <c r="O5" s="171"/>
    </row>
    <row r="6" spans="1:15" ht="29.25" customHeight="1" x14ac:dyDescent="0.4">
      <c r="J6" s="171" t="s">
        <v>583</v>
      </c>
      <c r="K6" s="171"/>
      <c r="L6" s="171"/>
      <c r="M6" s="171"/>
      <c r="N6" s="171"/>
      <c r="O6" s="171"/>
    </row>
    <row r="7" spans="1:15" ht="29.25" customHeight="1" x14ac:dyDescent="0.4">
      <c r="J7" s="133" t="s">
        <v>554</v>
      </c>
      <c r="K7" s="133"/>
      <c r="L7" s="133"/>
      <c r="M7" s="133"/>
      <c r="N7" s="133"/>
      <c r="O7" s="133"/>
    </row>
    <row r="8" spans="1:15" ht="29.25" customHeight="1" x14ac:dyDescent="0.4">
      <c r="J8" s="171" t="s">
        <v>585</v>
      </c>
      <c r="K8" s="171"/>
      <c r="L8" s="171"/>
      <c r="M8" s="171"/>
      <c r="N8" s="171"/>
      <c r="O8" s="171"/>
    </row>
    <row r="9" spans="1:15" ht="29.25" customHeight="1" x14ac:dyDescent="0.25">
      <c r="J9" s="96"/>
      <c r="K9" s="96"/>
      <c r="L9" s="96"/>
      <c r="M9" s="96"/>
      <c r="N9" s="96"/>
      <c r="O9" s="96"/>
    </row>
    <row r="10" spans="1:15" ht="105.75" customHeight="1" x14ac:dyDescent="0.25">
      <c r="A10" s="173" t="s">
        <v>454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ht="23.25" customHeight="1" x14ac:dyDescent="0.25">
      <c r="A11" s="65"/>
      <c r="B11" s="65"/>
      <c r="C11" s="58"/>
      <c r="D11" s="58"/>
      <c r="E11" s="58"/>
      <c r="F11" s="125" t="s">
        <v>529</v>
      </c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21" customHeight="1" x14ac:dyDescent="0.25">
      <c r="A12" s="66"/>
      <c r="B12" s="66"/>
      <c r="C12" s="58"/>
      <c r="D12" s="58"/>
      <c r="E12" s="58"/>
      <c r="F12" s="66" t="s">
        <v>530</v>
      </c>
      <c r="G12" s="58"/>
      <c r="H12" s="58"/>
      <c r="I12" s="58"/>
      <c r="J12" s="58"/>
      <c r="K12" s="58"/>
      <c r="L12" s="58"/>
      <c r="M12" s="58"/>
      <c r="N12" s="58"/>
      <c r="O12" s="58"/>
    </row>
    <row r="13" spans="1:15" s="17" customFormat="1" ht="20.25" customHeight="1" x14ac:dyDescent="0.3">
      <c r="A13" s="14"/>
      <c r="B13" s="15"/>
      <c r="C13" s="16"/>
      <c r="O13" s="134" t="s">
        <v>360</v>
      </c>
    </row>
    <row r="14" spans="1:15" s="52" customFormat="1" ht="21.75" customHeight="1" x14ac:dyDescent="0.25">
      <c r="A14" s="170" t="s">
        <v>339</v>
      </c>
      <c r="B14" s="170" t="s">
        <v>329</v>
      </c>
      <c r="C14" s="170" t="s">
        <v>341</v>
      </c>
      <c r="D14" s="169" t="s">
        <v>226</v>
      </c>
      <c r="E14" s="169"/>
      <c r="F14" s="169"/>
      <c r="G14" s="169"/>
      <c r="H14" s="169"/>
      <c r="I14" s="169" t="s">
        <v>227</v>
      </c>
      <c r="J14" s="169"/>
      <c r="K14" s="169"/>
      <c r="L14" s="169"/>
      <c r="M14" s="169"/>
      <c r="N14" s="169"/>
      <c r="O14" s="169" t="s">
        <v>228</v>
      </c>
    </row>
    <row r="15" spans="1:15" s="52" customFormat="1" ht="29.25" customHeight="1" x14ac:dyDescent="0.25">
      <c r="A15" s="170"/>
      <c r="B15" s="170"/>
      <c r="C15" s="170"/>
      <c r="D15" s="167" t="s">
        <v>330</v>
      </c>
      <c r="E15" s="167" t="s">
        <v>229</v>
      </c>
      <c r="F15" s="168" t="s">
        <v>230</v>
      </c>
      <c r="G15" s="168"/>
      <c r="H15" s="167" t="s">
        <v>231</v>
      </c>
      <c r="I15" s="167" t="s">
        <v>330</v>
      </c>
      <c r="J15" s="167" t="s">
        <v>331</v>
      </c>
      <c r="K15" s="167" t="s">
        <v>229</v>
      </c>
      <c r="L15" s="168" t="s">
        <v>230</v>
      </c>
      <c r="M15" s="168"/>
      <c r="N15" s="167" t="s">
        <v>231</v>
      </c>
      <c r="O15" s="169"/>
    </row>
    <row r="16" spans="1:15" s="52" customFormat="1" ht="60.75" customHeight="1" x14ac:dyDescent="0.25">
      <c r="A16" s="170"/>
      <c r="B16" s="170"/>
      <c r="C16" s="170"/>
      <c r="D16" s="167"/>
      <c r="E16" s="167"/>
      <c r="F16" s="132" t="s">
        <v>232</v>
      </c>
      <c r="G16" s="132" t="s">
        <v>233</v>
      </c>
      <c r="H16" s="167"/>
      <c r="I16" s="167"/>
      <c r="J16" s="167"/>
      <c r="K16" s="167"/>
      <c r="L16" s="132" t="s">
        <v>232</v>
      </c>
      <c r="M16" s="132" t="s">
        <v>233</v>
      </c>
      <c r="N16" s="167"/>
      <c r="O16" s="169"/>
    </row>
    <row r="17" spans="1:15" s="52" customFormat="1" ht="21" customHeight="1" x14ac:dyDescent="0.25">
      <c r="A17" s="7" t="s">
        <v>44</v>
      </c>
      <c r="B17" s="8"/>
      <c r="C17" s="9" t="s">
        <v>45</v>
      </c>
      <c r="D17" s="48">
        <f>D19+D20+D21+D22</f>
        <v>261280809</v>
      </c>
      <c r="E17" s="48">
        <f t="shared" ref="E17:O17" si="0">E19+E20+E21+E22</f>
        <v>261280809</v>
      </c>
      <c r="F17" s="48">
        <f>F19+F20+F21+F22</f>
        <v>197271700</v>
      </c>
      <c r="G17" s="48">
        <f t="shared" si="0"/>
        <v>4257209</v>
      </c>
      <c r="H17" s="48">
        <f t="shared" si="0"/>
        <v>0</v>
      </c>
      <c r="I17" s="48">
        <f t="shared" si="0"/>
        <v>2568000</v>
      </c>
      <c r="J17" s="48">
        <f t="shared" si="0"/>
        <v>668000</v>
      </c>
      <c r="K17" s="48">
        <f t="shared" si="0"/>
        <v>1900000</v>
      </c>
      <c r="L17" s="48">
        <f t="shared" si="0"/>
        <v>1332000</v>
      </c>
      <c r="M17" s="48">
        <f t="shared" si="0"/>
        <v>71500</v>
      </c>
      <c r="N17" s="48">
        <f t="shared" si="0"/>
        <v>668000</v>
      </c>
      <c r="O17" s="48">
        <f t="shared" si="0"/>
        <v>263848809</v>
      </c>
    </row>
    <row r="18" spans="1:15" s="52" customFormat="1" ht="61.5" hidden="1" customHeight="1" x14ac:dyDescent="0.25">
      <c r="A18" s="7"/>
      <c r="B18" s="8"/>
      <c r="C18" s="9" t="s">
        <v>442</v>
      </c>
      <c r="D18" s="48">
        <f>D23</f>
        <v>0</v>
      </c>
      <c r="E18" s="48">
        <f t="shared" ref="E18:O18" si="1">E23</f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8">
        <f t="shared" si="1"/>
        <v>0</v>
      </c>
    </row>
    <row r="19" spans="1:15" ht="37.5" customHeight="1" x14ac:dyDescent="0.25">
      <c r="A19" s="37" t="s">
        <v>121</v>
      </c>
      <c r="B19" s="37" t="s">
        <v>47</v>
      </c>
      <c r="C19" s="6" t="s">
        <v>504</v>
      </c>
      <c r="D19" s="49">
        <f>'дод 3'!E21+'дод 3'!E74+'дод 3'!E121+'дод 3'!E151+'дод 3'!E186+'дод 3'!E193+'дод 3'!E209+'дод 3'!E240+'дод 3'!E244+'дод 3'!E262+'дод 3'!E269+'дод 3'!E272+'дод 3'!E283+'дод 3'!E280</f>
        <v>259645309</v>
      </c>
      <c r="E19" s="49">
        <f>'дод 3'!F21+'дод 3'!F74+'дод 3'!F121+'дод 3'!F151+'дод 3'!F186+'дод 3'!F193+'дод 3'!F209+'дод 3'!F240+'дод 3'!F244+'дод 3'!F262+'дод 3'!F269+'дод 3'!F272+'дод 3'!F283+'дод 3'!F280</f>
        <v>259645309</v>
      </c>
      <c r="F19" s="49">
        <f>'дод 3'!G21+'дод 3'!G74+'дод 3'!G121+'дод 3'!G151+'дод 3'!G186+'дод 3'!G193+'дод 3'!G209+'дод 3'!G240+'дод 3'!G244+'дод 3'!G262+'дод 3'!G269+'дод 3'!G272+'дод 3'!G283+'дод 3'!G280</f>
        <v>197271700</v>
      </c>
      <c r="G19" s="49">
        <f>'дод 3'!H21+'дод 3'!H74+'дод 3'!H121+'дод 3'!H151+'дод 3'!H186+'дод 3'!H193+'дод 3'!H209+'дод 3'!H240+'дод 3'!H244+'дод 3'!H262+'дод 3'!H269+'дод 3'!H272+'дод 3'!H283+'дод 3'!H280</f>
        <v>4257209</v>
      </c>
      <c r="H19" s="49">
        <f>'дод 3'!I21+'дод 3'!I74+'дод 3'!I121+'дод 3'!I151+'дод 3'!I186+'дод 3'!I193+'дод 3'!I209+'дод 3'!I240+'дод 3'!I244+'дод 3'!I262+'дод 3'!I269+'дод 3'!I272+'дод 3'!I283+'дод 3'!I280</f>
        <v>0</v>
      </c>
      <c r="I19" s="49">
        <f>'дод 3'!J21+'дод 3'!J74+'дод 3'!J121+'дод 3'!J151+'дод 3'!J186+'дод 3'!J193+'дод 3'!J209+'дод 3'!J240+'дод 3'!J244+'дод 3'!J262+'дод 3'!J269+'дод 3'!J272+'дод 3'!J283+'дод 3'!J280</f>
        <v>2568000</v>
      </c>
      <c r="J19" s="49">
        <f>'дод 3'!K21+'дод 3'!K74+'дод 3'!K121+'дод 3'!K151+'дод 3'!K186+'дод 3'!K193+'дод 3'!K209+'дод 3'!K240+'дод 3'!K244+'дод 3'!K262+'дод 3'!K269+'дод 3'!K272+'дод 3'!K283+'дод 3'!K280</f>
        <v>668000</v>
      </c>
      <c r="K19" s="49">
        <f>'дод 3'!L21+'дод 3'!L74+'дод 3'!L121+'дод 3'!L151+'дод 3'!L186+'дод 3'!L193+'дод 3'!L209+'дод 3'!L240+'дод 3'!L244+'дод 3'!L262+'дод 3'!L269+'дод 3'!L272+'дод 3'!L283+'дод 3'!L280</f>
        <v>1900000</v>
      </c>
      <c r="L19" s="49">
        <f>'дод 3'!M21+'дод 3'!M74+'дод 3'!M121+'дод 3'!M151+'дод 3'!M186+'дод 3'!M193+'дод 3'!M209+'дод 3'!M240+'дод 3'!M244+'дод 3'!M262+'дод 3'!M269+'дод 3'!M272+'дод 3'!M283+'дод 3'!M280</f>
        <v>1332000</v>
      </c>
      <c r="M19" s="49">
        <f>'дод 3'!N21+'дод 3'!N74+'дод 3'!N121+'дод 3'!N151+'дод 3'!N186+'дод 3'!N193+'дод 3'!N209+'дод 3'!N240+'дод 3'!N244+'дод 3'!N262+'дод 3'!N269+'дод 3'!N272+'дод 3'!N283+'дод 3'!N280</f>
        <v>71500</v>
      </c>
      <c r="N19" s="49">
        <f>'дод 3'!O21+'дод 3'!O74+'дод 3'!O121+'дод 3'!O151+'дод 3'!O186+'дод 3'!O193+'дод 3'!O209+'дод 3'!O240+'дод 3'!O244+'дод 3'!O262+'дод 3'!O269+'дод 3'!O272+'дод 3'!O283+'дод 3'!O280</f>
        <v>668000</v>
      </c>
      <c r="O19" s="49">
        <f>'дод 3'!P21+'дод 3'!P74+'дод 3'!P121+'дод 3'!P151+'дод 3'!P186+'дод 3'!P193+'дод 3'!P209+'дод 3'!P240+'дод 3'!P244+'дод 3'!P262+'дод 3'!P269+'дод 3'!P272+'дод 3'!P283+'дод 3'!P280</f>
        <v>262213309</v>
      </c>
    </row>
    <row r="20" spans="1:15" ht="33" customHeight="1" x14ac:dyDescent="0.25">
      <c r="A20" s="59" t="s">
        <v>92</v>
      </c>
      <c r="B20" s="59" t="s">
        <v>466</v>
      </c>
      <c r="C20" s="6" t="s">
        <v>457</v>
      </c>
      <c r="D20" s="49">
        <f>'дод 3'!E22</f>
        <v>200000</v>
      </c>
      <c r="E20" s="49">
        <f>'дод 3'!F22</f>
        <v>200000</v>
      </c>
      <c r="F20" s="49">
        <f>'дод 3'!G22</f>
        <v>0</v>
      </c>
      <c r="G20" s="49">
        <f>'дод 3'!H22</f>
        <v>0</v>
      </c>
      <c r="H20" s="49">
        <f>'дод 3'!I22</f>
        <v>0</v>
      </c>
      <c r="I20" s="49">
        <f>'дод 3'!J22</f>
        <v>0</v>
      </c>
      <c r="J20" s="49">
        <f>'дод 3'!K22</f>
        <v>0</v>
      </c>
      <c r="K20" s="49">
        <f>'дод 3'!L22</f>
        <v>0</v>
      </c>
      <c r="L20" s="49">
        <f>'дод 3'!M22</f>
        <v>0</v>
      </c>
      <c r="M20" s="49">
        <f>'дод 3'!N22</f>
        <v>0</v>
      </c>
      <c r="N20" s="49">
        <f>'дод 3'!O22</f>
        <v>0</v>
      </c>
      <c r="O20" s="49">
        <f>'дод 3'!P22</f>
        <v>200000</v>
      </c>
    </row>
    <row r="21" spans="1:15" ht="22.5" customHeight="1" x14ac:dyDescent="0.25">
      <c r="A21" s="37" t="s">
        <v>46</v>
      </c>
      <c r="B21" s="37" t="s">
        <v>95</v>
      </c>
      <c r="C21" s="6" t="s">
        <v>244</v>
      </c>
      <c r="D21" s="49">
        <f>'дод 3'!E23+'дод 3'!E152+'дод 3'!E210</f>
        <v>1435500</v>
      </c>
      <c r="E21" s="49">
        <f>'дод 3'!F23+'дод 3'!F152+'дод 3'!F210</f>
        <v>1435500</v>
      </c>
      <c r="F21" s="49">
        <f>'дод 3'!G23+'дод 3'!G152+'дод 3'!G210</f>
        <v>0</v>
      </c>
      <c r="G21" s="49">
        <f>'дод 3'!H23+'дод 3'!H152+'дод 3'!H210</f>
        <v>0</v>
      </c>
      <c r="H21" s="49">
        <f>'дод 3'!I23+'дод 3'!I152+'дод 3'!I210</f>
        <v>0</v>
      </c>
      <c r="I21" s="49">
        <f>'дод 3'!J23+'дод 3'!J152+'дод 3'!J210</f>
        <v>0</v>
      </c>
      <c r="J21" s="49">
        <f>'дод 3'!K23+'дод 3'!K152+'дод 3'!K210</f>
        <v>0</v>
      </c>
      <c r="K21" s="49">
        <f>'дод 3'!L23+'дод 3'!L152+'дод 3'!L210</f>
        <v>0</v>
      </c>
      <c r="L21" s="49">
        <f>'дод 3'!M23+'дод 3'!M152+'дод 3'!M210</f>
        <v>0</v>
      </c>
      <c r="M21" s="49">
        <f>'дод 3'!N23+'дод 3'!N152+'дод 3'!N210</f>
        <v>0</v>
      </c>
      <c r="N21" s="49">
        <f>'дод 3'!O23+'дод 3'!O152+'дод 3'!O210</f>
        <v>0</v>
      </c>
      <c r="O21" s="49">
        <f>'дод 3'!P23+'дод 3'!P152+'дод 3'!P210</f>
        <v>1435500</v>
      </c>
    </row>
    <row r="22" spans="1:15" ht="27" hidden="1" customHeight="1" x14ac:dyDescent="0.25">
      <c r="A22" s="59" t="s">
        <v>438</v>
      </c>
      <c r="B22" s="59" t="s">
        <v>121</v>
      </c>
      <c r="C22" s="6" t="s">
        <v>439</v>
      </c>
      <c r="D22" s="49">
        <f>'дод 3'!E24</f>
        <v>0</v>
      </c>
      <c r="E22" s="49">
        <f>'дод 3'!F24</f>
        <v>0</v>
      </c>
      <c r="F22" s="49">
        <f>'дод 3'!G24</f>
        <v>0</v>
      </c>
      <c r="G22" s="49">
        <f>'дод 3'!H24</f>
        <v>0</v>
      </c>
      <c r="H22" s="49">
        <f>'дод 3'!I24</f>
        <v>0</v>
      </c>
      <c r="I22" s="49">
        <f>'дод 3'!J24</f>
        <v>0</v>
      </c>
      <c r="J22" s="49">
        <f>'дод 3'!K24</f>
        <v>0</v>
      </c>
      <c r="K22" s="49">
        <f>'дод 3'!L24</f>
        <v>0</v>
      </c>
      <c r="L22" s="49">
        <f>'дод 3'!M24</f>
        <v>0</v>
      </c>
      <c r="M22" s="49">
        <f>'дод 3'!N24</f>
        <v>0</v>
      </c>
      <c r="N22" s="49">
        <f>'дод 3'!O24</f>
        <v>0</v>
      </c>
      <c r="O22" s="49">
        <f>'дод 3'!P24</f>
        <v>0</v>
      </c>
    </row>
    <row r="23" spans="1:15" s="54" customFormat="1" ht="63" hidden="1" customHeight="1" x14ac:dyDescent="0.25">
      <c r="A23" s="82"/>
      <c r="B23" s="92"/>
      <c r="C23" s="83" t="s">
        <v>442</v>
      </c>
      <c r="D23" s="84">
        <f>'дод 3'!E25</f>
        <v>0</v>
      </c>
      <c r="E23" s="84">
        <f>'дод 3'!F25</f>
        <v>0</v>
      </c>
      <c r="F23" s="84">
        <f>'дод 3'!G25</f>
        <v>0</v>
      </c>
      <c r="G23" s="84">
        <f>'дод 3'!H25</f>
        <v>0</v>
      </c>
      <c r="H23" s="84">
        <f>'дод 3'!I25</f>
        <v>0</v>
      </c>
      <c r="I23" s="84">
        <f>'дод 3'!J25</f>
        <v>0</v>
      </c>
      <c r="J23" s="84">
        <f>'дод 3'!K25</f>
        <v>0</v>
      </c>
      <c r="K23" s="84">
        <f>'дод 3'!L25</f>
        <v>0</v>
      </c>
      <c r="L23" s="84">
        <f>'дод 3'!M25</f>
        <v>0</v>
      </c>
      <c r="M23" s="84">
        <f>'дод 3'!N25</f>
        <v>0</v>
      </c>
      <c r="N23" s="84">
        <f>'дод 3'!O25</f>
        <v>0</v>
      </c>
      <c r="O23" s="84">
        <f>'дод 3'!P25</f>
        <v>0</v>
      </c>
    </row>
    <row r="24" spans="1:15" s="52" customFormat="1" ht="18.75" customHeight="1" x14ac:dyDescent="0.25">
      <c r="A24" s="38" t="s">
        <v>48</v>
      </c>
      <c r="B24" s="39"/>
      <c r="C24" s="9" t="s">
        <v>405</v>
      </c>
      <c r="D24" s="48">
        <f>D33+D35+D42+D44+D47+D49+D52+D54+D55+D56+D57+D58+D59+D61+D62+D64</f>
        <v>1107997599.23</v>
      </c>
      <c r="E24" s="48">
        <f t="shared" ref="E24:O24" si="2">E33+E35+E42+E44+E47+E49+E52+E54+E55+E56+E57+E58+E59+E61+E62+E64</f>
        <v>1107997599.23</v>
      </c>
      <c r="F24" s="48">
        <f t="shared" si="2"/>
        <v>810172830</v>
      </c>
      <c r="G24" s="48">
        <f t="shared" si="2"/>
        <v>57096650</v>
      </c>
      <c r="H24" s="48">
        <f t="shared" si="2"/>
        <v>0</v>
      </c>
      <c r="I24" s="48">
        <f t="shared" si="2"/>
        <v>47493521.18</v>
      </c>
      <c r="J24" s="48">
        <f t="shared" si="2"/>
        <v>7873921.1799999997</v>
      </c>
      <c r="K24" s="48">
        <f t="shared" si="2"/>
        <v>39616470</v>
      </c>
      <c r="L24" s="48">
        <f t="shared" si="2"/>
        <v>4494964</v>
      </c>
      <c r="M24" s="48">
        <f t="shared" si="2"/>
        <v>139890</v>
      </c>
      <c r="N24" s="48">
        <f t="shared" si="2"/>
        <v>7877051.1799999997</v>
      </c>
      <c r="O24" s="48">
        <f t="shared" si="2"/>
        <v>1155491120.4099998</v>
      </c>
    </row>
    <row r="25" spans="1:15" s="53" customFormat="1" ht="31.5" x14ac:dyDescent="0.25">
      <c r="A25" s="75"/>
      <c r="B25" s="78"/>
      <c r="C25" s="79" t="s">
        <v>391</v>
      </c>
      <c r="D25" s="80">
        <f>D45+D48</f>
        <v>482448000</v>
      </c>
      <c r="E25" s="80">
        <f t="shared" ref="E25:O25" si="3">E45+E48</f>
        <v>482448000</v>
      </c>
      <c r="F25" s="80">
        <f t="shared" si="3"/>
        <v>396066000</v>
      </c>
      <c r="G25" s="80">
        <f t="shared" si="3"/>
        <v>0</v>
      </c>
      <c r="H25" s="80">
        <f t="shared" si="3"/>
        <v>0</v>
      </c>
      <c r="I25" s="80">
        <f t="shared" si="3"/>
        <v>0</v>
      </c>
      <c r="J25" s="80">
        <f t="shared" si="3"/>
        <v>0</v>
      </c>
      <c r="K25" s="80">
        <f t="shared" si="3"/>
        <v>0</v>
      </c>
      <c r="L25" s="80">
        <f t="shared" si="3"/>
        <v>0</v>
      </c>
      <c r="M25" s="80">
        <f t="shared" si="3"/>
        <v>0</v>
      </c>
      <c r="N25" s="80">
        <f t="shared" si="3"/>
        <v>0</v>
      </c>
      <c r="O25" s="80">
        <f t="shared" si="3"/>
        <v>482448000</v>
      </c>
    </row>
    <row r="26" spans="1:15" s="53" customFormat="1" ht="47.25" x14ac:dyDescent="0.25">
      <c r="A26" s="75"/>
      <c r="B26" s="78"/>
      <c r="C26" s="81" t="s">
        <v>565</v>
      </c>
      <c r="D26" s="80">
        <f>D50</f>
        <v>246000</v>
      </c>
      <c r="E26" s="80">
        <f t="shared" ref="E26:O26" si="4">E50</f>
        <v>246000</v>
      </c>
      <c r="F26" s="80">
        <f t="shared" si="4"/>
        <v>0</v>
      </c>
      <c r="G26" s="80">
        <f t="shared" si="4"/>
        <v>0</v>
      </c>
      <c r="H26" s="80">
        <f t="shared" si="4"/>
        <v>0</v>
      </c>
      <c r="I26" s="80">
        <f t="shared" si="4"/>
        <v>1754000</v>
      </c>
      <c r="J26" s="80">
        <f t="shared" si="4"/>
        <v>1754000</v>
      </c>
      <c r="K26" s="80">
        <f t="shared" si="4"/>
        <v>0</v>
      </c>
      <c r="L26" s="80">
        <f t="shared" si="4"/>
        <v>0</v>
      </c>
      <c r="M26" s="80">
        <f t="shared" si="4"/>
        <v>0</v>
      </c>
      <c r="N26" s="80">
        <f t="shared" si="4"/>
        <v>1754000</v>
      </c>
      <c r="O26" s="80">
        <f t="shared" si="4"/>
        <v>2000000</v>
      </c>
    </row>
    <row r="27" spans="1:15" s="53" customFormat="1" ht="47.25" x14ac:dyDescent="0.25">
      <c r="A27" s="75"/>
      <c r="B27" s="78"/>
      <c r="C27" s="79" t="s">
        <v>386</v>
      </c>
      <c r="D27" s="80">
        <f>D46+D60</f>
        <v>3578416</v>
      </c>
      <c r="E27" s="80">
        <f t="shared" ref="E27:O27" si="5">E46+E60</f>
        <v>3578416</v>
      </c>
      <c r="F27" s="80">
        <f t="shared" si="5"/>
        <v>1228720</v>
      </c>
      <c r="G27" s="80">
        <f t="shared" si="5"/>
        <v>0</v>
      </c>
      <c r="H27" s="80">
        <f t="shared" si="5"/>
        <v>0</v>
      </c>
      <c r="I27" s="80">
        <f t="shared" si="5"/>
        <v>0</v>
      </c>
      <c r="J27" s="80">
        <f t="shared" si="5"/>
        <v>0</v>
      </c>
      <c r="K27" s="80">
        <f t="shared" si="5"/>
        <v>0</v>
      </c>
      <c r="L27" s="80">
        <f t="shared" si="5"/>
        <v>0</v>
      </c>
      <c r="M27" s="80">
        <f t="shared" si="5"/>
        <v>0</v>
      </c>
      <c r="N27" s="80">
        <f t="shared" si="5"/>
        <v>0</v>
      </c>
      <c r="O27" s="80">
        <f t="shared" si="5"/>
        <v>3578416</v>
      </c>
    </row>
    <row r="28" spans="1:15" s="53" customFormat="1" ht="47.25" hidden="1" customHeight="1" x14ac:dyDescent="0.25">
      <c r="A28" s="75"/>
      <c r="B28" s="78"/>
      <c r="C28" s="79" t="s">
        <v>388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1:15" s="53" customFormat="1" ht="63" x14ac:dyDescent="0.25">
      <c r="A29" s="75"/>
      <c r="B29" s="78"/>
      <c r="C29" s="81" t="s">
        <v>385</v>
      </c>
      <c r="D29" s="80">
        <f>D63</f>
        <v>2612700</v>
      </c>
      <c r="E29" s="80">
        <f t="shared" ref="E29:O29" si="6">E63</f>
        <v>2612700</v>
      </c>
      <c r="F29" s="80">
        <f t="shared" si="6"/>
        <v>1459720</v>
      </c>
      <c r="G29" s="80">
        <f t="shared" si="6"/>
        <v>0</v>
      </c>
      <c r="H29" s="80">
        <f t="shared" si="6"/>
        <v>0</v>
      </c>
      <c r="I29" s="80">
        <f t="shared" si="6"/>
        <v>72000</v>
      </c>
      <c r="J29" s="80">
        <f t="shared" si="6"/>
        <v>72000</v>
      </c>
      <c r="K29" s="80">
        <f t="shared" si="6"/>
        <v>0</v>
      </c>
      <c r="L29" s="80">
        <f t="shared" si="6"/>
        <v>0</v>
      </c>
      <c r="M29" s="80">
        <f t="shared" si="6"/>
        <v>0</v>
      </c>
      <c r="N29" s="80">
        <f t="shared" si="6"/>
        <v>72000</v>
      </c>
      <c r="O29" s="80">
        <f t="shared" si="6"/>
        <v>2684700</v>
      </c>
    </row>
    <row r="30" spans="1:15" s="53" customFormat="1" ht="63" hidden="1" customHeight="1" x14ac:dyDescent="0.25">
      <c r="A30" s="75"/>
      <c r="B30" s="78"/>
      <c r="C30" s="79" t="s">
        <v>387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1:15" s="53" customFormat="1" ht="63" x14ac:dyDescent="0.25">
      <c r="A31" s="75"/>
      <c r="B31" s="75"/>
      <c r="C31" s="81" t="s">
        <v>543</v>
      </c>
      <c r="D31" s="80">
        <f>D65</f>
        <v>1174231</v>
      </c>
      <c r="E31" s="80">
        <f t="shared" ref="E31:O31" si="7">E65</f>
        <v>1174231</v>
      </c>
      <c r="F31" s="80">
        <f t="shared" si="7"/>
        <v>962484</v>
      </c>
      <c r="G31" s="80">
        <f t="shared" si="7"/>
        <v>0</v>
      </c>
      <c r="H31" s="80">
        <f t="shared" si="7"/>
        <v>0</v>
      </c>
      <c r="I31" s="80">
        <f t="shared" si="7"/>
        <v>0</v>
      </c>
      <c r="J31" s="80">
        <f t="shared" si="7"/>
        <v>0</v>
      </c>
      <c r="K31" s="80">
        <f t="shared" si="7"/>
        <v>0</v>
      </c>
      <c r="L31" s="80">
        <f t="shared" si="7"/>
        <v>0</v>
      </c>
      <c r="M31" s="80">
        <f t="shared" si="7"/>
        <v>0</v>
      </c>
      <c r="N31" s="80">
        <f t="shared" si="7"/>
        <v>0</v>
      </c>
      <c r="O31" s="80">
        <f t="shared" si="7"/>
        <v>1174231</v>
      </c>
    </row>
    <row r="32" spans="1:15" s="53" customFormat="1" ht="31.5" x14ac:dyDescent="0.25">
      <c r="A32" s="75"/>
      <c r="B32" s="75"/>
      <c r="C32" s="81" t="s">
        <v>562</v>
      </c>
      <c r="D32" s="80">
        <f>D51+D53</f>
        <v>669481.6</v>
      </c>
      <c r="E32" s="80">
        <f t="shared" ref="E32:O32" si="8">E51+E53</f>
        <v>669481.6</v>
      </c>
      <c r="F32" s="80">
        <f t="shared" si="8"/>
        <v>0</v>
      </c>
      <c r="G32" s="80">
        <f t="shared" si="8"/>
        <v>0</v>
      </c>
      <c r="H32" s="80">
        <f t="shared" si="8"/>
        <v>0</v>
      </c>
      <c r="I32" s="80">
        <f t="shared" si="8"/>
        <v>4428261.18</v>
      </c>
      <c r="J32" s="80">
        <f t="shared" si="8"/>
        <v>4428261.18</v>
      </c>
      <c r="K32" s="80">
        <f t="shared" si="8"/>
        <v>0</v>
      </c>
      <c r="L32" s="80">
        <f t="shared" si="8"/>
        <v>0</v>
      </c>
      <c r="M32" s="80">
        <f t="shared" si="8"/>
        <v>0</v>
      </c>
      <c r="N32" s="80">
        <f t="shared" si="8"/>
        <v>4428261.18</v>
      </c>
      <c r="O32" s="80">
        <f t="shared" si="8"/>
        <v>5097742.7799999993</v>
      </c>
    </row>
    <row r="33" spans="1:15" ht="17.25" customHeight="1" x14ac:dyDescent="0.25">
      <c r="A33" s="37" t="s">
        <v>49</v>
      </c>
      <c r="B33" s="37" t="s">
        <v>50</v>
      </c>
      <c r="C33" s="6" t="s">
        <v>513</v>
      </c>
      <c r="D33" s="49">
        <f>'дод 3'!E75</f>
        <v>292406037.63</v>
      </c>
      <c r="E33" s="49">
        <f>'дод 3'!F75</f>
        <v>292406037.63</v>
      </c>
      <c r="F33" s="49">
        <f>'дод 3'!G75</f>
        <v>205054200</v>
      </c>
      <c r="G33" s="49">
        <f>'дод 3'!H75</f>
        <v>21914800</v>
      </c>
      <c r="H33" s="49">
        <f>'дод 3'!I75</f>
        <v>0</v>
      </c>
      <c r="I33" s="49">
        <f>'дод 3'!J75</f>
        <v>12341980</v>
      </c>
      <c r="J33" s="49">
        <f>'дод 3'!K75</f>
        <v>582280</v>
      </c>
      <c r="K33" s="49">
        <f>'дод 3'!L75</f>
        <v>11759700</v>
      </c>
      <c r="L33" s="49">
        <f>'дод 3'!M75</f>
        <v>0</v>
      </c>
      <c r="M33" s="49">
        <f>'дод 3'!N75</f>
        <v>0</v>
      </c>
      <c r="N33" s="49">
        <f>'дод 3'!O75</f>
        <v>582280</v>
      </c>
      <c r="O33" s="49">
        <f>'дод 3'!P75</f>
        <v>304748017.63</v>
      </c>
    </row>
    <row r="34" spans="1:15" s="54" customFormat="1" ht="47.25" hidden="1" customHeight="1" x14ac:dyDescent="0.25">
      <c r="A34" s="82"/>
      <c r="B34" s="82"/>
      <c r="C34" s="83" t="s">
        <v>385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ht="38.25" customHeight="1" x14ac:dyDescent="0.25">
      <c r="A35" s="37">
        <v>1021</v>
      </c>
      <c r="B35" s="37" t="s">
        <v>52</v>
      </c>
      <c r="C35" s="61" t="s">
        <v>481</v>
      </c>
      <c r="D35" s="49">
        <f>'дод 3'!E76</f>
        <v>211064613</v>
      </c>
      <c r="E35" s="49">
        <f>'дод 3'!F76</f>
        <v>211064613</v>
      </c>
      <c r="F35" s="49">
        <f>'дод 3'!G76</f>
        <v>119662706</v>
      </c>
      <c r="G35" s="49">
        <f>'дод 3'!H76</f>
        <v>30342200</v>
      </c>
      <c r="H35" s="49">
        <f>'дод 3'!I76</f>
        <v>0</v>
      </c>
      <c r="I35" s="49">
        <f>'дод 3'!J76</f>
        <v>25852650</v>
      </c>
      <c r="J35" s="49">
        <f>'дод 3'!K76</f>
        <v>721850</v>
      </c>
      <c r="K35" s="49">
        <f>'дод 3'!L76</f>
        <v>25130800</v>
      </c>
      <c r="L35" s="49">
        <f>'дод 3'!M76</f>
        <v>2268060</v>
      </c>
      <c r="M35" s="49">
        <f>'дод 3'!N76</f>
        <v>139890</v>
      </c>
      <c r="N35" s="49">
        <f>'дод 3'!O76</f>
        <v>721850</v>
      </c>
      <c r="O35" s="49">
        <f>'дод 3'!P76</f>
        <v>236917263</v>
      </c>
    </row>
    <row r="36" spans="1:15" s="54" customFormat="1" ht="63" hidden="1" customHeight="1" x14ac:dyDescent="0.25">
      <c r="A36" s="82"/>
      <c r="B36" s="82"/>
      <c r="C36" s="83" t="s">
        <v>389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s="54" customFormat="1" ht="47.25" hidden="1" customHeight="1" x14ac:dyDescent="0.25">
      <c r="A37" s="82"/>
      <c r="B37" s="82"/>
      <c r="C37" s="83" t="s">
        <v>386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5" s="54" customFormat="1" ht="47.25" hidden="1" customHeight="1" x14ac:dyDescent="0.25">
      <c r="A38" s="82"/>
      <c r="B38" s="82"/>
      <c r="C38" s="83" t="s">
        <v>388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15" s="54" customFormat="1" ht="47.25" hidden="1" customHeight="1" x14ac:dyDescent="0.25">
      <c r="A39" s="82"/>
      <c r="B39" s="82"/>
      <c r="C39" s="83" t="s">
        <v>385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15" s="54" customFormat="1" ht="31.5" hidden="1" customHeight="1" x14ac:dyDescent="0.25">
      <c r="A40" s="82"/>
      <c r="B40" s="82"/>
      <c r="C40" s="83" t="s">
        <v>391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1:15" s="54" customFormat="1" ht="63" hidden="1" customHeight="1" x14ac:dyDescent="0.25">
      <c r="A41" s="82"/>
      <c r="B41" s="82"/>
      <c r="C41" s="83" t="s">
        <v>387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1:15" ht="59.25" customHeight="1" x14ac:dyDescent="0.25">
      <c r="A42" s="37">
        <v>1022</v>
      </c>
      <c r="B42" s="60" t="s">
        <v>56</v>
      </c>
      <c r="C42" s="36" t="s">
        <v>483</v>
      </c>
      <c r="D42" s="49">
        <f>'дод 3'!E77</f>
        <v>14036170</v>
      </c>
      <c r="E42" s="49">
        <f>'дод 3'!F77</f>
        <v>14036170</v>
      </c>
      <c r="F42" s="49">
        <f>'дод 3'!G77</f>
        <v>8830500</v>
      </c>
      <c r="G42" s="49">
        <f>'дод 3'!H77</f>
        <v>1210000</v>
      </c>
      <c r="H42" s="49">
        <f>'дод 3'!I77</f>
        <v>0</v>
      </c>
      <c r="I42" s="49">
        <f>'дод 3'!J77</f>
        <v>153030</v>
      </c>
      <c r="J42" s="49">
        <f>'дод 3'!K77</f>
        <v>153030</v>
      </c>
      <c r="K42" s="49">
        <f>'дод 3'!L77</f>
        <v>0</v>
      </c>
      <c r="L42" s="49">
        <f>'дод 3'!M77</f>
        <v>0</v>
      </c>
      <c r="M42" s="49">
        <f>'дод 3'!N77</f>
        <v>0</v>
      </c>
      <c r="N42" s="49">
        <f>'дод 3'!O77</f>
        <v>153030</v>
      </c>
      <c r="O42" s="49">
        <f>'дод 3'!P77</f>
        <v>14189200</v>
      </c>
    </row>
    <row r="43" spans="1:15" ht="63" hidden="1" customHeight="1" x14ac:dyDescent="0.25">
      <c r="A43" s="37"/>
      <c r="B43" s="37"/>
      <c r="C43" s="83" t="s">
        <v>389</v>
      </c>
      <c r="D43" s="49" t="e">
        <f>'дод 3'!#REF!</f>
        <v>#REF!</v>
      </c>
      <c r="E43" s="49" t="e">
        <f>'дод 3'!#REF!</f>
        <v>#REF!</v>
      </c>
      <c r="F43" s="49" t="e">
        <f>'дод 3'!#REF!</f>
        <v>#REF!</v>
      </c>
      <c r="G43" s="49" t="e">
        <f>'дод 3'!#REF!</f>
        <v>#REF!</v>
      </c>
      <c r="H43" s="49" t="e">
        <f>'дод 3'!#REF!</f>
        <v>#REF!</v>
      </c>
      <c r="I43" s="49" t="e">
        <f>'дод 3'!#REF!</f>
        <v>#REF!</v>
      </c>
      <c r="J43" s="49" t="e">
        <f>'дод 3'!#REF!</f>
        <v>#REF!</v>
      </c>
      <c r="K43" s="49" t="e">
        <f>'дод 3'!#REF!</f>
        <v>#REF!</v>
      </c>
      <c r="L43" s="49" t="e">
        <f>'дод 3'!#REF!</f>
        <v>#REF!</v>
      </c>
      <c r="M43" s="49" t="e">
        <f>'дод 3'!#REF!</f>
        <v>#REF!</v>
      </c>
      <c r="N43" s="49" t="e">
        <f>'дод 3'!#REF!</f>
        <v>#REF!</v>
      </c>
      <c r="O43" s="49" t="e">
        <f>'дод 3'!#REF!</f>
        <v>#REF!</v>
      </c>
    </row>
    <row r="44" spans="1:15" s="54" customFormat="1" ht="35.25" customHeight="1" x14ac:dyDescent="0.25">
      <c r="A44" s="97">
        <v>1031</v>
      </c>
      <c r="B44" s="60" t="s">
        <v>52</v>
      </c>
      <c r="C44" s="61" t="s">
        <v>514</v>
      </c>
      <c r="D44" s="49">
        <f>'дод 3'!E78</f>
        <v>468962880</v>
      </c>
      <c r="E44" s="49">
        <f>'дод 3'!F78</f>
        <v>468962880</v>
      </c>
      <c r="F44" s="49">
        <f>'дод 3'!G78</f>
        <v>383296900</v>
      </c>
      <c r="G44" s="49">
        <f>'дод 3'!H78</f>
        <v>0</v>
      </c>
      <c r="H44" s="49">
        <f>'дод 3'!I78</f>
        <v>0</v>
      </c>
      <c r="I44" s="49">
        <f>'дод 3'!J78</f>
        <v>0</v>
      </c>
      <c r="J44" s="49">
        <f>'дод 3'!K78</f>
        <v>0</v>
      </c>
      <c r="K44" s="49">
        <f>'дод 3'!L78</f>
        <v>0</v>
      </c>
      <c r="L44" s="49">
        <f>'дод 3'!M78</f>
        <v>0</v>
      </c>
      <c r="M44" s="49">
        <f>'дод 3'!N78</f>
        <v>0</v>
      </c>
      <c r="N44" s="49">
        <f>'дод 3'!O78</f>
        <v>0</v>
      </c>
      <c r="O44" s="49">
        <f>'дод 3'!P78</f>
        <v>468962880</v>
      </c>
    </row>
    <row r="45" spans="1:15" s="54" customFormat="1" ht="31.5" x14ac:dyDescent="0.25">
      <c r="A45" s="82"/>
      <c r="B45" s="82"/>
      <c r="C45" s="91" t="s">
        <v>391</v>
      </c>
      <c r="D45" s="84">
        <f>'дод 3'!E79</f>
        <v>466883500</v>
      </c>
      <c r="E45" s="84">
        <f>'дод 3'!F79</f>
        <v>466883500</v>
      </c>
      <c r="F45" s="84">
        <f>'дод 3'!G79</f>
        <v>383296900</v>
      </c>
      <c r="G45" s="84">
        <f>'дод 3'!H79</f>
        <v>0</v>
      </c>
      <c r="H45" s="84">
        <f>'дод 3'!I79</f>
        <v>0</v>
      </c>
      <c r="I45" s="84">
        <f>'дод 3'!J79</f>
        <v>0</v>
      </c>
      <c r="J45" s="84">
        <f>'дод 3'!K79</f>
        <v>0</v>
      </c>
      <c r="K45" s="84">
        <f>'дод 3'!L79</f>
        <v>0</v>
      </c>
      <c r="L45" s="84">
        <f>'дод 3'!M79</f>
        <v>0</v>
      </c>
      <c r="M45" s="84">
        <f>'дод 3'!N79</f>
        <v>0</v>
      </c>
      <c r="N45" s="84">
        <f>'дод 3'!O79</f>
        <v>0</v>
      </c>
      <c r="O45" s="84">
        <f>'дод 3'!P79</f>
        <v>466883500</v>
      </c>
    </row>
    <row r="46" spans="1:15" ht="50.25" customHeight="1" x14ac:dyDescent="0.25">
      <c r="A46" s="37"/>
      <c r="B46" s="37"/>
      <c r="C46" s="91" t="s">
        <v>386</v>
      </c>
      <c r="D46" s="84">
        <f>'дод 3'!E80</f>
        <v>2079380</v>
      </c>
      <c r="E46" s="84">
        <f>'дод 3'!F80</f>
        <v>2079380</v>
      </c>
      <c r="F46" s="84">
        <f>'дод 3'!G80</f>
        <v>0</v>
      </c>
      <c r="G46" s="84">
        <f>'дод 3'!H80</f>
        <v>0</v>
      </c>
      <c r="H46" s="84">
        <f>'дод 3'!I80</f>
        <v>0</v>
      </c>
      <c r="I46" s="84">
        <f>'дод 3'!J80</f>
        <v>0</v>
      </c>
      <c r="J46" s="84">
        <f>'дод 3'!K80</f>
        <v>0</v>
      </c>
      <c r="K46" s="84">
        <f>'дод 3'!L80</f>
        <v>0</v>
      </c>
      <c r="L46" s="84">
        <f>'дод 3'!M80</f>
        <v>0</v>
      </c>
      <c r="M46" s="84">
        <f>'дод 3'!N80</f>
        <v>0</v>
      </c>
      <c r="N46" s="84">
        <f>'дод 3'!O80</f>
        <v>0</v>
      </c>
      <c r="O46" s="84">
        <f>'дод 3'!P80</f>
        <v>2079380</v>
      </c>
    </row>
    <row r="47" spans="1:15" ht="63.75" customHeight="1" x14ac:dyDescent="0.25">
      <c r="A47" s="60" t="s">
        <v>486</v>
      </c>
      <c r="B47" s="60" t="s">
        <v>56</v>
      </c>
      <c r="C47" s="61" t="s">
        <v>515</v>
      </c>
      <c r="D47" s="49">
        <f>'дод 3'!E81</f>
        <v>15564500</v>
      </c>
      <c r="E47" s="49">
        <f>'дод 3'!F81</f>
        <v>15564500</v>
      </c>
      <c r="F47" s="49">
        <f>'дод 3'!G81</f>
        <v>12769100</v>
      </c>
      <c r="G47" s="49">
        <f>'дод 3'!H81</f>
        <v>0</v>
      </c>
      <c r="H47" s="49">
        <f>'дод 3'!I81</f>
        <v>0</v>
      </c>
      <c r="I47" s="49">
        <f>'дод 3'!J81</f>
        <v>0</v>
      </c>
      <c r="J47" s="49">
        <f>'дод 3'!K81</f>
        <v>0</v>
      </c>
      <c r="K47" s="49">
        <f>'дод 3'!L81</f>
        <v>0</v>
      </c>
      <c r="L47" s="49">
        <f>'дод 3'!M81</f>
        <v>0</v>
      </c>
      <c r="M47" s="49">
        <f>'дод 3'!N81</f>
        <v>0</v>
      </c>
      <c r="N47" s="49">
        <f>'дод 3'!O81</f>
        <v>0</v>
      </c>
      <c r="O47" s="49">
        <f>'дод 3'!P81</f>
        <v>15564500</v>
      </c>
    </row>
    <row r="48" spans="1:15" ht="31.5" x14ac:dyDescent="0.25">
      <c r="A48" s="37"/>
      <c r="B48" s="37"/>
      <c r="C48" s="91" t="s">
        <v>391</v>
      </c>
      <c r="D48" s="84">
        <f>'дод 3'!E82</f>
        <v>15564500</v>
      </c>
      <c r="E48" s="84">
        <f>'дод 3'!F82</f>
        <v>15564500</v>
      </c>
      <c r="F48" s="84">
        <f>'дод 3'!G82</f>
        <v>12769100</v>
      </c>
      <c r="G48" s="84">
        <f>'дод 3'!H82</f>
        <v>0</v>
      </c>
      <c r="H48" s="84">
        <f>'дод 3'!I82</f>
        <v>0</v>
      </c>
      <c r="I48" s="84">
        <f>'дод 3'!J82</f>
        <v>0</v>
      </c>
      <c r="J48" s="84">
        <f>'дод 3'!K82</f>
        <v>0</v>
      </c>
      <c r="K48" s="84">
        <f>'дод 3'!L82</f>
        <v>0</v>
      </c>
      <c r="L48" s="84">
        <f>'дод 3'!M82</f>
        <v>0</v>
      </c>
      <c r="M48" s="84">
        <f>'дод 3'!N82</f>
        <v>0</v>
      </c>
      <c r="N48" s="84">
        <f>'дод 3'!O82</f>
        <v>0</v>
      </c>
      <c r="O48" s="84">
        <f>'дод 3'!P82</f>
        <v>15564500</v>
      </c>
    </row>
    <row r="49" spans="1:15" ht="31.5" x14ac:dyDescent="0.25">
      <c r="A49" s="37">
        <v>1061</v>
      </c>
      <c r="B49" s="60" t="s">
        <v>52</v>
      </c>
      <c r="C49" s="36" t="s">
        <v>552</v>
      </c>
      <c r="D49" s="49">
        <f>'дод 3'!E83</f>
        <v>875481.59999999998</v>
      </c>
      <c r="E49" s="49">
        <f>'дод 3'!F83</f>
        <v>875481.59999999998</v>
      </c>
      <c r="F49" s="49">
        <f>'дод 3'!G83</f>
        <v>0</v>
      </c>
      <c r="G49" s="49">
        <f>'дод 3'!H83</f>
        <v>0</v>
      </c>
      <c r="H49" s="49">
        <f>'дод 3'!I83</f>
        <v>0</v>
      </c>
      <c r="I49" s="49">
        <f>'дод 3'!J83</f>
        <v>6182261.1799999997</v>
      </c>
      <c r="J49" s="49">
        <f>'дод 3'!K83</f>
        <v>6182261.1799999997</v>
      </c>
      <c r="K49" s="49">
        <f>'дод 3'!L83</f>
        <v>0</v>
      </c>
      <c r="L49" s="49">
        <f>'дод 3'!M83</f>
        <v>0</v>
      </c>
      <c r="M49" s="49">
        <f>'дод 3'!N83</f>
        <v>0</v>
      </c>
      <c r="N49" s="49">
        <f>'дод 3'!O83</f>
        <v>6182261.1799999997</v>
      </c>
      <c r="O49" s="49">
        <f>'дод 3'!P83</f>
        <v>7057742.7799999993</v>
      </c>
    </row>
    <row r="50" spans="1:15" ht="48.75" customHeight="1" x14ac:dyDescent="0.25">
      <c r="A50" s="37"/>
      <c r="B50" s="60"/>
      <c r="C50" s="91" t="s">
        <v>565</v>
      </c>
      <c r="D50" s="84">
        <f>'дод 3'!E84</f>
        <v>246000</v>
      </c>
      <c r="E50" s="84">
        <f>'дод 3'!F84</f>
        <v>246000</v>
      </c>
      <c r="F50" s="84">
        <f>'дод 3'!G84</f>
        <v>0</v>
      </c>
      <c r="G50" s="84">
        <f>'дод 3'!H84</f>
        <v>0</v>
      </c>
      <c r="H50" s="84">
        <f>'дод 3'!I84</f>
        <v>0</v>
      </c>
      <c r="I50" s="84">
        <f>'дод 3'!J84</f>
        <v>1754000</v>
      </c>
      <c r="J50" s="84">
        <f>'дод 3'!K84</f>
        <v>1754000</v>
      </c>
      <c r="K50" s="84">
        <f>'дод 3'!L84</f>
        <v>0</v>
      </c>
      <c r="L50" s="84">
        <f>'дод 3'!M84</f>
        <v>0</v>
      </c>
      <c r="M50" s="84">
        <f>'дод 3'!N84</f>
        <v>0</v>
      </c>
      <c r="N50" s="84">
        <f>'дод 3'!O84</f>
        <v>1754000</v>
      </c>
      <c r="O50" s="84">
        <f>'дод 3'!P84</f>
        <v>2000000</v>
      </c>
    </row>
    <row r="51" spans="1:15" s="54" customFormat="1" ht="32.25" customHeight="1" x14ac:dyDescent="0.25">
      <c r="A51" s="82"/>
      <c r="B51" s="88"/>
      <c r="C51" s="91" t="s">
        <v>562</v>
      </c>
      <c r="D51" s="84">
        <f>'дод 3'!E85</f>
        <v>629481.6</v>
      </c>
      <c r="E51" s="84">
        <f>'дод 3'!F85</f>
        <v>629481.6</v>
      </c>
      <c r="F51" s="84">
        <f>'дод 3'!G85</f>
        <v>0</v>
      </c>
      <c r="G51" s="84">
        <f>'дод 3'!H85</f>
        <v>0</v>
      </c>
      <c r="H51" s="84">
        <f>'дод 3'!I85</f>
        <v>0</v>
      </c>
      <c r="I51" s="84">
        <f>'дод 3'!J85</f>
        <v>4428261.18</v>
      </c>
      <c r="J51" s="84">
        <f>'дод 3'!K85</f>
        <v>4428261.18</v>
      </c>
      <c r="K51" s="84">
        <f>'дод 3'!L85</f>
        <v>0</v>
      </c>
      <c r="L51" s="84">
        <f>'дод 3'!M85</f>
        <v>0</v>
      </c>
      <c r="M51" s="84">
        <f>'дод 3'!N85</f>
        <v>0</v>
      </c>
      <c r="N51" s="84">
        <f>'дод 3'!O85</f>
        <v>4428261.18</v>
      </c>
      <c r="O51" s="84">
        <f>'дод 3'!P85</f>
        <v>5057742.7799999993</v>
      </c>
    </row>
    <row r="52" spans="1:15" s="54" customFormat="1" ht="63" x14ac:dyDescent="0.25">
      <c r="A52" s="37">
        <v>1062</v>
      </c>
      <c r="B52" s="60" t="s">
        <v>56</v>
      </c>
      <c r="C52" s="61" t="s">
        <v>515</v>
      </c>
      <c r="D52" s="49">
        <f>'дод 3'!E86</f>
        <v>40000</v>
      </c>
      <c r="E52" s="49">
        <f>'дод 3'!F86</f>
        <v>40000</v>
      </c>
      <c r="F52" s="49">
        <f>'дод 3'!G86</f>
        <v>0</v>
      </c>
      <c r="G52" s="49">
        <f>'дод 3'!H86</f>
        <v>0</v>
      </c>
      <c r="H52" s="49">
        <f>'дод 3'!I86</f>
        <v>0</v>
      </c>
      <c r="I52" s="49">
        <f>'дод 3'!J86</f>
        <v>0</v>
      </c>
      <c r="J52" s="49">
        <f>'дод 3'!K86</f>
        <v>0</v>
      </c>
      <c r="K52" s="49">
        <f>'дод 3'!L86</f>
        <v>0</v>
      </c>
      <c r="L52" s="49">
        <f>'дод 3'!M86</f>
        <v>0</v>
      </c>
      <c r="M52" s="49">
        <f>'дод 3'!N86</f>
        <v>0</v>
      </c>
      <c r="N52" s="49">
        <f>'дод 3'!O86</f>
        <v>0</v>
      </c>
      <c r="O52" s="49">
        <f>'дод 3'!P86</f>
        <v>40000</v>
      </c>
    </row>
    <row r="53" spans="1:15" s="54" customFormat="1" ht="32.25" customHeight="1" x14ac:dyDescent="0.25">
      <c r="A53" s="82"/>
      <c r="B53" s="88"/>
      <c r="C53" s="91" t="s">
        <v>562</v>
      </c>
      <c r="D53" s="84">
        <f>'дод 3'!E87</f>
        <v>40000</v>
      </c>
      <c r="E53" s="84">
        <f>'дод 3'!F87</f>
        <v>40000</v>
      </c>
      <c r="F53" s="84">
        <f>'дод 3'!G87</f>
        <v>0</v>
      </c>
      <c r="G53" s="84">
        <f>'дод 3'!H87</f>
        <v>0</v>
      </c>
      <c r="H53" s="84">
        <f>'дод 3'!I87</f>
        <v>0</v>
      </c>
      <c r="I53" s="84">
        <f>'дод 3'!J87</f>
        <v>0</v>
      </c>
      <c r="J53" s="84">
        <f>'дод 3'!K87</f>
        <v>0</v>
      </c>
      <c r="K53" s="84">
        <f>'дод 3'!L87</f>
        <v>0</v>
      </c>
      <c r="L53" s="84">
        <f>'дод 3'!M87</f>
        <v>0</v>
      </c>
      <c r="M53" s="84">
        <f>'дод 3'!N87</f>
        <v>0</v>
      </c>
      <c r="N53" s="84">
        <f>'дод 3'!O87</f>
        <v>0</v>
      </c>
      <c r="O53" s="84">
        <f>'дод 3'!P87</f>
        <v>40000</v>
      </c>
    </row>
    <row r="54" spans="1:15" s="54" customFormat="1" ht="38.25" customHeight="1" x14ac:dyDescent="0.25">
      <c r="A54" s="60" t="s">
        <v>55</v>
      </c>
      <c r="B54" s="60" t="s">
        <v>58</v>
      </c>
      <c r="C54" s="61" t="s">
        <v>367</v>
      </c>
      <c r="D54" s="49">
        <f>'дод 3'!E88</f>
        <v>34592700</v>
      </c>
      <c r="E54" s="49">
        <f>'дод 3'!F88</f>
        <v>34592700</v>
      </c>
      <c r="F54" s="49">
        <f>'дод 3'!G88</f>
        <v>25836800</v>
      </c>
      <c r="G54" s="49">
        <f>'дод 3'!H88</f>
        <v>2353200</v>
      </c>
      <c r="H54" s="49">
        <f>'дод 3'!I88</f>
        <v>0</v>
      </c>
      <c r="I54" s="49">
        <f>'дод 3'!J88</f>
        <v>112500</v>
      </c>
      <c r="J54" s="49">
        <f>'дод 3'!K88</f>
        <v>112500</v>
      </c>
      <c r="K54" s="49">
        <f>'дод 3'!L88</f>
        <v>0</v>
      </c>
      <c r="L54" s="49">
        <f>'дод 3'!M88</f>
        <v>0</v>
      </c>
      <c r="M54" s="49">
        <f>'дод 3'!N88</f>
        <v>0</v>
      </c>
      <c r="N54" s="49">
        <f>'дод 3'!O88</f>
        <v>112500</v>
      </c>
      <c r="O54" s="49">
        <f>'дод 3'!P88</f>
        <v>34705200</v>
      </c>
    </row>
    <row r="55" spans="1:15" s="54" customFormat="1" ht="16.5" customHeight="1" x14ac:dyDescent="0.25">
      <c r="A55" s="97">
        <v>1080</v>
      </c>
      <c r="B55" s="60" t="s">
        <v>58</v>
      </c>
      <c r="C55" s="61" t="s">
        <v>520</v>
      </c>
      <c r="D55" s="49">
        <f>'дод 3'!E194</f>
        <v>50782500</v>
      </c>
      <c r="E55" s="49">
        <f>'дод 3'!F194</f>
        <v>50782500</v>
      </c>
      <c r="F55" s="49">
        <f>'дод 3'!G194</f>
        <v>40594000</v>
      </c>
      <c r="G55" s="49">
        <f>'дод 3'!H194</f>
        <v>612300</v>
      </c>
      <c r="H55" s="49">
        <f>'дод 3'!I194</f>
        <v>0</v>
      </c>
      <c r="I55" s="49">
        <f>'дод 3'!J194</f>
        <v>2729100</v>
      </c>
      <c r="J55" s="49">
        <f>'дод 3'!K194</f>
        <v>0</v>
      </c>
      <c r="K55" s="49">
        <f>'дод 3'!L194</f>
        <v>2725970</v>
      </c>
      <c r="L55" s="49">
        <f>'дод 3'!M194</f>
        <v>2226904</v>
      </c>
      <c r="M55" s="49">
        <f>'дод 3'!N194</f>
        <v>0</v>
      </c>
      <c r="N55" s="49">
        <f>'дод 3'!O194</f>
        <v>3130</v>
      </c>
      <c r="O55" s="49">
        <f>'дод 3'!P194</f>
        <v>53511600</v>
      </c>
    </row>
    <row r="56" spans="1:15" s="54" customFormat="1" ht="21" customHeight="1" x14ac:dyDescent="0.25">
      <c r="A56" s="60" t="s">
        <v>489</v>
      </c>
      <c r="B56" s="60" t="s">
        <v>59</v>
      </c>
      <c r="C56" s="36" t="s">
        <v>521</v>
      </c>
      <c r="D56" s="49">
        <f>'дод 3'!E89</f>
        <v>11329130</v>
      </c>
      <c r="E56" s="49">
        <f>'дод 3'!F89</f>
        <v>11329130</v>
      </c>
      <c r="F56" s="49">
        <f>'дод 3'!G89</f>
        <v>8331500</v>
      </c>
      <c r="G56" s="49">
        <f>'дод 3'!H89</f>
        <v>527130</v>
      </c>
      <c r="H56" s="49">
        <f>'дод 3'!I89</f>
        <v>0</v>
      </c>
      <c r="I56" s="49">
        <f>'дод 3'!J89</f>
        <v>0</v>
      </c>
      <c r="J56" s="49">
        <f>'дод 3'!K89</f>
        <v>0</v>
      </c>
      <c r="K56" s="49">
        <f>'дод 3'!L89</f>
        <v>0</v>
      </c>
      <c r="L56" s="49">
        <f>'дод 3'!M89</f>
        <v>0</v>
      </c>
      <c r="M56" s="49">
        <f>'дод 3'!N89</f>
        <v>0</v>
      </c>
      <c r="N56" s="49">
        <f>'дод 3'!O89</f>
        <v>0</v>
      </c>
      <c r="O56" s="49">
        <f>'дод 3'!P89</f>
        <v>11329130</v>
      </c>
    </row>
    <row r="57" spans="1:15" x14ac:dyDescent="0.25">
      <c r="A57" s="60" t="s">
        <v>491</v>
      </c>
      <c r="B57" s="60" t="s">
        <v>59</v>
      </c>
      <c r="C57" s="36" t="s">
        <v>283</v>
      </c>
      <c r="D57" s="49">
        <f>'дод 3'!E90</f>
        <v>113000</v>
      </c>
      <c r="E57" s="49">
        <f>'дод 3'!F90</f>
        <v>113000</v>
      </c>
      <c r="F57" s="49">
        <f>'дод 3'!G90</f>
        <v>0</v>
      </c>
      <c r="G57" s="49">
        <f>'дод 3'!H90</f>
        <v>0</v>
      </c>
      <c r="H57" s="49">
        <f>'дод 3'!I90</f>
        <v>0</v>
      </c>
      <c r="I57" s="49">
        <f>'дод 3'!J90</f>
        <v>0</v>
      </c>
      <c r="J57" s="49">
        <f>'дод 3'!K90</f>
        <v>0</v>
      </c>
      <c r="K57" s="49">
        <f>'дод 3'!L90</f>
        <v>0</v>
      </c>
      <c r="L57" s="49">
        <f>'дод 3'!M90</f>
        <v>0</v>
      </c>
      <c r="M57" s="49">
        <f>'дод 3'!N90</f>
        <v>0</v>
      </c>
      <c r="N57" s="49">
        <f>'дод 3'!O90</f>
        <v>0</v>
      </c>
      <c r="O57" s="49">
        <f>'дод 3'!P90</f>
        <v>113000</v>
      </c>
    </row>
    <row r="58" spans="1:15" ht="31.5" x14ac:dyDescent="0.25">
      <c r="A58" s="60" t="s">
        <v>493</v>
      </c>
      <c r="B58" s="60" t="s">
        <v>59</v>
      </c>
      <c r="C58" s="61" t="s">
        <v>494</v>
      </c>
      <c r="D58" s="49">
        <f>'дод 3'!E91</f>
        <v>431850</v>
      </c>
      <c r="E58" s="49">
        <f>'дод 3'!F91</f>
        <v>431850</v>
      </c>
      <c r="F58" s="49">
        <f>'дод 3'!G91</f>
        <v>266200</v>
      </c>
      <c r="G58" s="49">
        <f>'дод 3'!H91</f>
        <v>52650</v>
      </c>
      <c r="H58" s="49">
        <f>'дод 3'!I91</f>
        <v>0</v>
      </c>
      <c r="I58" s="49">
        <f>'дод 3'!J91</f>
        <v>0</v>
      </c>
      <c r="J58" s="49">
        <f>'дод 3'!K91</f>
        <v>0</v>
      </c>
      <c r="K58" s="49">
        <f>'дод 3'!L91</f>
        <v>0</v>
      </c>
      <c r="L58" s="49">
        <f>'дод 3'!M91</f>
        <v>0</v>
      </c>
      <c r="M58" s="49">
        <f>'дод 3'!N91</f>
        <v>0</v>
      </c>
      <c r="N58" s="49">
        <f>'дод 3'!O91</f>
        <v>0</v>
      </c>
      <c r="O58" s="49">
        <f>'дод 3'!P91</f>
        <v>431850</v>
      </c>
    </row>
    <row r="59" spans="1:15" ht="36.75" customHeight="1" x14ac:dyDescent="0.25">
      <c r="A59" s="60" t="s">
        <v>496</v>
      </c>
      <c r="B59" s="60" t="s">
        <v>59</v>
      </c>
      <c r="C59" s="61" t="s">
        <v>522</v>
      </c>
      <c r="D59" s="49">
        <f>'дод 3'!E92</f>
        <v>1499036</v>
      </c>
      <c r="E59" s="49">
        <f>'дод 3'!F92</f>
        <v>1499036</v>
      </c>
      <c r="F59" s="49">
        <f>'дод 3'!G92</f>
        <v>1228720</v>
      </c>
      <c r="G59" s="49">
        <f>'дод 3'!H92</f>
        <v>0</v>
      </c>
      <c r="H59" s="49">
        <f>'дод 3'!I92</f>
        <v>0</v>
      </c>
      <c r="I59" s="49">
        <f>'дод 3'!J92</f>
        <v>0</v>
      </c>
      <c r="J59" s="49">
        <f>'дод 3'!K92</f>
        <v>0</v>
      </c>
      <c r="K59" s="49">
        <f>'дод 3'!L92</f>
        <v>0</v>
      </c>
      <c r="L59" s="49">
        <f>'дод 3'!M92</f>
        <v>0</v>
      </c>
      <c r="M59" s="49">
        <f>'дод 3'!N92</f>
        <v>0</v>
      </c>
      <c r="N59" s="49">
        <f>'дод 3'!O92</f>
        <v>0</v>
      </c>
      <c r="O59" s="49">
        <f>'дод 3'!P92</f>
        <v>1499036</v>
      </c>
    </row>
    <row r="60" spans="1:15" ht="49.5" customHeight="1" x14ac:dyDescent="0.25">
      <c r="A60" s="37"/>
      <c r="B60" s="37"/>
      <c r="C60" s="91" t="s">
        <v>386</v>
      </c>
      <c r="D60" s="84">
        <f>'дод 3'!E93</f>
        <v>1499036</v>
      </c>
      <c r="E60" s="84">
        <f>'дод 3'!F93</f>
        <v>1499036</v>
      </c>
      <c r="F60" s="84">
        <f>'дод 3'!G93</f>
        <v>1228720</v>
      </c>
      <c r="G60" s="84">
        <f>'дод 3'!H93</f>
        <v>0</v>
      </c>
      <c r="H60" s="84">
        <f>'дод 3'!I93</f>
        <v>0</v>
      </c>
      <c r="I60" s="84">
        <f>'дод 3'!J93</f>
        <v>0</v>
      </c>
      <c r="J60" s="84">
        <f>'дод 3'!K93</f>
        <v>0</v>
      </c>
      <c r="K60" s="84">
        <f>'дод 3'!L93</f>
        <v>0</v>
      </c>
      <c r="L60" s="84">
        <f>'дод 3'!M93</f>
        <v>0</v>
      </c>
      <c r="M60" s="84">
        <f>'дод 3'!N93</f>
        <v>0</v>
      </c>
      <c r="N60" s="84">
        <f>'дод 3'!O93</f>
        <v>0</v>
      </c>
      <c r="O60" s="84">
        <f>'дод 3'!P93</f>
        <v>1499036</v>
      </c>
    </row>
    <row r="61" spans="1:15" s="54" customFormat="1" ht="31.5" x14ac:dyDescent="0.25">
      <c r="A61" s="60" t="s">
        <v>498</v>
      </c>
      <c r="B61" s="60" t="str">
        <f>'дод 8'!A19</f>
        <v>0160</v>
      </c>
      <c r="C61" s="61" t="s">
        <v>499</v>
      </c>
      <c r="D61" s="49">
        <f>'дод 3'!E94</f>
        <v>2512770</v>
      </c>
      <c r="E61" s="49">
        <f>'дод 3'!F94</f>
        <v>2512770</v>
      </c>
      <c r="F61" s="49">
        <f>'дод 3'!G94</f>
        <v>1880000</v>
      </c>
      <c r="G61" s="49">
        <f>'дод 3'!H94</f>
        <v>84370</v>
      </c>
      <c r="H61" s="49">
        <f>'дод 3'!I94</f>
        <v>0</v>
      </c>
      <c r="I61" s="49">
        <f>'дод 3'!J94</f>
        <v>50000</v>
      </c>
      <c r="J61" s="49">
        <f>'дод 3'!K94</f>
        <v>50000</v>
      </c>
      <c r="K61" s="49">
        <f>'дод 3'!L94</f>
        <v>0</v>
      </c>
      <c r="L61" s="49">
        <f>'дод 3'!M94</f>
        <v>0</v>
      </c>
      <c r="M61" s="49">
        <f>'дод 3'!N94</f>
        <v>0</v>
      </c>
      <c r="N61" s="49">
        <f>'дод 3'!O94</f>
        <v>50000</v>
      </c>
      <c r="O61" s="49">
        <f>'дод 3'!P94</f>
        <v>2562770</v>
      </c>
    </row>
    <row r="62" spans="1:15" s="54" customFormat="1" ht="63" x14ac:dyDescent="0.25">
      <c r="A62" s="60" t="s">
        <v>501</v>
      </c>
      <c r="B62" s="60" t="s">
        <v>59</v>
      </c>
      <c r="C62" s="98" t="s">
        <v>523</v>
      </c>
      <c r="D62" s="49">
        <f>'дод 3'!E95</f>
        <v>2612700</v>
      </c>
      <c r="E62" s="49">
        <f>'дод 3'!F95</f>
        <v>2612700</v>
      </c>
      <c r="F62" s="49">
        <f>'дод 3'!G95</f>
        <v>1459720</v>
      </c>
      <c r="G62" s="49">
        <f>'дод 3'!H95</f>
        <v>0</v>
      </c>
      <c r="H62" s="49">
        <f>'дод 3'!I95</f>
        <v>0</v>
      </c>
      <c r="I62" s="49">
        <f>'дод 3'!J95</f>
        <v>72000</v>
      </c>
      <c r="J62" s="49">
        <f>'дод 3'!K95</f>
        <v>72000</v>
      </c>
      <c r="K62" s="49">
        <f>'дод 3'!L95</f>
        <v>0</v>
      </c>
      <c r="L62" s="49">
        <f>'дод 3'!M95</f>
        <v>0</v>
      </c>
      <c r="M62" s="49">
        <f>'дод 3'!N95</f>
        <v>0</v>
      </c>
      <c r="N62" s="49">
        <f>'дод 3'!O95</f>
        <v>72000</v>
      </c>
      <c r="O62" s="49">
        <f>'дод 3'!P95</f>
        <v>2684700</v>
      </c>
    </row>
    <row r="63" spans="1:15" s="54" customFormat="1" ht="63" x14ac:dyDescent="0.25">
      <c r="A63" s="60"/>
      <c r="B63" s="60"/>
      <c r="C63" s="91" t="s">
        <v>385</v>
      </c>
      <c r="D63" s="84">
        <f>'дод 3'!E96</f>
        <v>2612700</v>
      </c>
      <c r="E63" s="84">
        <f>'дод 3'!F96</f>
        <v>2612700</v>
      </c>
      <c r="F63" s="84">
        <f>'дод 3'!G96</f>
        <v>1459720</v>
      </c>
      <c r="G63" s="84">
        <f>'дод 3'!H96</f>
        <v>0</v>
      </c>
      <c r="H63" s="84">
        <f>'дод 3'!I96</f>
        <v>0</v>
      </c>
      <c r="I63" s="84">
        <f>'дод 3'!J96</f>
        <v>72000</v>
      </c>
      <c r="J63" s="84">
        <f>'дод 3'!K96</f>
        <v>72000</v>
      </c>
      <c r="K63" s="84">
        <f>'дод 3'!L96</f>
        <v>0</v>
      </c>
      <c r="L63" s="84">
        <f>'дод 3'!M96</f>
        <v>0</v>
      </c>
      <c r="M63" s="84">
        <f>'дод 3'!N96</f>
        <v>0</v>
      </c>
      <c r="N63" s="84">
        <f>'дод 3'!O96</f>
        <v>72000</v>
      </c>
      <c r="O63" s="84">
        <f>'дод 3'!P96</f>
        <v>2684700</v>
      </c>
    </row>
    <row r="64" spans="1:15" s="54" customFormat="1" ht="63" x14ac:dyDescent="0.25">
      <c r="A64" s="60" t="s">
        <v>544</v>
      </c>
      <c r="B64" s="60" t="s">
        <v>59</v>
      </c>
      <c r="C64" s="36" t="s">
        <v>542</v>
      </c>
      <c r="D64" s="49">
        <f>'дод 3'!E97</f>
        <v>1174231</v>
      </c>
      <c r="E64" s="49">
        <f>'дод 3'!F97</f>
        <v>1174231</v>
      </c>
      <c r="F64" s="49">
        <f>'дод 3'!G97</f>
        <v>962484</v>
      </c>
      <c r="G64" s="49">
        <f>'дод 3'!H97</f>
        <v>0</v>
      </c>
      <c r="H64" s="49">
        <f>'дод 3'!I97</f>
        <v>0</v>
      </c>
      <c r="I64" s="49">
        <f>'дод 3'!J97</f>
        <v>0</v>
      </c>
      <c r="J64" s="49">
        <f>'дод 3'!K97</f>
        <v>0</v>
      </c>
      <c r="K64" s="49">
        <f>'дод 3'!L97</f>
        <v>0</v>
      </c>
      <c r="L64" s="49">
        <f>'дод 3'!M97</f>
        <v>0</v>
      </c>
      <c r="M64" s="49">
        <f>'дод 3'!N97</f>
        <v>0</v>
      </c>
      <c r="N64" s="49">
        <f>'дод 3'!O97</f>
        <v>0</v>
      </c>
      <c r="O64" s="49">
        <f>'дод 3'!P97</f>
        <v>1174231</v>
      </c>
    </row>
    <row r="65" spans="1:15" s="54" customFormat="1" ht="63" x14ac:dyDescent="0.25">
      <c r="A65" s="60"/>
      <c r="B65" s="60"/>
      <c r="C65" s="91" t="s">
        <v>543</v>
      </c>
      <c r="D65" s="84">
        <f>'дод 3'!E98</f>
        <v>1174231</v>
      </c>
      <c r="E65" s="84">
        <f>'дод 3'!F98</f>
        <v>1174231</v>
      </c>
      <c r="F65" s="84">
        <f>'дод 3'!G98</f>
        <v>962484</v>
      </c>
      <c r="G65" s="84">
        <f>'дод 3'!H98</f>
        <v>0</v>
      </c>
      <c r="H65" s="84">
        <f>'дод 3'!I98</f>
        <v>0</v>
      </c>
      <c r="I65" s="84">
        <f>'дод 3'!J98</f>
        <v>0</v>
      </c>
      <c r="J65" s="84">
        <f>'дод 3'!K98</f>
        <v>0</v>
      </c>
      <c r="K65" s="84">
        <f>'дод 3'!L98</f>
        <v>0</v>
      </c>
      <c r="L65" s="84">
        <f>'дод 3'!M98</f>
        <v>0</v>
      </c>
      <c r="M65" s="84">
        <f>'дод 3'!N98</f>
        <v>0</v>
      </c>
      <c r="N65" s="84">
        <f>'дод 3'!O98</f>
        <v>0</v>
      </c>
      <c r="O65" s="84">
        <f>'дод 3'!P98</f>
        <v>1174231</v>
      </c>
    </row>
    <row r="66" spans="1:15" s="52" customFormat="1" ht="19.5" customHeight="1" x14ac:dyDescent="0.25">
      <c r="A66" s="38" t="s">
        <v>60</v>
      </c>
      <c r="B66" s="39"/>
      <c r="C66" s="9" t="s">
        <v>545</v>
      </c>
      <c r="D66" s="48">
        <f>D71+D76+D78+D80+D82+D85+D86+D75</f>
        <v>82293021</v>
      </c>
      <c r="E66" s="48">
        <f t="shared" ref="E66:O66" si="9">E71+E76+E78+E80+E82+E85+E86+E75</f>
        <v>82293021</v>
      </c>
      <c r="F66" s="48">
        <f t="shared" si="9"/>
        <v>2387600</v>
      </c>
      <c r="G66" s="48">
        <f t="shared" si="9"/>
        <v>48700</v>
      </c>
      <c r="H66" s="48">
        <f t="shared" si="9"/>
        <v>0</v>
      </c>
      <c r="I66" s="48">
        <f t="shared" si="9"/>
        <v>66742036.82</v>
      </c>
      <c r="J66" s="48">
        <f t="shared" si="9"/>
        <v>66742036.82</v>
      </c>
      <c r="K66" s="48">
        <f t="shared" si="9"/>
        <v>0</v>
      </c>
      <c r="L66" s="48">
        <f t="shared" si="9"/>
        <v>0</v>
      </c>
      <c r="M66" s="48">
        <f t="shared" si="9"/>
        <v>0</v>
      </c>
      <c r="N66" s="48">
        <f t="shared" si="9"/>
        <v>66742036.82</v>
      </c>
      <c r="O66" s="48">
        <f t="shared" si="9"/>
        <v>149035057.81999999</v>
      </c>
    </row>
    <row r="67" spans="1:15" s="53" customFormat="1" ht="31.5" hidden="1" customHeight="1" x14ac:dyDescent="0.25">
      <c r="A67" s="75"/>
      <c r="B67" s="78"/>
      <c r="C67" s="79" t="s">
        <v>392</v>
      </c>
      <c r="D67" s="80">
        <f>D72+D77+D79</f>
        <v>0</v>
      </c>
      <c r="E67" s="80">
        <f t="shared" ref="E67:O67" si="10">E72+E77+E79</f>
        <v>0</v>
      </c>
      <c r="F67" s="80">
        <f t="shared" si="10"/>
        <v>0</v>
      </c>
      <c r="G67" s="80">
        <f t="shared" si="10"/>
        <v>0</v>
      </c>
      <c r="H67" s="80">
        <f t="shared" si="10"/>
        <v>0</v>
      </c>
      <c r="I67" s="80">
        <f t="shared" si="10"/>
        <v>0</v>
      </c>
      <c r="J67" s="80">
        <f t="shared" si="10"/>
        <v>0</v>
      </c>
      <c r="K67" s="80">
        <f t="shared" si="10"/>
        <v>0</v>
      </c>
      <c r="L67" s="80">
        <f t="shared" si="10"/>
        <v>0</v>
      </c>
      <c r="M67" s="80">
        <f t="shared" si="10"/>
        <v>0</v>
      </c>
      <c r="N67" s="80">
        <f t="shared" si="10"/>
        <v>0</v>
      </c>
      <c r="O67" s="80">
        <f t="shared" si="10"/>
        <v>0</v>
      </c>
    </row>
    <row r="68" spans="1:15" s="53" customFormat="1" ht="47.25" hidden="1" customHeight="1" x14ac:dyDescent="0.25">
      <c r="A68" s="75"/>
      <c r="B68" s="78"/>
      <c r="C68" s="79" t="s">
        <v>393</v>
      </c>
      <c r="D68" s="80">
        <f>D73+D83</f>
        <v>0</v>
      </c>
      <c r="E68" s="80">
        <f t="shared" ref="E68:O68" si="11">E73+E83</f>
        <v>0</v>
      </c>
      <c r="F68" s="80">
        <f t="shared" si="11"/>
        <v>0</v>
      </c>
      <c r="G68" s="80">
        <f t="shared" si="11"/>
        <v>0</v>
      </c>
      <c r="H68" s="80">
        <f t="shared" si="11"/>
        <v>0</v>
      </c>
      <c r="I68" s="80">
        <f t="shared" si="11"/>
        <v>0</v>
      </c>
      <c r="J68" s="80">
        <f t="shared" si="11"/>
        <v>0</v>
      </c>
      <c r="K68" s="80">
        <f t="shared" si="11"/>
        <v>0</v>
      </c>
      <c r="L68" s="80">
        <f t="shared" si="11"/>
        <v>0</v>
      </c>
      <c r="M68" s="80">
        <f t="shared" si="11"/>
        <v>0</v>
      </c>
      <c r="N68" s="80">
        <f t="shared" si="11"/>
        <v>0</v>
      </c>
      <c r="O68" s="80">
        <f t="shared" si="11"/>
        <v>0</v>
      </c>
    </row>
    <row r="69" spans="1:15" s="53" customFormat="1" ht="63" x14ac:dyDescent="0.25">
      <c r="A69" s="75"/>
      <c r="B69" s="78"/>
      <c r="C69" s="79" t="s">
        <v>394</v>
      </c>
      <c r="D69" s="80">
        <f>D81+D84</f>
        <v>11403700</v>
      </c>
      <c r="E69" s="80">
        <f t="shared" ref="E69:O69" si="12">E81+E84</f>
        <v>11403700</v>
      </c>
      <c r="F69" s="80">
        <f t="shared" si="12"/>
        <v>0</v>
      </c>
      <c r="G69" s="80">
        <f t="shared" si="12"/>
        <v>0</v>
      </c>
      <c r="H69" s="80">
        <f t="shared" si="12"/>
        <v>0</v>
      </c>
      <c r="I69" s="80">
        <f t="shared" si="12"/>
        <v>0</v>
      </c>
      <c r="J69" s="80">
        <f t="shared" si="12"/>
        <v>0</v>
      </c>
      <c r="K69" s="80">
        <f t="shared" si="12"/>
        <v>0</v>
      </c>
      <c r="L69" s="80">
        <f t="shared" si="12"/>
        <v>0</v>
      </c>
      <c r="M69" s="80">
        <f t="shared" si="12"/>
        <v>0</v>
      </c>
      <c r="N69" s="80">
        <f t="shared" si="12"/>
        <v>0</v>
      </c>
      <c r="O69" s="80">
        <f t="shared" si="12"/>
        <v>11403700</v>
      </c>
    </row>
    <row r="70" spans="1:15" s="53" customFormat="1" hidden="1" x14ac:dyDescent="0.25">
      <c r="A70" s="75"/>
      <c r="B70" s="78"/>
      <c r="C70" s="79" t="s">
        <v>395</v>
      </c>
      <c r="D70" s="80">
        <f>D74</f>
        <v>0</v>
      </c>
      <c r="E70" s="80">
        <f t="shared" ref="E70:O70" si="13">E74</f>
        <v>0</v>
      </c>
      <c r="F70" s="80">
        <f t="shared" si="13"/>
        <v>0</v>
      </c>
      <c r="G70" s="80">
        <f t="shared" si="13"/>
        <v>0</v>
      </c>
      <c r="H70" s="80">
        <f t="shared" si="13"/>
        <v>0</v>
      </c>
      <c r="I70" s="80">
        <f t="shared" si="13"/>
        <v>0</v>
      </c>
      <c r="J70" s="80">
        <f t="shared" si="13"/>
        <v>0</v>
      </c>
      <c r="K70" s="80">
        <f t="shared" si="13"/>
        <v>0</v>
      </c>
      <c r="L70" s="80">
        <f t="shared" si="13"/>
        <v>0</v>
      </c>
      <c r="M70" s="80">
        <f t="shared" si="13"/>
        <v>0</v>
      </c>
      <c r="N70" s="80">
        <f t="shared" si="13"/>
        <v>0</v>
      </c>
      <c r="O70" s="80">
        <f t="shared" si="13"/>
        <v>0</v>
      </c>
    </row>
    <row r="71" spans="1:15" ht="27.75" customHeight="1" x14ac:dyDescent="0.25">
      <c r="A71" s="37" t="s">
        <v>61</v>
      </c>
      <c r="B71" s="37" t="s">
        <v>62</v>
      </c>
      <c r="C71" s="6" t="s">
        <v>468</v>
      </c>
      <c r="D71" s="49">
        <f>'дод 3'!E122</f>
        <v>34456321</v>
      </c>
      <c r="E71" s="49">
        <f>'дод 3'!F122</f>
        <v>34456321</v>
      </c>
      <c r="F71" s="49">
        <f>'дод 3'!G122</f>
        <v>0</v>
      </c>
      <c r="G71" s="49">
        <f>'дод 3'!H122</f>
        <v>0</v>
      </c>
      <c r="H71" s="49">
        <f>'дод 3'!I122</f>
        <v>0</v>
      </c>
      <c r="I71" s="49">
        <f>'дод 3'!J122</f>
        <v>38610682.82</v>
      </c>
      <c r="J71" s="49">
        <f>'дод 3'!K122</f>
        <v>38610682.82</v>
      </c>
      <c r="K71" s="49">
        <f>'дод 3'!L122</f>
        <v>0</v>
      </c>
      <c r="L71" s="49">
        <f>'дод 3'!M122</f>
        <v>0</v>
      </c>
      <c r="M71" s="49">
        <f>'дод 3'!N122</f>
        <v>0</v>
      </c>
      <c r="N71" s="49">
        <f>'дод 3'!O122</f>
        <v>38610682.82</v>
      </c>
      <c r="O71" s="49">
        <f>'дод 3'!P122</f>
        <v>73067003.819999993</v>
      </c>
    </row>
    <row r="72" spans="1:15" s="54" customFormat="1" ht="31.5" hidden="1" customHeight="1" x14ac:dyDescent="0.25">
      <c r="A72" s="82"/>
      <c r="B72" s="82"/>
      <c r="C72" s="83" t="s">
        <v>392</v>
      </c>
      <c r="D72" s="84">
        <f>'дод 3'!E123</f>
        <v>0</v>
      </c>
      <c r="E72" s="84">
        <f>'дод 3'!F123</f>
        <v>0</v>
      </c>
      <c r="F72" s="84">
        <f>'дод 3'!G123</f>
        <v>0</v>
      </c>
      <c r="G72" s="84">
        <f>'дод 3'!H123</f>
        <v>0</v>
      </c>
      <c r="H72" s="84">
        <f>'дод 3'!I123</f>
        <v>0</v>
      </c>
      <c r="I72" s="84">
        <f>'дод 3'!J123</f>
        <v>0</v>
      </c>
      <c r="J72" s="84">
        <f>'дод 3'!K123</f>
        <v>0</v>
      </c>
      <c r="K72" s="84">
        <f>'дод 3'!L123</f>
        <v>0</v>
      </c>
      <c r="L72" s="84">
        <f>'дод 3'!M123</f>
        <v>0</v>
      </c>
      <c r="M72" s="84">
        <f>'дод 3'!N123</f>
        <v>0</v>
      </c>
      <c r="N72" s="84">
        <f>'дод 3'!O123</f>
        <v>0</v>
      </c>
      <c r="O72" s="84">
        <f>'дод 3'!P123</f>
        <v>0</v>
      </c>
    </row>
    <row r="73" spans="1:15" s="54" customFormat="1" ht="47.25" hidden="1" customHeight="1" x14ac:dyDescent="0.25">
      <c r="A73" s="82"/>
      <c r="B73" s="82"/>
      <c r="C73" s="83" t="s">
        <v>393</v>
      </c>
      <c r="D73" s="84">
        <f>'дод 3'!E124</f>
        <v>0</v>
      </c>
      <c r="E73" s="84">
        <f>'дод 3'!F124</f>
        <v>0</v>
      </c>
      <c r="F73" s="84">
        <f>'дод 3'!G124</f>
        <v>0</v>
      </c>
      <c r="G73" s="84">
        <f>'дод 3'!H124</f>
        <v>0</v>
      </c>
      <c r="H73" s="84">
        <f>'дод 3'!I124</f>
        <v>0</v>
      </c>
      <c r="I73" s="84">
        <f>'дод 3'!J124</f>
        <v>0</v>
      </c>
      <c r="J73" s="84">
        <f>'дод 3'!K124</f>
        <v>0</v>
      </c>
      <c r="K73" s="84">
        <f>'дод 3'!L124</f>
        <v>0</v>
      </c>
      <c r="L73" s="84">
        <f>'дод 3'!M124</f>
        <v>0</v>
      </c>
      <c r="M73" s="84">
        <f>'дод 3'!N124</f>
        <v>0</v>
      </c>
      <c r="N73" s="84">
        <f>'дод 3'!O124</f>
        <v>0</v>
      </c>
      <c r="O73" s="84">
        <f>'дод 3'!P124</f>
        <v>0</v>
      </c>
    </row>
    <row r="74" spans="1:15" s="54" customFormat="1" ht="15.75" hidden="1" customHeight="1" x14ac:dyDescent="0.25">
      <c r="A74" s="82"/>
      <c r="B74" s="82"/>
      <c r="C74" s="83" t="s">
        <v>395</v>
      </c>
      <c r="D74" s="84">
        <f>'дод 3'!E125</f>
        <v>0</v>
      </c>
      <c r="E74" s="84">
        <f>'дод 3'!F125</f>
        <v>0</v>
      </c>
      <c r="F74" s="84">
        <f>'дод 3'!G125</f>
        <v>0</v>
      </c>
      <c r="G74" s="84">
        <f>'дод 3'!H125</f>
        <v>0</v>
      </c>
      <c r="H74" s="84">
        <f>'дод 3'!I125</f>
        <v>0</v>
      </c>
      <c r="I74" s="84">
        <f>'дод 3'!J125</f>
        <v>0</v>
      </c>
      <c r="J74" s="84">
        <f>'дод 3'!K125</f>
        <v>0</v>
      </c>
      <c r="K74" s="84">
        <f>'дод 3'!L125</f>
        <v>0</v>
      </c>
      <c r="L74" s="84">
        <f>'дод 3'!M125</f>
        <v>0</v>
      </c>
      <c r="M74" s="84">
        <f>'дод 3'!N125</f>
        <v>0</v>
      </c>
      <c r="N74" s="84">
        <f>'дод 3'!O125</f>
        <v>0</v>
      </c>
      <c r="O74" s="84">
        <f>'дод 3'!P125</f>
        <v>0</v>
      </c>
    </row>
    <row r="75" spans="1:15" ht="24" hidden="1" customHeight="1" x14ac:dyDescent="0.25">
      <c r="A75" s="37">
        <v>2020</v>
      </c>
      <c r="B75" s="59" t="s">
        <v>452</v>
      </c>
      <c r="C75" s="6" t="s">
        <v>455</v>
      </c>
      <c r="D75" s="49">
        <f>'дод 3'!E126</f>
        <v>0</v>
      </c>
      <c r="E75" s="49">
        <f>'дод 3'!F126</f>
        <v>0</v>
      </c>
      <c r="F75" s="49">
        <f>'дод 3'!G126</f>
        <v>0</v>
      </c>
      <c r="G75" s="49">
        <f>'дод 3'!H126</f>
        <v>0</v>
      </c>
      <c r="H75" s="49">
        <f>'дод 3'!I126</f>
        <v>0</v>
      </c>
      <c r="I75" s="49">
        <f>'дод 3'!J126</f>
        <v>0</v>
      </c>
      <c r="J75" s="49">
        <f>'дод 3'!K126</f>
        <v>0</v>
      </c>
      <c r="K75" s="49">
        <f>'дод 3'!L126</f>
        <v>0</v>
      </c>
      <c r="L75" s="49">
        <f>'дод 3'!M126</f>
        <v>0</v>
      </c>
      <c r="M75" s="49">
        <f>'дод 3'!N126</f>
        <v>0</v>
      </c>
      <c r="N75" s="49">
        <f>'дод 3'!O126</f>
        <v>0</v>
      </c>
      <c r="O75" s="49">
        <f>'дод 3'!P126</f>
        <v>0</v>
      </c>
    </row>
    <row r="76" spans="1:15" ht="36.75" customHeight="1" x14ac:dyDescent="0.25">
      <c r="A76" s="37" t="s">
        <v>122</v>
      </c>
      <c r="B76" s="37" t="s">
        <v>63</v>
      </c>
      <c r="C76" s="6" t="s">
        <v>469</v>
      </c>
      <c r="D76" s="49">
        <f>'дод 3'!E127</f>
        <v>3317600</v>
      </c>
      <c r="E76" s="49">
        <f>'дод 3'!F127</f>
        <v>3317600</v>
      </c>
      <c r="F76" s="49">
        <f>'дод 3'!G127</f>
        <v>0</v>
      </c>
      <c r="G76" s="49">
        <f>'дод 3'!H127</f>
        <v>0</v>
      </c>
      <c r="H76" s="49">
        <f>'дод 3'!I127</f>
        <v>0</v>
      </c>
      <c r="I76" s="49">
        <f>'дод 3'!J127</f>
        <v>5100000</v>
      </c>
      <c r="J76" s="49">
        <f>'дод 3'!K127</f>
        <v>5100000</v>
      </c>
      <c r="K76" s="49">
        <f>'дод 3'!L127</f>
        <v>0</v>
      </c>
      <c r="L76" s="49">
        <f>'дод 3'!M127</f>
        <v>0</v>
      </c>
      <c r="M76" s="49">
        <f>'дод 3'!N127</f>
        <v>0</v>
      </c>
      <c r="N76" s="49">
        <f>'дод 3'!O127</f>
        <v>5100000</v>
      </c>
      <c r="O76" s="49">
        <f>'дод 3'!P127</f>
        <v>8417600</v>
      </c>
    </row>
    <row r="77" spans="1:15" s="54" customFormat="1" ht="31.5" hidden="1" customHeight="1" x14ac:dyDescent="0.25">
      <c r="A77" s="82"/>
      <c r="B77" s="82"/>
      <c r="C77" s="83" t="s">
        <v>392</v>
      </c>
      <c r="D77" s="84">
        <f>'дод 3'!E128</f>
        <v>0</v>
      </c>
      <c r="E77" s="84">
        <f>'дод 3'!F128</f>
        <v>0</v>
      </c>
      <c r="F77" s="84">
        <f>'дод 3'!G128</f>
        <v>0</v>
      </c>
      <c r="G77" s="84">
        <f>'дод 3'!H128</f>
        <v>0</v>
      </c>
      <c r="H77" s="84">
        <f>'дод 3'!I128</f>
        <v>0</v>
      </c>
      <c r="I77" s="84">
        <f>'дод 3'!J128</f>
        <v>0</v>
      </c>
      <c r="J77" s="84">
        <f>'дод 3'!K128</f>
        <v>0</v>
      </c>
      <c r="K77" s="84">
        <f>'дод 3'!L128</f>
        <v>0</v>
      </c>
      <c r="L77" s="84">
        <f>'дод 3'!M128</f>
        <v>0</v>
      </c>
      <c r="M77" s="84">
        <f>'дод 3'!N128</f>
        <v>0</v>
      </c>
      <c r="N77" s="84">
        <f>'дод 3'!O128</f>
        <v>0</v>
      </c>
      <c r="O77" s="84">
        <f>'дод 3'!P128</f>
        <v>0</v>
      </c>
    </row>
    <row r="78" spans="1:15" ht="19.5" customHeight="1" x14ac:dyDescent="0.25">
      <c r="A78" s="37" t="s">
        <v>123</v>
      </c>
      <c r="B78" s="37" t="s">
        <v>64</v>
      </c>
      <c r="C78" s="6" t="s">
        <v>470</v>
      </c>
      <c r="D78" s="49">
        <f>'дод 3'!E129</f>
        <v>7602100</v>
      </c>
      <c r="E78" s="49">
        <f>'дод 3'!F129</f>
        <v>7602100</v>
      </c>
      <c r="F78" s="49">
        <f>'дод 3'!G129</f>
        <v>0</v>
      </c>
      <c r="G78" s="49">
        <f>'дод 3'!H129</f>
        <v>0</v>
      </c>
      <c r="H78" s="49">
        <f>'дод 3'!I129</f>
        <v>0</v>
      </c>
      <c r="I78" s="49">
        <f>'дод 3'!J129</f>
        <v>0</v>
      </c>
      <c r="J78" s="49">
        <f>'дод 3'!K129</f>
        <v>0</v>
      </c>
      <c r="K78" s="49">
        <f>'дод 3'!L129</f>
        <v>0</v>
      </c>
      <c r="L78" s="49">
        <f>'дод 3'!M129</f>
        <v>0</v>
      </c>
      <c r="M78" s="49">
        <f>'дод 3'!N129</f>
        <v>0</v>
      </c>
      <c r="N78" s="49">
        <f>'дод 3'!O129</f>
        <v>0</v>
      </c>
      <c r="O78" s="49">
        <f>'дод 3'!P129</f>
        <v>7602100</v>
      </c>
    </row>
    <row r="79" spans="1:15" s="54" customFormat="1" ht="31.5" hidden="1" customHeight="1" x14ac:dyDescent="0.25">
      <c r="A79" s="82"/>
      <c r="B79" s="82"/>
      <c r="C79" s="83" t="s">
        <v>392</v>
      </c>
      <c r="D79" s="84">
        <f>'дод 3'!E130</f>
        <v>0</v>
      </c>
      <c r="E79" s="84">
        <f>'дод 3'!F130</f>
        <v>0</v>
      </c>
      <c r="F79" s="84">
        <f>'дод 3'!G130</f>
        <v>0</v>
      </c>
      <c r="G79" s="84">
        <f>'дод 3'!H130</f>
        <v>0</v>
      </c>
      <c r="H79" s="84">
        <f>'дод 3'!I130</f>
        <v>0</v>
      </c>
      <c r="I79" s="84">
        <f>'дод 3'!J130</f>
        <v>0</v>
      </c>
      <c r="J79" s="84">
        <f>'дод 3'!K130</f>
        <v>0</v>
      </c>
      <c r="K79" s="84">
        <f>'дод 3'!L130</f>
        <v>0</v>
      </c>
      <c r="L79" s="84">
        <f>'дод 3'!M130</f>
        <v>0</v>
      </c>
      <c r="M79" s="84">
        <f>'дод 3'!N130</f>
        <v>0</v>
      </c>
      <c r="N79" s="84">
        <f>'дод 3'!O130</f>
        <v>0</v>
      </c>
      <c r="O79" s="84">
        <f>'дод 3'!P130</f>
        <v>0</v>
      </c>
    </row>
    <row r="80" spans="1:15" ht="48.75" customHeight="1" x14ac:dyDescent="0.25">
      <c r="A80" s="37" t="s">
        <v>124</v>
      </c>
      <c r="B80" s="37" t="s">
        <v>315</v>
      </c>
      <c r="C80" s="6" t="s">
        <v>471</v>
      </c>
      <c r="D80" s="49">
        <f>'дод 3'!E131</f>
        <v>2680200</v>
      </c>
      <c r="E80" s="49">
        <f>'дод 3'!F131</f>
        <v>2680200</v>
      </c>
      <c r="F80" s="49">
        <f>'дод 3'!G131</f>
        <v>0</v>
      </c>
      <c r="G80" s="49">
        <f>'дод 3'!H131</f>
        <v>0</v>
      </c>
      <c r="H80" s="49">
        <f>'дод 3'!I131</f>
        <v>0</v>
      </c>
      <c r="I80" s="49">
        <f>'дод 3'!J131</f>
        <v>0</v>
      </c>
      <c r="J80" s="49">
        <f>'дод 3'!K131</f>
        <v>0</v>
      </c>
      <c r="K80" s="49">
        <f>'дод 3'!L131</f>
        <v>0</v>
      </c>
      <c r="L80" s="49">
        <f>'дод 3'!M131</f>
        <v>0</v>
      </c>
      <c r="M80" s="49">
        <f>'дод 3'!N131</f>
        <v>0</v>
      </c>
      <c r="N80" s="49">
        <f>'дод 3'!O131</f>
        <v>0</v>
      </c>
      <c r="O80" s="49">
        <f>'дод 3'!P131</f>
        <v>2680200</v>
      </c>
    </row>
    <row r="81" spans="1:15" s="54" customFormat="1" ht="47.25" hidden="1" customHeight="1" x14ac:dyDescent="0.25">
      <c r="A81" s="82"/>
      <c r="B81" s="82"/>
      <c r="C81" s="85" t="s">
        <v>394</v>
      </c>
      <c r="D81" s="84">
        <f>'дод 3'!E132</f>
        <v>0</v>
      </c>
      <c r="E81" s="84">
        <f>'дод 3'!F132</f>
        <v>0</v>
      </c>
      <c r="F81" s="84">
        <f>'дод 3'!G132</f>
        <v>0</v>
      </c>
      <c r="G81" s="84">
        <f>'дод 3'!H132</f>
        <v>0</v>
      </c>
      <c r="H81" s="84">
        <f>'дод 3'!I132</f>
        <v>0</v>
      </c>
      <c r="I81" s="84">
        <f>'дод 3'!J132</f>
        <v>0</v>
      </c>
      <c r="J81" s="84">
        <f>'дод 3'!K132</f>
        <v>0</v>
      </c>
      <c r="K81" s="84">
        <f>'дод 3'!L132</f>
        <v>0</v>
      </c>
      <c r="L81" s="84">
        <f>'дод 3'!M132</f>
        <v>0</v>
      </c>
      <c r="M81" s="84">
        <f>'дод 3'!N132</f>
        <v>0</v>
      </c>
      <c r="N81" s="84">
        <f>'дод 3'!O132</f>
        <v>0</v>
      </c>
      <c r="O81" s="84">
        <f>'дод 3'!P132</f>
        <v>0</v>
      </c>
    </row>
    <row r="82" spans="1:15" ht="31.5" x14ac:dyDescent="0.25">
      <c r="A82" s="40">
        <v>2144</v>
      </c>
      <c r="B82" s="37" t="s">
        <v>65</v>
      </c>
      <c r="C82" s="6" t="s">
        <v>406</v>
      </c>
      <c r="D82" s="49">
        <f>'дод 3'!E133</f>
        <v>11403700</v>
      </c>
      <c r="E82" s="49">
        <f>'дод 3'!F133</f>
        <v>11403700</v>
      </c>
      <c r="F82" s="49">
        <f>'дод 3'!G133</f>
        <v>0</v>
      </c>
      <c r="G82" s="49">
        <f>'дод 3'!H133</f>
        <v>0</v>
      </c>
      <c r="H82" s="49">
        <f>'дод 3'!I133</f>
        <v>0</v>
      </c>
      <c r="I82" s="49">
        <f>'дод 3'!J133</f>
        <v>0</v>
      </c>
      <c r="J82" s="49">
        <f>'дод 3'!K133</f>
        <v>0</v>
      </c>
      <c r="K82" s="49">
        <f>'дод 3'!L133</f>
        <v>0</v>
      </c>
      <c r="L82" s="49">
        <f>'дод 3'!M133</f>
        <v>0</v>
      </c>
      <c r="M82" s="49">
        <f>'дод 3'!N133</f>
        <v>0</v>
      </c>
      <c r="N82" s="49">
        <f>'дод 3'!O133</f>
        <v>0</v>
      </c>
      <c r="O82" s="49">
        <f>'дод 3'!P133</f>
        <v>11403700</v>
      </c>
    </row>
    <row r="83" spans="1:15" s="54" customFormat="1" ht="47.25" hidden="1" customHeight="1" x14ac:dyDescent="0.25">
      <c r="A83" s="86"/>
      <c r="B83" s="82"/>
      <c r="C83" s="83" t="s">
        <v>393</v>
      </c>
      <c r="D83" s="84">
        <f>'дод 3'!E134</f>
        <v>0</v>
      </c>
      <c r="E83" s="84">
        <f>'дод 3'!F134</f>
        <v>0</v>
      </c>
      <c r="F83" s="84">
        <f>'дод 3'!G134</f>
        <v>0</v>
      </c>
      <c r="G83" s="84">
        <f>'дод 3'!H134</f>
        <v>0</v>
      </c>
      <c r="H83" s="84">
        <f>'дод 3'!I134</f>
        <v>0</v>
      </c>
      <c r="I83" s="84">
        <f>'дод 3'!J134</f>
        <v>0</v>
      </c>
      <c r="J83" s="84">
        <f>'дод 3'!K134</f>
        <v>0</v>
      </c>
      <c r="K83" s="84">
        <f>'дод 3'!L134</f>
        <v>0</v>
      </c>
      <c r="L83" s="84">
        <f>'дод 3'!M134</f>
        <v>0</v>
      </c>
      <c r="M83" s="84">
        <f>'дод 3'!N134</f>
        <v>0</v>
      </c>
      <c r="N83" s="84">
        <f>'дод 3'!O134</f>
        <v>0</v>
      </c>
      <c r="O83" s="84">
        <f>'дод 3'!P134</f>
        <v>0</v>
      </c>
    </row>
    <row r="84" spans="1:15" s="54" customFormat="1" ht="63" x14ac:dyDescent="0.25">
      <c r="A84" s="86"/>
      <c r="B84" s="82"/>
      <c r="C84" s="83" t="s">
        <v>394</v>
      </c>
      <c r="D84" s="84">
        <f>'дод 3'!E135</f>
        <v>11403700</v>
      </c>
      <c r="E84" s="84">
        <f>'дод 3'!F135</f>
        <v>11403700</v>
      </c>
      <c r="F84" s="84">
        <f>'дод 3'!G135</f>
        <v>0</v>
      </c>
      <c r="G84" s="84">
        <f>'дод 3'!H135</f>
        <v>0</v>
      </c>
      <c r="H84" s="84">
        <f>'дод 3'!I135</f>
        <v>0</v>
      </c>
      <c r="I84" s="84">
        <f>'дод 3'!J135</f>
        <v>0</v>
      </c>
      <c r="J84" s="84">
        <f>'дод 3'!K135</f>
        <v>0</v>
      </c>
      <c r="K84" s="84">
        <f>'дод 3'!L135</f>
        <v>0</v>
      </c>
      <c r="L84" s="84">
        <f>'дод 3'!M135</f>
        <v>0</v>
      </c>
      <c r="M84" s="84">
        <f>'дод 3'!N135</f>
        <v>0</v>
      </c>
      <c r="N84" s="84">
        <f>'дод 3'!O135</f>
        <v>0</v>
      </c>
      <c r="O84" s="84">
        <f>'дод 3'!P135</f>
        <v>11403700</v>
      </c>
    </row>
    <row r="85" spans="1:15" ht="33.75" customHeight="1" x14ac:dyDescent="0.25">
      <c r="A85" s="37" t="s">
        <v>284</v>
      </c>
      <c r="B85" s="37" t="s">
        <v>65</v>
      </c>
      <c r="C85" s="3" t="s">
        <v>286</v>
      </c>
      <c r="D85" s="49">
        <f>'дод 3'!E136</f>
        <v>3049300</v>
      </c>
      <c r="E85" s="49">
        <f>'дод 3'!F136</f>
        <v>3049300</v>
      </c>
      <c r="F85" s="49">
        <f>'дод 3'!G136</f>
        <v>2387600</v>
      </c>
      <c r="G85" s="49">
        <f>'дод 3'!H136</f>
        <v>48700</v>
      </c>
      <c r="H85" s="49">
        <f>'дод 3'!I136</f>
        <v>0</v>
      </c>
      <c r="I85" s="49">
        <f>'дод 3'!J136</f>
        <v>0</v>
      </c>
      <c r="J85" s="49">
        <f>'дод 3'!K136</f>
        <v>0</v>
      </c>
      <c r="K85" s="49">
        <f>'дод 3'!L136</f>
        <v>0</v>
      </c>
      <c r="L85" s="49">
        <f>'дод 3'!M136</f>
        <v>0</v>
      </c>
      <c r="M85" s="49">
        <f>'дод 3'!N136</f>
        <v>0</v>
      </c>
      <c r="N85" s="49">
        <f>'дод 3'!O136</f>
        <v>0</v>
      </c>
      <c r="O85" s="49">
        <f>'дод 3'!P136</f>
        <v>3049300</v>
      </c>
    </row>
    <row r="86" spans="1:15" ht="21.75" customHeight="1" x14ac:dyDescent="0.25">
      <c r="A86" s="37" t="s">
        <v>285</v>
      </c>
      <c r="B86" s="37" t="s">
        <v>65</v>
      </c>
      <c r="C86" s="3" t="s">
        <v>287</v>
      </c>
      <c r="D86" s="49">
        <f>'дод 3'!E137</f>
        <v>19783800</v>
      </c>
      <c r="E86" s="49">
        <f>'дод 3'!F137</f>
        <v>19783800</v>
      </c>
      <c r="F86" s="49">
        <f>'дод 3'!G137</f>
        <v>0</v>
      </c>
      <c r="G86" s="49">
        <f>'дод 3'!H137</f>
        <v>0</v>
      </c>
      <c r="H86" s="49">
        <f>'дод 3'!I137</f>
        <v>0</v>
      </c>
      <c r="I86" s="49">
        <f>'дод 3'!J137</f>
        <v>23031354</v>
      </c>
      <c r="J86" s="49">
        <f>'дод 3'!K137</f>
        <v>23031354</v>
      </c>
      <c r="K86" s="49">
        <f>'дод 3'!L137</f>
        <v>0</v>
      </c>
      <c r="L86" s="49">
        <f>'дод 3'!M137</f>
        <v>0</v>
      </c>
      <c r="M86" s="49">
        <f>'дод 3'!N137</f>
        <v>0</v>
      </c>
      <c r="N86" s="49">
        <f>'дод 3'!O137</f>
        <v>23031354</v>
      </c>
      <c r="O86" s="49">
        <f>'дод 3'!P137</f>
        <v>42815154</v>
      </c>
    </row>
    <row r="87" spans="1:15" s="52" customFormat="1" ht="33" customHeight="1" x14ac:dyDescent="0.25">
      <c r="A87" s="38" t="s">
        <v>66</v>
      </c>
      <c r="B87" s="41"/>
      <c r="C87" s="2" t="s">
        <v>524</v>
      </c>
      <c r="D87" s="48">
        <f>D91+D92+D93+D95+D96+D97+D99+D101+D102+D103+D104+D105+D106+D107+D108+D110+D112+D113+D114+D115+D116+D121+D122</f>
        <v>149307589.35000002</v>
      </c>
      <c r="E87" s="48">
        <f t="shared" ref="E87:O87" si="14">E91+E92+E93+E95+E96+E97+E99+E101+E102+E103+E104+E105+E106+E107+E108+E110+E112+E113+E114+E115+E116+E121+E122</f>
        <v>149307589.35000002</v>
      </c>
      <c r="F87" s="48">
        <f t="shared" si="14"/>
        <v>21152900</v>
      </c>
      <c r="G87" s="48">
        <f t="shared" si="14"/>
        <v>704230</v>
      </c>
      <c r="H87" s="48">
        <f t="shared" si="14"/>
        <v>0</v>
      </c>
      <c r="I87" s="48">
        <f t="shared" si="14"/>
        <v>302200</v>
      </c>
      <c r="J87" s="48">
        <f t="shared" si="14"/>
        <v>206000</v>
      </c>
      <c r="K87" s="48">
        <f t="shared" si="14"/>
        <v>96200</v>
      </c>
      <c r="L87" s="48">
        <f t="shared" si="14"/>
        <v>75000</v>
      </c>
      <c r="M87" s="48">
        <f t="shared" si="14"/>
        <v>0</v>
      </c>
      <c r="N87" s="48">
        <f t="shared" si="14"/>
        <v>206000</v>
      </c>
      <c r="O87" s="48">
        <f t="shared" si="14"/>
        <v>149609789.35000002</v>
      </c>
    </row>
    <row r="88" spans="1:15" s="53" customFormat="1" ht="262.5" hidden="1" customHeight="1" x14ac:dyDescent="0.25">
      <c r="A88" s="75"/>
      <c r="B88" s="76"/>
      <c r="C88" s="79" t="s">
        <v>448</v>
      </c>
      <c r="D88" s="80">
        <f>D118</f>
        <v>0</v>
      </c>
      <c r="E88" s="80">
        <f t="shared" ref="E88:O88" si="15">E118</f>
        <v>0</v>
      </c>
      <c r="F88" s="80">
        <f t="shared" si="15"/>
        <v>0</v>
      </c>
      <c r="G88" s="80">
        <f t="shared" si="15"/>
        <v>0</v>
      </c>
      <c r="H88" s="80">
        <f t="shared" si="15"/>
        <v>0</v>
      </c>
      <c r="I88" s="80">
        <f t="shared" si="15"/>
        <v>0</v>
      </c>
      <c r="J88" s="80">
        <f t="shared" si="15"/>
        <v>0</v>
      </c>
      <c r="K88" s="80">
        <f t="shared" si="15"/>
        <v>0</v>
      </c>
      <c r="L88" s="80">
        <f t="shared" si="15"/>
        <v>0</v>
      </c>
      <c r="M88" s="80">
        <f t="shared" si="15"/>
        <v>0</v>
      </c>
      <c r="N88" s="80">
        <f t="shared" si="15"/>
        <v>0</v>
      </c>
      <c r="O88" s="80">
        <f t="shared" si="15"/>
        <v>0</v>
      </c>
    </row>
    <row r="89" spans="1:15" s="53" customFormat="1" ht="231" hidden="1" customHeight="1" x14ac:dyDescent="0.25">
      <c r="A89" s="75"/>
      <c r="B89" s="76"/>
      <c r="C89" s="79" t="s">
        <v>447</v>
      </c>
      <c r="D89" s="80">
        <f>D120</f>
        <v>0</v>
      </c>
      <c r="E89" s="80">
        <f t="shared" ref="E89:O89" si="16">E120</f>
        <v>0</v>
      </c>
      <c r="F89" s="80">
        <f t="shared" si="16"/>
        <v>0</v>
      </c>
      <c r="G89" s="80">
        <f t="shared" si="16"/>
        <v>0</v>
      </c>
      <c r="H89" s="80">
        <f t="shared" si="16"/>
        <v>0</v>
      </c>
      <c r="I89" s="80">
        <f t="shared" si="16"/>
        <v>0</v>
      </c>
      <c r="J89" s="80">
        <f t="shared" si="16"/>
        <v>0</v>
      </c>
      <c r="K89" s="80">
        <f t="shared" si="16"/>
        <v>0</v>
      </c>
      <c r="L89" s="80">
        <f t="shared" si="16"/>
        <v>0</v>
      </c>
      <c r="M89" s="80">
        <f t="shared" si="16"/>
        <v>0</v>
      </c>
      <c r="N89" s="80">
        <f t="shared" si="16"/>
        <v>0</v>
      </c>
      <c r="O89" s="80">
        <f t="shared" si="16"/>
        <v>0</v>
      </c>
    </row>
    <row r="90" spans="1:15" s="53" customFormat="1" x14ac:dyDescent="0.25">
      <c r="A90" s="75"/>
      <c r="B90" s="76"/>
      <c r="C90" s="79" t="s">
        <v>397</v>
      </c>
      <c r="D90" s="80">
        <f>D94+D98+D100+D109+D111+D123</f>
        <v>4858460.24</v>
      </c>
      <c r="E90" s="80">
        <f t="shared" ref="E90:O90" si="17">E94+E98+E100+E109+E111+E123</f>
        <v>4858460.24</v>
      </c>
      <c r="F90" s="80">
        <f t="shared" si="17"/>
        <v>0</v>
      </c>
      <c r="G90" s="80">
        <f t="shared" si="17"/>
        <v>0</v>
      </c>
      <c r="H90" s="80">
        <f t="shared" si="17"/>
        <v>0</v>
      </c>
      <c r="I90" s="80">
        <f t="shared" si="17"/>
        <v>0</v>
      </c>
      <c r="J90" s="80">
        <f t="shared" si="17"/>
        <v>0</v>
      </c>
      <c r="K90" s="80">
        <f t="shared" si="17"/>
        <v>0</v>
      </c>
      <c r="L90" s="80">
        <f t="shared" si="17"/>
        <v>0</v>
      </c>
      <c r="M90" s="80">
        <f t="shared" si="17"/>
        <v>0</v>
      </c>
      <c r="N90" s="80">
        <f t="shared" si="17"/>
        <v>0</v>
      </c>
      <c r="O90" s="80">
        <f t="shared" si="17"/>
        <v>4858460.24</v>
      </c>
    </row>
    <row r="91" spans="1:15" ht="38.25" customHeight="1" x14ac:dyDescent="0.25">
      <c r="A91" s="37" t="s">
        <v>100</v>
      </c>
      <c r="B91" s="37" t="s">
        <v>53</v>
      </c>
      <c r="C91" s="3" t="s">
        <v>125</v>
      </c>
      <c r="D91" s="49">
        <f>'дод 3'!E153</f>
        <v>604900</v>
      </c>
      <c r="E91" s="49">
        <f>'дод 3'!F153</f>
        <v>604900</v>
      </c>
      <c r="F91" s="49">
        <f>'дод 3'!G153</f>
        <v>0</v>
      </c>
      <c r="G91" s="49">
        <f>'дод 3'!H153</f>
        <v>0</v>
      </c>
      <c r="H91" s="49">
        <f>'дод 3'!I153</f>
        <v>0</v>
      </c>
      <c r="I91" s="49">
        <f>'дод 3'!J153</f>
        <v>0</v>
      </c>
      <c r="J91" s="49">
        <f>'дод 3'!K153</f>
        <v>0</v>
      </c>
      <c r="K91" s="49">
        <f>'дод 3'!L153</f>
        <v>0</v>
      </c>
      <c r="L91" s="49">
        <f>'дод 3'!M153</f>
        <v>0</v>
      </c>
      <c r="M91" s="49">
        <f>'дод 3'!N153</f>
        <v>0</v>
      </c>
      <c r="N91" s="49">
        <f>'дод 3'!O153</f>
        <v>0</v>
      </c>
      <c r="O91" s="49">
        <f>'дод 3'!P153</f>
        <v>604900</v>
      </c>
    </row>
    <row r="92" spans="1:15" ht="36.75" customHeight="1" x14ac:dyDescent="0.25">
      <c r="A92" s="37" t="s">
        <v>126</v>
      </c>
      <c r="B92" s="37" t="s">
        <v>55</v>
      </c>
      <c r="C92" s="3" t="s">
        <v>362</v>
      </c>
      <c r="D92" s="49">
        <f>'дод 3'!E154</f>
        <v>1129230</v>
      </c>
      <c r="E92" s="49">
        <f>'дод 3'!F154</f>
        <v>1129230</v>
      </c>
      <c r="F92" s="49">
        <f>'дод 3'!G154</f>
        <v>0</v>
      </c>
      <c r="G92" s="49">
        <f>'дод 3'!H154</f>
        <v>0</v>
      </c>
      <c r="H92" s="49">
        <f>'дод 3'!I154</f>
        <v>0</v>
      </c>
      <c r="I92" s="49">
        <f>'дод 3'!J154</f>
        <v>0</v>
      </c>
      <c r="J92" s="49">
        <f>'дод 3'!K154</f>
        <v>0</v>
      </c>
      <c r="K92" s="49">
        <f>'дод 3'!L154</f>
        <v>0</v>
      </c>
      <c r="L92" s="49">
        <f>'дод 3'!M154</f>
        <v>0</v>
      </c>
      <c r="M92" s="49">
        <f>'дод 3'!N154</f>
        <v>0</v>
      </c>
      <c r="N92" s="49">
        <f>'дод 3'!O154</f>
        <v>0</v>
      </c>
      <c r="O92" s="49">
        <f>'дод 3'!P154</f>
        <v>1129230</v>
      </c>
    </row>
    <row r="93" spans="1:15" ht="47.25" x14ac:dyDescent="0.25">
      <c r="A93" s="37" t="s">
        <v>101</v>
      </c>
      <c r="B93" s="37" t="s">
        <v>55</v>
      </c>
      <c r="C93" s="3" t="s">
        <v>413</v>
      </c>
      <c r="D93" s="49">
        <f>'дод 3'!E155+'дод 3'!E26</f>
        <v>23369861.240000002</v>
      </c>
      <c r="E93" s="49">
        <f>'дод 3'!F155+'дод 3'!F26</f>
        <v>23369861.240000002</v>
      </c>
      <c r="F93" s="49">
        <f>'дод 3'!G155+'дод 3'!G26</f>
        <v>0</v>
      </c>
      <c r="G93" s="49">
        <f>'дод 3'!H155+'дод 3'!H26</f>
        <v>0</v>
      </c>
      <c r="H93" s="49">
        <f>'дод 3'!I155+'дод 3'!I26</f>
        <v>0</v>
      </c>
      <c r="I93" s="49">
        <f>'дод 3'!J155+'дод 3'!J26</f>
        <v>0</v>
      </c>
      <c r="J93" s="49">
        <f>'дод 3'!K155+'дод 3'!K26</f>
        <v>0</v>
      </c>
      <c r="K93" s="49">
        <f>'дод 3'!L155+'дод 3'!L26</f>
        <v>0</v>
      </c>
      <c r="L93" s="49">
        <f>'дод 3'!M155+'дод 3'!M26</f>
        <v>0</v>
      </c>
      <c r="M93" s="49">
        <f>'дод 3'!N155+'дод 3'!N26</f>
        <v>0</v>
      </c>
      <c r="N93" s="49">
        <f>'дод 3'!O155+'дод 3'!O26</f>
        <v>0</v>
      </c>
      <c r="O93" s="49">
        <f>'дод 3'!P155+'дод 3'!P26</f>
        <v>23369861.240000002</v>
      </c>
    </row>
    <row r="94" spans="1:15" s="54" customFormat="1" ht="21.75" customHeight="1" x14ac:dyDescent="0.25">
      <c r="A94" s="82"/>
      <c r="B94" s="82"/>
      <c r="C94" s="83" t="s">
        <v>395</v>
      </c>
      <c r="D94" s="84">
        <f>'дод 3'!E156</f>
        <v>3399661.24</v>
      </c>
      <c r="E94" s="84">
        <f>'дод 3'!F156</f>
        <v>3399661.24</v>
      </c>
      <c r="F94" s="84">
        <f>'дод 3'!G156</f>
        <v>0</v>
      </c>
      <c r="G94" s="84">
        <f>'дод 3'!H156</f>
        <v>0</v>
      </c>
      <c r="H94" s="84">
        <f>'дод 3'!I156</f>
        <v>0</v>
      </c>
      <c r="I94" s="84">
        <f>'дод 3'!J156</f>
        <v>0</v>
      </c>
      <c r="J94" s="84">
        <f>'дод 3'!K156</f>
        <v>0</v>
      </c>
      <c r="K94" s="84">
        <f>'дод 3'!L156</f>
        <v>0</v>
      </c>
      <c r="L94" s="84">
        <f>'дод 3'!M156</f>
        <v>0</v>
      </c>
      <c r="M94" s="84">
        <f>'дод 3'!N156</f>
        <v>0</v>
      </c>
      <c r="N94" s="84">
        <f>'дод 3'!O156</f>
        <v>0</v>
      </c>
      <c r="O94" s="84">
        <f>'дод 3'!P156</f>
        <v>3399661.24</v>
      </c>
    </row>
    <row r="95" spans="1:15" ht="36" customHeight="1" x14ac:dyDescent="0.25">
      <c r="A95" s="37" t="s">
        <v>325</v>
      </c>
      <c r="B95" s="37" t="s">
        <v>55</v>
      </c>
      <c r="C95" s="3" t="s">
        <v>324</v>
      </c>
      <c r="D95" s="49">
        <f>'дод 3'!E157</f>
        <v>1500000</v>
      </c>
      <c r="E95" s="49">
        <f>'дод 3'!F157</f>
        <v>1500000</v>
      </c>
      <c r="F95" s="49">
        <f>'дод 3'!G157</f>
        <v>0</v>
      </c>
      <c r="G95" s="49">
        <f>'дод 3'!H157</f>
        <v>0</v>
      </c>
      <c r="H95" s="49">
        <f>'дод 3'!I157</f>
        <v>0</v>
      </c>
      <c r="I95" s="49">
        <f>'дод 3'!J157</f>
        <v>0</v>
      </c>
      <c r="J95" s="49">
        <f>'дод 3'!K157</f>
        <v>0</v>
      </c>
      <c r="K95" s="49">
        <f>'дод 3'!L157</f>
        <v>0</v>
      </c>
      <c r="L95" s="49">
        <f>'дод 3'!M157</f>
        <v>0</v>
      </c>
      <c r="M95" s="49">
        <f>'дод 3'!N157</f>
        <v>0</v>
      </c>
      <c r="N95" s="49">
        <f>'дод 3'!O157</f>
        <v>0</v>
      </c>
      <c r="O95" s="49">
        <f>'дод 3'!P157</f>
        <v>1500000</v>
      </c>
    </row>
    <row r="96" spans="1:15" ht="44.25" customHeight="1" x14ac:dyDescent="0.25">
      <c r="A96" s="37" t="s">
        <v>127</v>
      </c>
      <c r="B96" s="37" t="s">
        <v>55</v>
      </c>
      <c r="C96" s="3" t="s">
        <v>19</v>
      </c>
      <c r="D96" s="49">
        <f>'дод 3'!E158+'дод 3'!E27</f>
        <v>37759500</v>
      </c>
      <c r="E96" s="49">
        <f>'дод 3'!F158+'дод 3'!F27</f>
        <v>37759500</v>
      </c>
      <c r="F96" s="49">
        <f>'дод 3'!G158+'дод 3'!G27</f>
        <v>0</v>
      </c>
      <c r="G96" s="49">
        <f>'дод 3'!H158+'дод 3'!H27</f>
        <v>0</v>
      </c>
      <c r="H96" s="49">
        <f>'дод 3'!I158+'дод 3'!I27</f>
        <v>0</v>
      </c>
      <c r="I96" s="49">
        <f>'дод 3'!J158+'дод 3'!J27</f>
        <v>0</v>
      </c>
      <c r="J96" s="49">
        <f>'дод 3'!K158+'дод 3'!K27</f>
        <v>0</v>
      </c>
      <c r="K96" s="49">
        <f>'дод 3'!L158+'дод 3'!L27</f>
        <v>0</v>
      </c>
      <c r="L96" s="49">
        <f>'дод 3'!M158+'дод 3'!M27</f>
        <v>0</v>
      </c>
      <c r="M96" s="49">
        <f>'дод 3'!N158+'дод 3'!N27</f>
        <v>0</v>
      </c>
      <c r="N96" s="49">
        <f>'дод 3'!O158+'дод 3'!O27</f>
        <v>0</v>
      </c>
      <c r="O96" s="49">
        <f>'дод 3'!P158+'дод 3'!P27</f>
        <v>37759500</v>
      </c>
    </row>
    <row r="97" spans="1:15" ht="55.5" customHeight="1" x14ac:dyDescent="0.25">
      <c r="A97" s="37" t="s">
        <v>103</v>
      </c>
      <c r="B97" s="37" t="s">
        <v>55</v>
      </c>
      <c r="C97" s="3" t="s">
        <v>411</v>
      </c>
      <c r="D97" s="49">
        <f>'дод 3'!E159</f>
        <v>667500</v>
      </c>
      <c r="E97" s="49">
        <f>'дод 3'!F159</f>
        <v>667500</v>
      </c>
      <c r="F97" s="49">
        <f>'дод 3'!G159</f>
        <v>0</v>
      </c>
      <c r="G97" s="49">
        <f>'дод 3'!H159</f>
        <v>0</v>
      </c>
      <c r="H97" s="49">
        <f>'дод 3'!I159</f>
        <v>0</v>
      </c>
      <c r="I97" s="49">
        <f>'дод 3'!J159</f>
        <v>0</v>
      </c>
      <c r="J97" s="49">
        <f>'дод 3'!K159</f>
        <v>0</v>
      </c>
      <c r="K97" s="49">
        <f>'дод 3'!L159</f>
        <v>0</v>
      </c>
      <c r="L97" s="49">
        <f>'дод 3'!M159</f>
        <v>0</v>
      </c>
      <c r="M97" s="49">
        <f>'дод 3'!N159</f>
        <v>0</v>
      </c>
      <c r="N97" s="49">
        <f>'дод 3'!O159</f>
        <v>0</v>
      </c>
      <c r="O97" s="49">
        <f>'дод 3'!P159</f>
        <v>667500</v>
      </c>
    </row>
    <row r="98" spans="1:15" s="54" customFormat="1" x14ac:dyDescent="0.25">
      <c r="A98" s="82"/>
      <c r="B98" s="82"/>
      <c r="C98" s="83" t="s">
        <v>395</v>
      </c>
      <c r="D98" s="84">
        <f>'дод 3'!E160</f>
        <v>667500</v>
      </c>
      <c r="E98" s="84">
        <f>'дод 3'!F160</f>
        <v>667500</v>
      </c>
      <c r="F98" s="84">
        <f>'дод 3'!G160</f>
        <v>0</v>
      </c>
      <c r="G98" s="84">
        <f>'дод 3'!H160</f>
        <v>0</v>
      </c>
      <c r="H98" s="84">
        <f>'дод 3'!I160</f>
        <v>0</v>
      </c>
      <c r="I98" s="84">
        <f>'дод 3'!J160</f>
        <v>0</v>
      </c>
      <c r="J98" s="84">
        <f>'дод 3'!K160</f>
        <v>0</v>
      </c>
      <c r="K98" s="84">
        <f>'дод 3'!L160</f>
        <v>0</v>
      </c>
      <c r="L98" s="84">
        <f>'дод 3'!M160</f>
        <v>0</v>
      </c>
      <c r="M98" s="84">
        <f>'дод 3'!N160</f>
        <v>0</v>
      </c>
      <c r="N98" s="84">
        <f>'дод 3'!O160</f>
        <v>0</v>
      </c>
      <c r="O98" s="84">
        <f>'дод 3'!P160</f>
        <v>667500</v>
      </c>
    </row>
    <row r="99" spans="1:15" ht="40.5" customHeight="1" x14ac:dyDescent="0.25">
      <c r="A99" s="37" t="s">
        <v>317</v>
      </c>
      <c r="B99" s="37" t="s">
        <v>53</v>
      </c>
      <c r="C99" s="3" t="s">
        <v>412</v>
      </c>
      <c r="D99" s="49">
        <f>'дод 3'!E161</f>
        <v>245000</v>
      </c>
      <c r="E99" s="49">
        <f>'дод 3'!F161</f>
        <v>245000</v>
      </c>
      <c r="F99" s="49">
        <f>'дод 3'!G161</f>
        <v>0</v>
      </c>
      <c r="G99" s="49">
        <f>'дод 3'!H161</f>
        <v>0</v>
      </c>
      <c r="H99" s="49">
        <f>'дод 3'!I161</f>
        <v>0</v>
      </c>
      <c r="I99" s="49">
        <f>'дод 3'!J161</f>
        <v>0</v>
      </c>
      <c r="J99" s="49">
        <f>'дод 3'!K161</f>
        <v>0</v>
      </c>
      <c r="K99" s="49">
        <f>'дод 3'!L161</f>
        <v>0</v>
      </c>
      <c r="L99" s="49">
        <f>'дод 3'!M161</f>
        <v>0</v>
      </c>
      <c r="M99" s="49">
        <f>'дод 3'!N161</f>
        <v>0</v>
      </c>
      <c r="N99" s="49">
        <f>'дод 3'!O161</f>
        <v>0</v>
      </c>
      <c r="O99" s="49">
        <f>'дод 3'!P161</f>
        <v>245000</v>
      </c>
    </row>
    <row r="100" spans="1:15" s="54" customFormat="1" x14ac:dyDescent="0.25">
      <c r="A100" s="82"/>
      <c r="B100" s="82"/>
      <c r="C100" s="83" t="s">
        <v>395</v>
      </c>
      <c r="D100" s="84">
        <f>'дод 3'!E162</f>
        <v>245000</v>
      </c>
      <c r="E100" s="84">
        <f>'дод 3'!F162</f>
        <v>245000</v>
      </c>
      <c r="F100" s="84">
        <f>'дод 3'!G162</f>
        <v>0</v>
      </c>
      <c r="G100" s="84">
        <f>'дод 3'!H162</f>
        <v>0</v>
      </c>
      <c r="H100" s="84">
        <f>'дод 3'!I162</f>
        <v>0</v>
      </c>
      <c r="I100" s="84">
        <f>'дод 3'!J162</f>
        <v>0</v>
      </c>
      <c r="J100" s="84">
        <f>'дод 3'!K162</f>
        <v>0</v>
      </c>
      <c r="K100" s="84">
        <f>'дод 3'!L162</f>
        <v>0</v>
      </c>
      <c r="L100" s="84">
        <f>'дод 3'!M162</f>
        <v>0</v>
      </c>
      <c r="M100" s="84">
        <f>'дод 3'!N162</f>
        <v>0</v>
      </c>
      <c r="N100" s="84">
        <f>'дод 3'!O162</f>
        <v>0</v>
      </c>
      <c r="O100" s="84">
        <f>'дод 3'!P162</f>
        <v>245000</v>
      </c>
    </row>
    <row r="101" spans="1:15" ht="66.75" customHeight="1" x14ac:dyDescent="0.25">
      <c r="A101" s="37" t="s">
        <v>104</v>
      </c>
      <c r="B101" s="37" t="s">
        <v>51</v>
      </c>
      <c r="C101" s="3" t="s">
        <v>31</v>
      </c>
      <c r="D101" s="49">
        <f>'дод 3'!E163</f>
        <v>17414450</v>
      </c>
      <c r="E101" s="49">
        <f>'дод 3'!F163</f>
        <v>17414450</v>
      </c>
      <c r="F101" s="49">
        <f>'дод 3'!G163</f>
        <v>13551350</v>
      </c>
      <c r="G101" s="49">
        <f>'дод 3'!H163</f>
        <v>234800</v>
      </c>
      <c r="H101" s="49">
        <f>'дод 3'!I163</f>
        <v>0</v>
      </c>
      <c r="I101" s="49">
        <f>'дод 3'!J163</f>
        <v>96200</v>
      </c>
      <c r="J101" s="49">
        <f>'дод 3'!K163</f>
        <v>0</v>
      </c>
      <c r="K101" s="49">
        <f>'дод 3'!L163</f>
        <v>96200</v>
      </c>
      <c r="L101" s="49">
        <f>'дод 3'!M163</f>
        <v>75000</v>
      </c>
      <c r="M101" s="49">
        <f>'дод 3'!N163</f>
        <v>0</v>
      </c>
      <c r="N101" s="49">
        <f>'дод 3'!O163</f>
        <v>0</v>
      </c>
      <c r="O101" s="49">
        <f>'дод 3'!P163</f>
        <v>17510650</v>
      </c>
    </row>
    <row r="102" spans="1:15" ht="69.75" customHeight="1" x14ac:dyDescent="0.25">
      <c r="A102" s="37" t="s">
        <v>334</v>
      </c>
      <c r="B102" s="37" t="s">
        <v>102</v>
      </c>
      <c r="C102" s="36" t="s">
        <v>335</v>
      </c>
      <c r="D102" s="49">
        <f>SUM('дод 3'!E187)</f>
        <v>91140</v>
      </c>
      <c r="E102" s="49">
        <f>SUM('дод 3'!F187)</f>
        <v>91140</v>
      </c>
      <c r="F102" s="49">
        <f>SUM('дод 3'!G187)</f>
        <v>0</v>
      </c>
      <c r="G102" s="49">
        <f>SUM('дод 3'!H187)</f>
        <v>0</v>
      </c>
      <c r="H102" s="49">
        <f>SUM('дод 3'!I187)</f>
        <v>0</v>
      </c>
      <c r="I102" s="49">
        <f>SUM('дод 3'!J187)</f>
        <v>0</v>
      </c>
      <c r="J102" s="49">
        <f>SUM('дод 3'!K187)</f>
        <v>0</v>
      </c>
      <c r="K102" s="49">
        <f>SUM('дод 3'!L187)</f>
        <v>0</v>
      </c>
      <c r="L102" s="49">
        <f>SUM('дод 3'!M187)</f>
        <v>0</v>
      </c>
      <c r="M102" s="49">
        <f>SUM('дод 3'!N187)</f>
        <v>0</v>
      </c>
      <c r="N102" s="49">
        <f>SUM('дод 3'!O187)</f>
        <v>0</v>
      </c>
      <c r="O102" s="49">
        <f>SUM('дод 3'!P187)</f>
        <v>91140</v>
      </c>
    </row>
    <row r="103" spans="1:15" s="54" customFormat="1" ht="36" customHeight="1" x14ac:dyDescent="0.25">
      <c r="A103" s="37" t="s">
        <v>105</v>
      </c>
      <c r="B103" s="37" t="s">
        <v>102</v>
      </c>
      <c r="C103" s="3" t="s">
        <v>32</v>
      </c>
      <c r="D103" s="49">
        <f>'дод 3'!E188</f>
        <v>96240</v>
      </c>
      <c r="E103" s="49">
        <f>'дод 3'!F188</f>
        <v>96240</v>
      </c>
      <c r="F103" s="49">
        <f>'дод 3'!G188</f>
        <v>0</v>
      </c>
      <c r="G103" s="49">
        <f>'дод 3'!H188</f>
        <v>0</v>
      </c>
      <c r="H103" s="49">
        <f>'дод 3'!I188</f>
        <v>0</v>
      </c>
      <c r="I103" s="49">
        <f>'дод 3'!J188</f>
        <v>0</v>
      </c>
      <c r="J103" s="49">
        <f>'дод 3'!K188</f>
        <v>0</v>
      </c>
      <c r="K103" s="49">
        <f>'дод 3'!L188</f>
        <v>0</v>
      </c>
      <c r="L103" s="49">
        <f>'дод 3'!M188</f>
        <v>0</v>
      </c>
      <c r="M103" s="49">
        <f>'дод 3'!N188</f>
        <v>0</v>
      </c>
      <c r="N103" s="49">
        <f>'дод 3'!O188</f>
        <v>0</v>
      </c>
      <c r="O103" s="49">
        <f>'дод 3'!P188</f>
        <v>96240</v>
      </c>
    </row>
    <row r="104" spans="1:15" s="54" customFormat="1" ht="38.25" customHeight="1" x14ac:dyDescent="0.25">
      <c r="A104" s="37" t="s">
        <v>128</v>
      </c>
      <c r="B104" s="37" t="s">
        <v>102</v>
      </c>
      <c r="C104" s="3" t="s">
        <v>511</v>
      </c>
      <c r="D104" s="49">
        <f>'дод 3'!E28</f>
        <v>3206400</v>
      </c>
      <c r="E104" s="49">
        <f>'дод 3'!F28</f>
        <v>3206400</v>
      </c>
      <c r="F104" s="49">
        <f>'дод 3'!G28</f>
        <v>2407050</v>
      </c>
      <c r="G104" s="49">
        <f>'дод 3'!H28</f>
        <v>39590</v>
      </c>
      <c r="H104" s="49">
        <f>'дод 3'!I28</f>
        <v>0</v>
      </c>
      <c r="I104" s="49">
        <f>'дод 3'!J28</f>
        <v>0</v>
      </c>
      <c r="J104" s="49">
        <f>'дод 3'!K28</f>
        <v>0</v>
      </c>
      <c r="K104" s="49">
        <f>'дод 3'!L28</f>
        <v>0</v>
      </c>
      <c r="L104" s="49">
        <f>'дод 3'!M28</f>
        <v>0</v>
      </c>
      <c r="M104" s="49">
        <f>'дод 3'!N28</f>
        <v>0</v>
      </c>
      <c r="N104" s="49">
        <f>'дод 3'!O28</f>
        <v>0</v>
      </c>
      <c r="O104" s="49">
        <f>'дод 3'!P28</f>
        <v>3206400</v>
      </c>
    </row>
    <row r="105" spans="1:15" s="54" customFormat="1" ht="43.5" customHeight="1" x14ac:dyDescent="0.25">
      <c r="A105" s="40" t="s">
        <v>109</v>
      </c>
      <c r="B105" s="40" t="s">
        <v>102</v>
      </c>
      <c r="C105" s="3" t="s">
        <v>342</v>
      </c>
      <c r="D105" s="49">
        <f>'дод 3'!E29</f>
        <v>684300</v>
      </c>
      <c r="E105" s="49">
        <f>'дод 3'!F29</f>
        <v>684300</v>
      </c>
      <c r="F105" s="49">
        <f>'дод 3'!G29</f>
        <v>0</v>
      </c>
      <c r="G105" s="49">
        <f>'дод 3'!H29</f>
        <v>0</v>
      </c>
      <c r="H105" s="49">
        <f>'дод 3'!I29</f>
        <v>0</v>
      </c>
      <c r="I105" s="49">
        <f>'дод 3'!J29</f>
        <v>0</v>
      </c>
      <c r="J105" s="49">
        <f>'дод 3'!K29</f>
        <v>0</v>
      </c>
      <c r="K105" s="49">
        <f>'дод 3'!L29</f>
        <v>0</v>
      </c>
      <c r="L105" s="49">
        <f>'дод 3'!M29</f>
        <v>0</v>
      </c>
      <c r="M105" s="49">
        <f>'дод 3'!N29</f>
        <v>0</v>
      </c>
      <c r="N105" s="49">
        <f>'дод 3'!O29</f>
        <v>0</v>
      </c>
      <c r="O105" s="49">
        <f>'дод 3'!P29</f>
        <v>684300</v>
      </c>
    </row>
    <row r="106" spans="1:15" ht="69" customHeight="1" x14ac:dyDescent="0.25">
      <c r="A106" s="37" t="s">
        <v>110</v>
      </c>
      <c r="B106" s="37" t="s">
        <v>102</v>
      </c>
      <c r="C106" s="6" t="s">
        <v>20</v>
      </c>
      <c r="D106" s="49">
        <f>'дод 3'!E30+'дод 3'!E99</f>
        <v>5780000</v>
      </c>
      <c r="E106" s="49">
        <f>'дод 3'!F30+'дод 3'!F99</f>
        <v>5780000</v>
      </c>
      <c r="F106" s="49">
        <f>'дод 3'!G30+'дод 3'!G99</f>
        <v>0</v>
      </c>
      <c r="G106" s="49">
        <f>'дод 3'!H30+'дод 3'!H99</f>
        <v>0</v>
      </c>
      <c r="H106" s="49">
        <f>'дод 3'!I30+'дод 3'!I99</f>
        <v>0</v>
      </c>
      <c r="I106" s="49">
        <f>'дод 3'!J30+'дод 3'!J99</f>
        <v>0</v>
      </c>
      <c r="J106" s="49">
        <f>'дод 3'!K30+'дод 3'!K99</f>
        <v>0</v>
      </c>
      <c r="K106" s="49">
        <f>'дод 3'!L30+'дод 3'!L99</f>
        <v>0</v>
      </c>
      <c r="L106" s="49">
        <f>'дод 3'!M30+'дод 3'!M99</f>
        <v>0</v>
      </c>
      <c r="M106" s="49">
        <f>'дод 3'!N30+'дод 3'!N99</f>
        <v>0</v>
      </c>
      <c r="N106" s="49">
        <f>'дод 3'!O30+'дод 3'!O99</f>
        <v>0</v>
      </c>
      <c r="O106" s="49">
        <f>'дод 3'!P30+'дод 3'!P99</f>
        <v>5780000</v>
      </c>
    </row>
    <row r="107" spans="1:15" ht="86.25" customHeight="1" x14ac:dyDescent="0.25">
      <c r="A107" s="37" t="s">
        <v>111</v>
      </c>
      <c r="B107" s="37">
        <v>1010</v>
      </c>
      <c r="C107" s="3" t="s">
        <v>288</v>
      </c>
      <c r="D107" s="49">
        <f>'дод 3'!E164</f>
        <v>2500000</v>
      </c>
      <c r="E107" s="49">
        <f>'дод 3'!F164</f>
        <v>2500000</v>
      </c>
      <c r="F107" s="49">
        <f>'дод 3'!G164</f>
        <v>0</v>
      </c>
      <c r="G107" s="49">
        <f>'дод 3'!H164</f>
        <v>0</v>
      </c>
      <c r="H107" s="49">
        <f>'дод 3'!I164</f>
        <v>0</v>
      </c>
      <c r="I107" s="49">
        <f>'дод 3'!J164</f>
        <v>0</v>
      </c>
      <c r="J107" s="49">
        <f>'дод 3'!K164</f>
        <v>0</v>
      </c>
      <c r="K107" s="49">
        <f>'дод 3'!L164</f>
        <v>0</v>
      </c>
      <c r="L107" s="49">
        <f>'дод 3'!M164</f>
        <v>0</v>
      </c>
      <c r="M107" s="49">
        <f>'дод 3'!N164</f>
        <v>0</v>
      </c>
      <c r="N107" s="49">
        <f>'дод 3'!O164</f>
        <v>0</v>
      </c>
      <c r="O107" s="49">
        <f>'дод 3'!P164</f>
        <v>2500000</v>
      </c>
    </row>
    <row r="108" spans="1:15" s="54" customFormat="1" ht="64.5" customHeight="1" x14ac:dyDescent="0.25">
      <c r="A108" s="37" t="s">
        <v>318</v>
      </c>
      <c r="B108" s="37">
        <v>1010</v>
      </c>
      <c r="C108" s="3" t="s">
        <v>407</v>
      </c>
      <c r="D108" s="49">
        <f>'дод 3'!E165</f>
        <v>198209</v>
      </c>
      <c r="E108" s="49">
        <f>'дод 3'!F165</f>
        <v>198209</v>
      </c>
      <c r="F108" s="49">
        <f>'дод 3'!G165</f>
        <v>0</v>
      </c>
      <c r="G108" s="49">
        <f>'дод 3'!H165</f>
        <v>0</v>
      </c>
      <c r="H108" s="49">
        <f>'дод 3'!I165</f>
        <v>0</v>
      </c>
      <c r="I108" s="49">
        <f>'дод 3'!J165</f>
        <v>0</v>
      </c>
      <c r="J108" s="49">
        <f>'дод 3'!K165</f>
        <v>0</v>
      </c>
      <c r="K108" s="49">
        <f>'дод 3'!L165</f>
        <v>0</v>
      </c>
      <c r="L108" s="49">
        <f>'дод 3'!M165</f>
        <v>0</v>
      </c>
      <c r="M108" s="49">
        <f>'дод 3'!N165</f>
        <v>0</v>
      </c>
      <c r="N108" s="49">
        <f>'дод 3'!O165</f>
        <v>0</v>
      </c>
      <c r="O108" s="49">
        <f>'дод 3'!P165</f>
        <v>198209</v>
      </c>
    </row>
    <row r="109" spans="1:15" s="54" customFormat="1" x14ac:dyDescent="0.25">
      <c r="A109" s="82"/>
      <c r="B109" s="82"/>
      <c r="C109" s="83" t="s">
        <v>395</v>
      </c>
      <c r="D109" s="84">
        <f>'дод 3'!E166</f>
        <v>198209</v>
      </c>
      <c r="E109" s="84">
        <f>'дод 3'!F166</f>
        <v>198209</v>
      </c>
      <c r="F109" s="84">
        <f>'дод 3'!G166</f>
        <v>0</v>
      </c>
      <c r="G109" s="84">
        <f>'дод 3'!H166</f>
        <v>0</v>
      </c>
      <c r="H109" s="84">
        <f>'дод 3'!I166</f>
        <v>0</v>
      </c>
      <c r="I109" s="84">
        <f>'дод 3'!J166</f>
        <v>0</v>
      </c>
      <c r="J109" s="84">
        <f>'дод 3'!K166</f>
        <v>0</v>
      </c>
      <c r="K109" s="84">
        <f>'дод 3'!L166</f>
        <v>0</v>
      </c>
      <c r="L109" s="84">
        <f>'дод 3'!M166</f>
        <v>0</v>
      </c>
      <c r="M109" s="84">
        <f>'дод 3'!N166</f>
        <v>0</v>
      </c>
      <c r="N109" s="84">
        <f>'дод 3'!O166</f>
        <v>0</v>
      </c>
      <c r="O109" s="84">
        <f>'дод 3'!P166</f>
        <v>198209</v>
      </c>
    </row>
    <row r="110" spans="1:15" s="54" customFormat="1" ht="36" customHeight="1" x14ac:dyDescent="0.25">
      <c r="A110" s="37" t="s">
        <v>319</v>
      </c>
      <c r="B110" s="37">
        <v>1010</v>
      </c>
      <c r="C110" s="3" t="s">
        <v>408</v>
      </c>
      <c r="D110" s="49">
        <f>'дод 3'!E167</f>
        <v>90</v>
      </c>
      <c r="E110" s="49">
        <f>'дод 3'!F167</f>
        <v>90</v>
      </c>
      <c r="F110" s="49">
        <f>'дод 3'!G167</f>
        <v>0</v>
      </c>
      <c r="G110" s="49">
        <f>'дод 3'!H167</f>
        <v>0</v>
      </c>
      <c r="H110" s="49">
        <f>'дод 3'!I167</f>
        <v>0</v>
      </c>
      <c r="I110" s="49">
        <f>'дод 3'!J167</f>
        <v>0</v>
      </c>
      <c r="J110" s="49">
        <f>'дод 3'!K167</f>
        <v>0</v>
      </c>
      <c r="K110" s="49">
        <f>'дод 3'!L167</f>
        <v>0</v>
      </c>
      <c r="L110" s="49">
        <f>'дод 3'!M167</f>
        <v>0</v>
      </c>
      <c r="M110" s="49">
        <f>'дод 3'!N167</f>
        <v>0</v>
      </c>
      <c r="N110" s="49">
        <f>'дод 3'!O167</f>
        <v>0</v>
      </c>
      <c r="O110" s="49">
        <f>'дод 3'!P167</f>
        <v>90</v>
      </c>
    </row>
    <row r="111" spans="1:15" s="54" customFormat="1" x14ac:dyDescent="0.25">
      <c r="A111" s="82"/>
      <c r="B111" s="82"/>
      <c r="C111" s="83" t="s">
        <v>395</v>
      </c>
      <c r="D111" s="84">
        <f>'дод 3'!E168</f>
        <v>90</v>
      </c>
      <c r="E111" s="84">
        <f>'дод 3'!F168</f>
        <v>90</v>
      </c>
      <c r="F111" s="84">
        <f>'дод 3'!G168</f>
        <v>0</v>
      </c>
      <c r="G111" s="84">
        <f>'дод 3'!H168</f>
        <v>0</v>
      </c>
      <c r="H111" s="84">
        <f>'дод 3'!I168</f>
        <v>0</v>
      </c>
      <c r="I111" s="84">
        <f>'дод 3'!J168</f>
        <v>0</v>
      </c>
      <c r="J111" s="84">
        <f>'дод 3'!K168</f>
        <v>0</v>
      </c>
      <c r="K111" s="84">
        <f>'дод 3'!L168</f>
        <v>0</v>
      </c>
      <c r="L111" s="84">
        <f>'дод 3'!M168</f>
        <v>0</v>
      </c>
      <c r="M111" s="84">
        <f>'дод 3'!N168</f>
        <v>0</v>
      </c>
      <c r="N111" s="84">
        <f>'дод 3'!O168</f>
        <v>0</v>
      </c>
      <c r="O111" s="84">
        <f>'дод 3'!P168</f>
        <v>90</v>
      </c>
    </row>
    <row r="112" spans="1:15" ht="72.75" customHeight="1" x14ac:dyDescent="0.25">
      <c r="A112" s="37" t="s">
        <v>106</v>
      </c>
      <c r="B112" s="37" t="s">
        <v>54</v>
      </c>
      <c r="C112" s="3" t="s">
        <v>343</v>
      </c>
      <c r="D112" s="49">
        <f>'дод 3'!E169</f>
        <v>2213520</v>
      </c>
      <c r="E112" s="49">
        <f>'дод 3'!F169</f>
        <v>2213520</v>
      </c>
      <c r="F112" s="49">
        <f>'дод 3'!G169</f>
        <v>0</v>
      </c>
      <c r="G112" s="49">
        <f>'дод 3'!H169</f>
        <v>0</v>
      </c>
      <c r="H112" s="49">
        <f>'дод 3'!I169</f>
        <v>0</v>
      </c>
      <c r="I112" s="49">
        <f>'дод 3'!J169</f>
        <v>0</v>
      </c>
      <c r="J112" s="49">
        <f>'дод 3'!K169</f>
        <v>0</v>
      </c>
      <c r="K112" s="49">
        <f>'дод 3'!L169</f>
        <v>0</v>
      </c>
      <c r="L112" s="49">
        <f>'дод 3'!M169</f>
        <v>0</v>
      </c>
      <c r="M112" s="49">
        <f>'дод 3'!N169</f>
        <v>0</v>
      </c>
      <c r="N112" s="49">
        <f>'дод 3'!O169</f>
        <v>0</v>
      </c>
      <c r="O112" s="49">
        <f>'дод 3'!P169</f>
        <v>2213520</v>
      </c>
    </row>
    <row r="113" spans="1:15" s="54" customFormat="1" ht="33" customHeight="1" x14ac:dyDescent="0.25">
      <c r="A113" s="37" t="s">
        <v>289</v>
      </c>
      <c r="B113" s="37" t="s">
        <v>53</v>
      </c>
      <c r="C113" s="3" t="s">
        <v>18</v>
      </c>
      <c r="D113" s="49">
        <f>'дод 3'!E170</f>
        <v>2042960</v>
      </c>
      <c r="E113" s="49">
        <f>'дод 3'!F170</f>
        <v>2042960</v>
      </c>
      <c r="F113" s="49">
        <f>'дод 3'!G170</f>
        <v>0</v>
      </c>
      <c r="G113" s="49">
        <f>'дод 3'!H170</f>
        <v>0</v>
      </c>
      <c r="H113" s="49">
        <f>'дод 3'!I170</f>
        <v>0</v>
      </c>
      <c r="I113" s="49">
        <f>'дод 3'!J170</f>
        <v>0</v>
      </c>
      <c r="J113" s="49">
        <f>'дод 3'!K170</f>
        <v>0</v>
      </c>
      <c r="K113" s="49">
        <f>'дод 3'!L170</f>
        <v>0</v>
      </c>
      <c r="L113" s="49">
        <f>'дод 3'!M170</f>
        <v>0</v>
      </c>
      <c r="M113" s="49">
        <f>'дод 3'!N170</f>
        <v>0</v>
      </c>
      <c r="N113" s="49">
        <f>'дод 3'!O170</f>
        <v>0</v>
      </c>
      <c r="O113" s="49">
        <f>'дод 3'!P170</f>
        <v>2042960</v>
      </c>
    </row>
    <row r="114" spans="1:15" s="54" customFormat="1" ht="51" customHeight="1" x14ac:dyDescent="0.25">
      <c r="A114" s="37" t="s">
        <v>290</v>
      </c>
      <c r="B114" s="37" t="s">
        <v>53</v>
      </c>
      <c r="C114" s="61" t="s">
        <v>512</v>
      </c>
      <c r="D114" s="49">
        <f>'дод 3'!E171</f>
        <v>2250688</v>
      </c>
      <c r="E114" s="49">
        <f>'дод 3'!F171</f>
        <v>2250688</v>
      </c>
      <c r="F114" s="49">
        <f>'дод 3'!G171</f>
        <v>0</v>
      </c>
      <c r="G114" s="49">
        <f>'дод 3'!H171</f>
        <v>0</v>
      </c>
      <c r="H114" s="49">
        <f>'дод 3'!I171</f>
        <v>0</v>
      </c>
      <c r="I114" s="49">
        <f>'дод 3'!J171</f>
        <v>0</v>
      </c>
      <c r="J114" s="49">
        <f>'дод 3'!K171</f>
        <v>0</v>
      </c>
      <c r="K114" s="49">
        <f>'дод 3'!L171</f>
        <v>0</v>
      </c>
      <c r="L114" s="49">
        <f>'дод 3'!M171</f>
        <v>0</v>
      </c>
      <c r="M114" s="49">
        <f>'дод 3'!N171</f>
        <v>0</v>
      </c>
      <c r="N114" s="49">
        <f>'дод 3'!O171</f>
        <v>0</v>
      </c>
      <c r="O114" s="49">
        <f>'дод 3'!P171</f>
        <v>2250688</v>
      </c>
    </row>
    <row r="115" spans="1:15" ht="36.75" customHeight="1" x14ac:dyDescent="0.25">
      <c r="A115" s="37" t="s">
        <v>107</v>
      </c>
      <c r="B115" s="37" t="s">
        <v>57</v>
      </c>
      <c r="C115" s="3" t="s">
        <v>344</v>
      </c>
      <c r="D115" s="49">
        <f>'дод 3'!E172</f>
        <v>92000</v>
      </c>
      <c r="E115" s="49">
        <f>'дод 3'!F172</f>
        <v>92000</v>
      </c>
      <c r="F115" s="49">
        <f>'дод 3'!G172</f>
        <v>0</v>
      </c>
      <c r="G115" s="49">
        <f>'дод 3'!H172</f>
        <v>0</v>
      </c>
      <c r="H115" s="49">
        <f>'дод 3'!I172</f>
        <v>0</v>
      </c>
      <c r="I115" s="49">
        <f>'дод 3'!J172</f>
        <v>0</v>
      </c>
      <c r="J115" s="49">
        <f>'дод 3'!K172</f>
        <v>0</v>
      </c>
      <c r="K115" s="49">
        <f>'дод 3'!L172</f>
        <v>0</v>
      </c>
      <c r="L115" s="49">
        <f>'дод 3'!M172</f>
        <v>0</v>
      </c>
      <c r="M115" s="49">
        <f>'дод 3'!N172</f>
        <v>0</v>
      </c>
      <c r="N115" s="49">
        <f>'дод 3'!O172</f>
        <v>0</v>
      </c>
      <c r="O115" s="49">
        <f>'дод 3'!P172</f>
        <v>92000</v>
      </c>
    </row>
    <row r="116" spans="1:15" ht="20.25" customHeight="1" x14ac:dyDescent="0.25">
      <c r="A116" s="37" t="s">
        <v>291</v>
      </c>
      <c r="B116" s="37" t="s">
        <v>108</v>
      </c>
      <c r="C116" s="3" t="s">
        <v>38</v>
      </c>
      <c r="D116" s="49">
        <f>'дод 3'!E173+'дод 3'!E211</f>
        <v>210000</v>
      </c>
      <c r="E116" s="49">
        <f>'дод 3'!F173+'дод 3'!F211</f>
        <v>210000</v>
      </c>
      <c r="F116" s="49">
        <f>'дод 3'!G173+'дод 3'!G211</f>
        <v>40900</v>
      </c>
      <c r="G116" s="49">
        <f>'дод 3'!H173+'дод 3'!H211</f>
        <v>0</v>
      </c>
      <c r="H116" s="49">
        <f>'дод 3'!I173+'дод 3'!I211</f>
        <v>0</v>
      </c>
      <c r="I116" s="49">
        <f>'дод 3'!J173+'дод 3'!J211</f>
        <v>0</v>
      </c>
      <c r="J116" s="49">
        <f>'дод 3'!K173+'дод 3'!K211</f>
        <v>0</v>
      </c>
      <c r="K116" s="49">
        <f>'дод 3'!L173+'дод 3'!L211</f>
        <v>0</v>
      </c>
      <c r="L116" s="49">
        <f>'дод 3'!M173+'дод 3'!M211</f>
        <v>0</v>
      </c>
      <c r="M116" s="49">
        <f>'дод 3'!N173+'дод 3'!N211</f>
        <v>0</v>
      </c>
      <c r="N116" s="49">
        <f>'дод 3'!O173+'дод 3'!O211</f>
        <v>0</v>
      </c>
      <c r="O116" s="49">
        <f>'дод 3'!P173+'дод 3'!P211</f>
        <v>210000</v>
      </c>
    </row>
    <row r="117" spans="1:15" ht="236.25" hidden="1" customHeight="1" x14ac:dyDescent="0.25">
      <c r="A117" s="37">
        <v>3221</v>
      </c>
      <c r="B117" s="59" t="s">
        <v>54</v>
      </c>
      <c r="C117" s="36" t="s">
        <v>445</v>
      </c>
      <c r="D117" s="49">
        <f>'дод 3'!E174</f>
        <v>0</v>
      </c>
      <c r="E117" s="49">
        <f>'дод 3'!F174</f>
        <v>0</v>
      </c>
      <c r="F117" s="49">
        <f>'дод 3'!G174</f>
        <v>0</v>
      </c>
      <c r="G117" s="49">
        <f>'дод 3'!H174</f>
        <v>0</v>
      </c>
      <c r="H117" s="49">
        <f>'дод 3'!I174</f>
        <v>0</v>
      </c>
      <c r="I117" s="49">
        <f>'дод 3'!J174</f>
        <v>0</v>
      </c>
      <c r="J117" s="49">
        <f>'дод 3'!K174</f>
        <v>0</v>
      </c>
      <c r="K117" s="49">
        <f>'дод 3'!L174</f>
        <v>0</v>
      </c>
      <c r="L117" s="49">
        <f>'дод 3'!M174</f>
        <v>0</v>
      </c>
      <c r="M117" s="49">
        <f>'дод 3'!N174</f>
        <v>0</v>
      </c>
      <c r="N117" s="49">
        <f>'дод 3'!O174</f>
        <v>0</v>
      </c>
      <c r="O117" s="49">
        <f>'дод 3'!P174</f>
        <v>0</v>
      </c>
    </row>
    <row r="118" spans="1:15" s="54" customFormat="1" ht="283.5" hidden="1" customHeight="1" x14ac:dyDescent="0.25">
      <c r="A118" s="82"/>
      <c r="B118" s="93"/>
      <c r="C118" s="91" t="s">
        <v>448</v>
      </c>
      <c r="D118" s="84">
        <f>'дод 3'!E175</f>
        <v>0</v>
      </c>
      <c r="E118" s="84">
        <f>'дод 3'!F175</f>
        <v>0</v>
      </c>
      <c r="F118" s="84">
        <f>'дод 3'!G175</f>
        <v>0</v>
      </c>
      <c r="G118" s="84">
        <f>'дод 3'!H175</f>
        <v>0</v>
      </c>
      <c r="H118" s="84">
        <f>'дод 3'!I175</f>
        <v>0</v>
      </c>
      <c r="I118" s="84">
        <f>'дод 3'!J175</f>
        <v>0</v>
      </c>
      <c r="J118" s="84">
        <f>'дод 3'!K175</f>
        <v>0</v>
      </c>
      <c r="K118" s="84">
        <f>'дод 3'!L175</f>
        <v>0</v>
      </c>
      <c r="L118" s="84">
        <f>'дод 3'!M175</f>
        <v>0</v>
      </c>
      <c r="M118" s="84">
        <f>'дод 3'!N175</f>
        <v>0</v>
      </c>
      <c r="N118" s="84">
        <f>'дод 3'!O175</f>
        <v>0</v>
      </c>
      <c r="O118" s="84">
        <f>'дод 3'!P175</f>
        <v>0</v>
      </c>
    </row>
    <row r="119" spans="1:15" ht="189" hidden="1" customHeight="1" x14ac:dyDescent="0.25">
      <c r="A119" s="37">
        <v>3223</v>
      </c>
      <c r="B119" s="59" t="s">
        <v>54</v>
      </c>
      <c r="C119" s="36" t="s">
        <v>446</v>
      </c>
      <c r="D119" s="49">
        <f>'дод 3'!E176</f>
        <v>0</v>
      </c>
      <c r="E119" s="49">
        <f>'дод 3'!F176</f>
        <v>0</v>
      </c>
      <c r="F119" s="49">
        <f>'дод 3'!G176</f>
        <v>0</v>
      </c>
      <c r="G119" s="49">
        <f>'дод 3'!H176</f>
        <v>0</v>
      </c>
      <c r="H119" s="49">
        <f>'дод 3'!I176</f>
        <v>0</v>
      </c>
      <c r="I119" s="49">
        <f>'дод 3'!J176</f>
        <v>0</v>
      </c>
      <c r="J119" s="49">
        <f>'дод 3'!K176</f>
        <v>0</v>
      </c>
      <c r="K119" s="49">
        <f>'дод 3'!L176</f>
        <v>0</v>
      </c>
      <c r="L119" s="49">
        <f>'дод 3'!M176</f>
        <v>0</v>
      </c>
      <c r="M119" s="49">
        <f>'дод 3'!N176</f>
        <v>0</v>
      </c>
      <c r="N119" s="49">
        <f>'дод 3'!O176</f>
        <v>0</v>
      </c>
      <c r="O119" s="49">
        <f>'дод 3'!P176</f>
        <v>0</v>
      </c>
    </row>
    <row r="120" spans="1:15" s="54" customFormat="1" ht="236.25" hidden="1" customHeight="1" x14ac:dyDescent="0.25">
      <c r="A120" s="82"/>
      <c r="B120" s="93"/>
      <c r="C120" s="91" t="s">
        <v>447</v>
      </c>
      <c r="D120" s="84">
        <f>'дод 3'!E177</f>
        <v>0</v>
      </c>
      <c r="E120" s="84">
        <f>'дод 3'!F177</f>
        <v>0</v>
      </c>
      <c r="F120" s="84">
        <f>'дод 3'!G177</f>
        <v>0</v>
      </c>
      <c r="G120" s="84">
        <f>'дод 3'!H177</f>
        <v>0</v>
      </c>
      <c r="H120" s="84">
        <f>'дод 3'!I177</f>
        <v>0</v>
      </c>
      <c r="I120" s="84">
        <f>'дод 3'!J177</f>
        <v>0</v>
      </c>
      <c r="J120" s="84">
        <f>'дод 3'!K177</f>
        <v>0</v>
      </c>
      <c r="K120" s="84">
        <f>'дод 3'!L177</f>
        <v>0</v>
      </c>
      <c r="L120" s="84">
        <f>'дод 3'!M177</f>
        <v>0</v>
      </c>
      <c r="M120" s="84">
        <f>'дод 3'!N177</f>
        <v>0</v>
      </c>
      <c r="N120" s="84">
        <f>'дод 3'!O177</f>
        <v>0</v>
      </c>
      <c r="O120" s="84">
        <f>'дод 3'!P177</f>
        <v>0</v>
      </c>
    </row>
    <row r="121" spans="1:15" s="54" customFormat="1" ht="32.25" customHeight="1" x14ac:dyDescent="0.25">
      <c r="A121" s="37" t="s">
        <v>292</v>
      </c>
      <c r="B121" s="37" t="s">
        <v>57</v>
      </c>
      <c r="C121" s="3" t="s">
        <v>294</v>
      </c>
      <c r="D121" s="49">
        <f>'дод 3'!E178+'дод 3'!E31</f>
        <v>8371008.5599999996</v>
      </c>
      <c r="E121" s="49">
        <f>'дод 3'!F178+'дод 3'!F31</f>
        <v>8371008.5599999996</v>
      </c>
      <c r="F121" s="49">
        <f>'дод 3'!G178+'дод 3'!G31</f>
        <v>5153600</v>
      </c>
      <c r="G121" s="49">
        <f>'дод 3'!H178+'дод 3'!H31</f>
        <v>429840</v>
      </c>
      <c r="H121" s="49">
        <f>'дод 3'!I178+'дод 3'!I31</f>
        <v>0</v>
      </c>
      <c r="I121" s="49">
        <f>'дод 3'!J178+'дод 3'!J31</f>
        <v>161000</v>
      </c>
      <c r="J121" s="49">
        <f>'дод 3'!K178+'дод 3'!K31</f>
        <v>161000</v>
      </c>
      <c r="K121" s="49">
        <f>'дод 3'!L178+'дод 3'!L31</f>
        <v>0</v>
      </c>
      <c r="L121" s="49">
        <f>'дод 3'!M178+'дод 3'!M31</f>
        <v>0</v>
      </c>
      <c r="M121" s="49">
        <f>'дод 3'!N178+'дод 3'!N31</f>
        <v>0</v>
      </c>
      <c r="N121" s="49">
        <f>'дод 3'!O178+'дод 3'!O31</f>
        <v>161000</v>
      </c>
      <c r="O121" s="49">
        <f>'дод 3'!P178+'дод 3'!P31</f>
        <v>8532008.5599999987</v>
      </c>
    </row>
    <row r="122" spans="1:15" s="54" customFormat="1" ht="31.5" customHeight="1" x14ac:dyDescent="0.25">
      <c r="A122" s="37" t="s">
        <v>293</v>
      </c>
      <c r="B122" s="37" t="s">
        <v>57</v>
      </c>
      <c r="C122" s="3" t="s">
        <v>525</v>
      </c>
      <c r="D122" s="49">
        <f>'дод 3'!E32+'дод 3'!E100+'дод 3'!E179</f>
        <v>38880592.549999997</v>
      </c>
      <c r="E122" s="49">
        <f>'дод 3'!F32+'дод 3'!F100+'дод 3'!F179</f>
        <v>38880592.549999997</v>
      </c>
      <c r="F122" s="49">
        <f>'дод 3'!G32+'дод 3'!G100+'дод 3'!G179</f>
        <v>0</v>
      </c>
      <c r="G122" s="49">
        <f>'дод 3'!H32+'дод 3'!H100+'дод 3'!H179</f>
        <v>0</v>
      </c>
      <c r="H122" s="49">
        <f>'дод 3'!I32+'дод 3'!I100+'дод 3'!I179</f>
        <v>0</v>
      </c>
      <c r="I122" s="49">
        <f>'дод 3'!J32+'дод 3'!J100+'дод 3'!J179</f>
        <v>45000</v>
      </c>
      <c r="J122" s="49">
        <f>'дод 3'!K32+'дод 3'!K100+'дод 3'!K179</f>
        <v>45000</v>
      </c>
      <c r="K122" s="49">
        <f>'дод 3'!L32+'дод 3'!L100+'дод 3'!L179</f>
        <v>0</v>
      </c>
      <c r="L122" s="49">
        <f>'дод 3'!M32+'дод 3'!M100+'дод 3'!M179</f>
        <v>0</v>
      </c>
      <c r="M122" s="49">
        <f>'дод 3'!N32+'дод 3'!N100+'дод 3'!N179</f>
        <v>0</v>
      </c>
      <c r="N122" s="49">
        <f>'дод 3'!O32+'дод 3'!O100+'дод 3'!O179</f>
        <v>45000</v>
      </c>
      <c r="O122" s="49">
        <f>'дод 3'!P32+'дод 3'!P100+'дод 3'!P179</f>
        <v>38925592.549999997</v>
      </c>
    </row>
    <row r="123" spans="1:15" s="54" customFormat="1" x14ac:dyDescent="0.25">
      <c r="A123" s="82"/>
      <c r="B123" s="82"/>
      <c r="C123" s="83" t="s">
        <v>395</v>
      </c>
      <c r="D123" s="84">
        <f>'дод 3'!E180</f>
        <v>348000</v>
      </c>
      <c r="E123" s="84">
        <f>'дод 3'!F180</f>
        <v>348000</v>
      </c>
      <c r="F123" s="84">
        <f>'дод 3'!G180</f>
        <v>0</v>
      </c>
      <c r="G123" s="84">
        <f>'дод 3'!H180</f>
        <v>0</v>
      </c>
      <c r="H123" s="84">
        <f>'дод 3'!I180</f>
        <v>0</v>
      </c>
      <c r="I123" s="84">
        <f>'дод 3'!J180</f>
        <v>0</v>
      </c>
      <c r="J123" s="84">
        <f>'дод 3'!K180</f>
        <v>0</v>
      </c>
      <c r="K123" s="84">
        <f>'дод 3'!L180</f>
        <v>0</v>
      </c>
      <c r="L123" s="84">
        <f>'дод 3'!M180</f>
        <v>0</v>
      </c>
      <c r="M123" s="84">
        <f>'дод 3'!N180</f>
        <v>0</v>
      </c>
      <c r="N123" s="84">
        <f>'дод 3'!O180</f>
        <v>0</v>
      </c>
      <c r="O123" s="84">
        <f>'дод 3'!P180</f>
        <v>348000</v>
      </c>
    </row>
    <row r="124" spans="1:15" s="52" customFormat="1" ht="19.5" customHeight="1" x14ac:dyDescent="0.25">
      <c r="A124" s="38" t="s">
        <v>72</v>
      </c>
      <c r="B124" s="41"/>
      <c r="C124" s="2" t="s">
        <v>73</v>
      </c>
      <c r="D124" s="48">
        <f t="shared" ref="D124:O124" si="18">D125+D126+D127+D128</f>
        <v>36239141</v>
      </c>
      <c r="E124" s="48">
        <f t="shared" si="18"/>
        <v>36239141</v>
      </c>
      <c r="F124" s="48">
        <f t="shared" si="18"/>
        <v>24290500</v>
      </c>
      <c r="G124" s="48">
        <f t="shared" si="18"/>
        <v>1854460</v>
      </c>
      <c r="H124" s="48">
        <f t="shared" si="18"/>
        <v>0</v>
      </c>
      <c r="I124" s="48">
        <f t="shared" si="18"/>
        <v>446500</v>
      </c>
      <c r="J124" s="48">
        <f t="shared" si="18"/>
        <v>415500</v>
      </c>
      <c r="K124" s="48">
        <f t="shared" si="18"/>
        <v>31000</v>
      </c>
      <c r="L124" s="48">
        <f t="shared" si="18"/>
        <v>12100</v>
      </c>
      <c r="M124" s="48">
        <f t="shared" si="18"/>
        <v>3300</v>
      </c>
      <c r="N124" s="48">
        <f t="shared" si="18"/>
        <v>415500</v>
      </c>
      <c r="O124" s="48">
        <f t="shared" si="18"/>
        <v>36685641</v>
      </c>
    </row>
    <row r="125" spans="1:15" ht="22.5" customHeight="1" x14ac:dyDescent="0.25">
      <c r="A125" s="37" t="s">
        <v>74</v>
      </c>
      <c r="B125" s="37" t="s">
        <v>75</v>
      </c>
      <c r="C125" s="3" t="s">
        <v>15</v>
      </c>
      <c r="D125" s="49">
        <f>'дод 3'!E195</f>
        <v>22829400</v>
      </c>
      <c r="E125" s="49">
        <f>'дод 3'!F195</f>
        <v>22829400</v>
      </c>
      <c r="F125" s="49">
        <f>'дод 3'!G195</f>
        <v>16852700</v>
      </c>
      <c r="G125" s="49">
        <f>'дод 3'!H195</f>
        <v>1133500</v>
      </c>
      <c r="H125" s="49">
        <f>'дод 3'!I195</f>
        <v>0</v>
      </c>
      <c r="I125" s="49">
        <f>'дод 3'!J195</f>
        <v>252500</v>
      </c>
      <c r="J125" s="49">
        <f>'дод 3'!K195</f>
        <v>227500</v>
      </c>
      <c r="K125" s="49">
        <f>'дод 3'!L195</f>
        <v>25000</v>
      </c>
      <c r="L125" s="49">
        <f>'дод 3'!M195</f>
        <v>12100</v>
      </c>
      <c r="M125" s="49">
        <f>'дод 3'!N195</f>
        <v>0</v>
      </c>
      <c r="N125" s="49">
        <f>'дод 3'!O195</f>
        <v>227500</v>
      </c>
      <c r="O125" s="49">
        <f>'дод 3'!P195</f>
        <v>23081900</v>
      </c>
    </row>
    <row r="126" spans="1:15" ht="33.75" customHeight="1" x14ac:dyDescent="0.25">
      <c r="A126" s="37" t="s">
        <v>321</v>
      </c>
      <c r="B126" s="37" t="s">
        <v>322</v>
      </c>
      <c r="C126" s="3" t="s">
        <v>323</v>
      </c>
      <c r="D126" s="49">
        <f>'дод 3'!E33+'дод 3'!E196</f>
        <v>6783960</v>
      </c>
      <c r="E126" s="49">
        <f>'дод 3'!F33+'дод 3'!F196</f>
        <v>6783960</v>
      </c>
      <c r="F126" s="49">
        <f>'дод 3'!G33+'дод 3'!G196</f>
        <v>4057800</v>
      </c>
      <c r="G126" s="49">
        <f>'дод 3'!H33+'дод 3'!H196</f>
        <v>613560</v>
      </c>
      <c r="H126" s="49">
        <f>'дод 3'!I33+'дод 3'!I196</f>
        <v>0</v>
      </c>
      <c r="I126" s="49">
        <f>'дод 3'!J33+'дод 3'!J196</f>
        <v>106000</v>
      </c>
      <c r="J126" s="49">
        <f>'дод 3'!K33+'дод 3'!K196</f>
        <v>100000</v>
      </c>
      <c r="K126" s="49">
        <f>'дод 3'!L33+'дод 3'!L196</f>
        <v>6000</v>
      </c>
      <c r="L126" s="49">
        <f>'дод 3'!M33+'дод 3'!M196</f>
        <v>0</v>
      </c>
      <c r="M126" s="49">
        <f>'дод 3'!N33+'дод 3'!N196</f>
        <v>3300</v>
      </c>
      <c r="N126" s="49">
        <f>'дод 3'!O33+'дод 3'!O196</f>
        <v>100000</v>
      </c>
      <c r="O126" s="49">
        <f>'дод 3'!P33+'дод 3'!P196</f>
        <v>6889960</v>
      </c>
    </row>
    <row r="127" spans="1:15" s="54" customFormat="1" ht="39.75" customHeight="1" x14ac:dyDescent="0.25">
      <c r="A127" s="37" t="s">
        <v>295</v>
      </c>
      <c r="B127" s="37" t="s">
        <v>76</v>
      </c>
      <c r="C127" s="3" t="s">
        <v>345</v>
      </c>
      <c r="D127" s="49">
        <f>'дод 3'!E34+'дод 3'!E197</f>
        <v>4985700</v>
      </c>
      <c r="E127" s="49">
        <f>'дод 3'!F34+'дод 3'!F197</f>
        <v>4985700</v>
      </c>
      <c r="F127" s="49">
        <f>'дод 3'!G34+'дод 3'!G197</f>
        <v>3380000</v>
      </c>
      <c r="G127" s="49">
        <f>'дод 3'!H34+'дод 3'!H197</f>
        <v>107400</v>
      </c>
      <c r="H127" s="49">
        <f>'дод 3'!I34+'дод 3'!I197</f>
        <v>0</v>
      </c>
      <c r="I127" s="49">
        <f>'дод 3'!J34+'дод 3'!J197</f>
        <v>88000</v>
      </c>
      <c r="J127" s="49">
        <f>'дод 3'!K34+'дод 3'!K197</f>
        <v>88000</v>
      </c>
      <c r="K127" s="49">
        <f>'дод 3'!L34+'дод 3'!L197</f>
        <v>0</v>
      </c>
      <c r="L127" s="49">
        <f>'дод 3'!M34+'дод 3'!M197</f>
        <v>0</v>
      </c>
      <c r="M127" s="49">
        <f>'дод 3'!N34+'дод 3'!N197</f>
        <v>0</v>
      </c>
      <c r="N127" s="49">
        <f>'дод 3'!O34+'дод 3'!O197</f>
        <v>88000</v>
      </c>
      <c r="O127" s="49">
        <f>'дод 3'!P34+'дод 3'!P197</f>
        <v>5073700</v>
      </c>
    </row>
    <row r="128" spans="1:15" s="54" customFormat="1" ht="22.5" customHeight="1" x14ac:dyDescent="0.25">
      <c r="A128" s="37" t="s">
        <v>296</v>
      </c>
      <c r="B128" s="37" t="s">
        <v>76</v>
      </c>
      <c r="C128" s="3" t="s">
        <v>297</v>
      </c>
      <c r="D128" s="49">
        <f>'дод 3'!E35+'дод 3'!E198</f>
        <v>1640081</v>
      </c>
      <c r="E128" s="49">
        <f>'дод 3'!F35+'дод 3'!F198</f>
        <v>1640081</v>
      </c>
      <c r="F128" s="49">
        <f>'дод 3'!G35+'дод 3'!G198</f>
        <v>0</v>
      </c>
      <c r="G128" s="49">
        <f>'дод 3'!H35+'дод 3'!H198</f>
        <v>0</v>
      </c>
      <c r="H128" s="49">
        <f>'дод 3'!I35+'дод 3'!I198</f>
        <v>0</v>
      </c>
      <c r="I128" s="49">
        <f>'дод 3'!J35+'дод 3'!J198</f>
        <v>0</v>
      </c>
      <c r="J128" s="49">
        <f>'дод 3'!K35+'дод 3'!K198</f>
        <v>0</v>
      </c>
      <c r="K128" s="49">
        <f>'дод 3'!L35+'дод 3'!L198</f>
        <v>0</v>
      </c>
      <c r="L128" s="49">
        <f>'дод 3'!M35+'дод 3'!M198</f>
        <v>0</v>
      </c>
      <c r="M128" s="49">
        <f>'дод 3'!N35+'дод 3'!N198</f>
        <v>0</v>
      </c>
      <c r="N128" s="49">
        <f>'дод 3'!O35+'дод 3'!O198</f>
        <v>0</v>
      </c>
      <c r="O128" s="49">
        <f>'дод 3'!P35+'дод 3'!P198</f>
        <v>1640081</v>
      </c>
    </row>
    <row r="129" spans="1:15" s="52" customFormat="1" ht="21.75" customHeight="1" x14ac:dyDescent="0.25">
      <c r="A129" s="38" t="s">
        <v>79</v>
      </c>
      <c r="B129" s="41"/>
      <c r="C129" s="2" t="s">
        <v>80</v>
      </c>
      <c r="D129" s="48">
        <f t="shared" ref="D129:O129" si="19">D130+D131+D132+D133+D134+D135</f>
        <v>59234100</v>
      </c>
      <c r="E129" s="48">
        <f t="shared" si="19"/>
        <v>59234100</v>
      </c>
      <c r="F129" s="48">
        <f t="shared" si="19"/>
        <v>22029200</v>
      </c>
      <c r="G129" s="48">
        <f t="shared" si="19"/>
        <v>1116955</v>
      </c>
      <c r="H129" s="48">
        <f t="shared" si="19"/>
        <v>0</v>
      </c>
      <c r="I129" s="48">
        <f t="shared" si="19"/>
        <v>2315794</v>
      </c>
      <c r="J129" s="48">
        <f t="shared" si="19"/>
        <v>2102800</v>
      </c>
      <c r="K129" s="48">
        <f t="shared" si="19"/>
        <v>212994</v>
      </c>
      <c r="L129" s="48">
        <f t="shared" si="19"/>
        <v>119291</v>
      </c>
      <c r="M129" s="48">
        <f t="shared" si="19"/>
        <v>50432</v>
      </c>
      <c r="N129" s="48">
        <f t="shared" si="19"/>
        <v>2102800</v>
      </c>
      <c r="O129" s="48">
        <f t="shared" si="19"/>
        <v>61549894</v>
      </c>
    </row>
    <row r="130" spans="1:15" s="54" customFormat="1" ht="37.5" customHeight="1" x14ac:dyDescent="0.25">
      <c r="A130" s="37" t="s">
        <v>81</v>
      </c>
      <c r="B130" s="37" t="s">
        <v>82</v>
      </c>
      <c r="C130" s="3" t="s">
        <v>21</v>
      </c>
      <c r="D130" s="49">
        <f>'дод 3'!E36</f>
        <v>650000</v>
      </c>
      <c r="E130" s="49">
        <f>'дод 3'!F36</f>
        <v>650000</v>
      </c>
      <c r="F130" s="49">
        <f>'дод 3'!G36</f>
        <v>0</v>
      </c>
      <c r="G130" s="49">
        <f>'дод 3'!H36</f>
        <v>0</v>
      </c>
      <c r="H130" s="49">
        <f>'дод 3'!I36</f>
        <v>0</v>
      </c>
      <c r="I130" s="49">
        <f>'дод 3'!J36</f>
        <v>0</v>
      </c>
      <c r="J130" s="49">
        <f>'дод 3'!K36</f>
        <v>0</v>
      </c>
      <c r="K130" s="49">
        <f>'дод 3'!L36</f>
        <v>0</v>
      </c>
      <c r="L130" s="49">
        <f>'дод 3'!M36</f>
        <v>0</v>
      </c>
      <c r="M130" s="49">
        <f>'дод 3'!N36</f>
        <v>0</v>
      </c>
      <c r="N130" s="49">
        <f>'дод 3'!O36</f>
        <v>0</v>
      </c>
      <c r="O130" s="49">
        <f>'дод 3'!P36</f>
        <v>650000</v>
      </c>
    </row>
    <row r="131" spans="1:15" s="54" customFormat="1" ht="34.5" customHeight="1" x14ac:dyDescent="0.25">
      <c r="A131" s="37" t="s">
        <v>83</v>
      </c>
      <c r="B131" s="37" t="s">
        <v>82</v>
      </c>
      <c r="C131" s="3" t="s">
        <v>16</v>
      </c>
      <c r="D131" s="49">
        <f>'дод 3'!E37</f>
        <v>893000</v>
      </c>
      <c r="E131" s="49">
        <f>'дод 3'!F37</f>
        <v>893000</v>
      </c>
      <c r="F131" s="49">
        <f>'дод 3'!G37</f>
        <v>0</v>
      </c>
      <c r="G131" s="49">
        <f>'дод 3'!H37</f>
        <v>0</v>
      </c>
      <c r="H131" s="49">
        <f>'дод 3'!I37</f>
        <v>0</v>
      </c>
      <c r="I131" s="49">
        <f>'дод 3'!J37</f>
        <v>0</v>
      </c>
      <c r="J131" s="49">
        <f>'дод 3'!K37</f>
        <v>0</v>
      </c>
      <c r="K131" s="49">
        <f>'дод 3'!L37</f>
        <v>0</v>
      </c>
      <c r="L131" s="49">
        <f>'дод 3'!M37</f>
        <v>0</v>
      </c>
      <c r="M131" s="49">
        <f>'дод 3'!N37</f>
        <v>0</v>
      </c>
      <c r="N131" s="49">
        <f>'дод 3'!O37</f>
        <v>0</v>
      </c>
      <c r="O131" s="49">
        <f>'дод 3'!P37</f>
        <v>893000</v>
      </c>
    </row>
    <row r="132" spans="1:15" s="54" customFormat="1" ht="36.75" customHeight="1" x14ac:dyDescent="0.25">
      <c r="A132" s="37" t="s">
        <v>118</v>
      </c>
      <c r="B132" s="37" t="s">
        <v>82</v>
      </c>
      <c r="C132" s="3" t="s">
        <v>22</v>
      </c>
      <c r="D132" s="49">
        <f>'дод 3'!E38+'дод 3'!E101</f>
        <v>25623100</v>
      </c>
      <c r="E132" s="49">
        <f>'дод 3'!F38+'дод 3'!F101</f>
        <v>25623100</v>
      </c>
      <c r="F132" s="49">
        <f>'дод 3'!G38+'дод 3'!G101</f>
        <v>19041800</v>
      </c>
      <c r="G132" s="49">
        <f>'дод 3'!H38+'дод 3'!H101</f>
        <v>826700</v>
      </c>
      <c r="H132" s="49">
        <f>'дод 3'!I38+'дод 3'!I101</f>
        <v>0</v>
      </c>
      <c r="I132" s="49">
        <f>'дод 3'!J38+'дод 3'!J101</f>
        <v>200700</v>
      </c>
      <c r="J132" s="49">
        <f>'дод 3'!K38+'дод 3'!K101</f>
        <v>200700</v>
      </c>
      <c r="K132" s="49">
        <f>'дод 3'!L38+'дод 3'!L101</f>
        <v>0</v>
      </c>
      <c r="L132" s="49">
        <f>'дод 3'!M38+'дод 3'!M101</f>
        <v>0</v>
      </c>
      <c r="M132" s="49">
        <f>'дод 3'!N38+'дод 3'!N101</f>
        <v>0</v>
      </c>
      <c r="N132" s="49">
        <f>'дод 3'!O38+'дод 3'!O101</f>
        <v>200700</v>
      </c>
      <c r="O132" s="49">
        <f>'дод 3'!P38+'дод 3'!P101</f>
        <v>25823800</v>
      </c>
    </row>
    <row r="133" spans="1:15" s="54" customFormat="1" ht="31.5" customHeight="1" x14ac:dyDescent="0.25">
      <c r="A133" s="37" t="s">
        <v>119</v>
      </c>
      <c r="B133" s="37" t="s">
        <v>82</v>
      </c>
      <c r="C133" s="3" t="s">
        <v>23</v>
      </c>
      <c r="D133" s="49">
        <f>'дод 3'!E39</f>
        <v>14406600</v>
      </c>
      <c r="E133" s="49">
        <f>'дод 3'!F39</f>
        <v>14406600</v>
      </c>
      <c r="F133" s="49">
        <f>'дод 3'!G39</f>
        <v>0</v>
      </c>
      <c r="G133" s="49">
        <f>'дод 3'!H39</f>
        <v>0</v>
      </c>
      <c r="H133" s="49">
        <f>'дод 3'!I39</f>
        <v>0</v>
      </c>
      <c r="I133" s="49">
        <f>'дод 3'!J39</f>
        <v>372100</v>
      </c>
      <c r="J133" s="49">
        <f>'дод 3'!K39</f>
        <v>372100</v>
      </c>
      <c r="K133" s="49">
        <f>'дод 3'!L39</f>
        <v>0</v>
      </c>
      <c r="L133" s="49">
        <f>'дод 3'!M39</f>
        <v>0</v>
      </c>
      <c r="M133" s="49">
        <f>'дод 3'!N39</f>
        <v>0</v>
      </c>
      <c r="N133" s="49">
        <f>'дод 3'!O39</f>
        <v>372100</v>
      </c>
      <c r="O133" s="49">
        <f>'дод 3'!P39</f>
        <v>14778700</v>
      </c>
    </row>
    <row r="134" spans="1:15" s="54" customFormat="1" ht="54" customHeight="1" x14ac:dyDescent="0.25">
      <c r="A134" s="37" t="s">
        <v>114</v>
      </c>
      <c r="B134" s="37" t="s">
        <v>82</v>
      </c>
      <c r="C134" s="3" t="s">
        <v>115</v>
      </c>
      <c r="D134" s="49">
        <f>'дод 3'!E40</f>
        <v>4919100</v>
      </c>
      <c r="E134" s="49">
        <f>'дод 3'!F40</f>
        <v>4919100</v>
      </c>
      <c r="F134" s="49">
        <f>'дод 3'!G40</f>
        <v>2987400</v>
      </c>
      <c r="G134" s="49">
        <f>'дод 3'!H40</f>
        <v>290255</v>
      </c>
      <c r="H134" s="49">
        <f>'дод 3'!I40</f>
        <v>0</v>
      </c>
      <c r="I134" s="49">
        <f>'дод 3'!J40</f>
        <v>1742994</v>
      </c>
      <c r="J134" s="49">
        <f>'дод 3'!K40</f>
        <v>1530000</v>
      </c>
      <c r="K134" s="49">
        <f>'дод 3'!L40</f>
        <v>212994</v>
      </c>
      <c r="L134" s="49">
        <f>'дод 3'!M40</f>
        <v>119291</v>
      </c>
      <c r="M134" s="49">
        <f>'дод 3'!N40</f>
        <v>50432</v>
      </c>
      <c r="N134" s="49">
        <f>'дод 3'!O40</f>
        <v>1530000</v>
      </c>
      <c r="O134" s="49">
        <f>'дод 3'!P40</f>
        <v>6662094</v>
      </c>
    </row>
    <row r="135" spans="1:15" s="54" customFormat="1" ht="45" customHeight="1" x14ac:dyDescent="0.25">
      <c r="A135" s="37" t="s">
        <v>117</v>
      </c>
      <c r="B135" s="37" t="s">
        <v>82</v>
      </c>
      <c r="C135" s="3" t="s">
        <v>116</v>
      </c>
      <c r="D135" s="49">
        <f>'дод 3'!E41</f>
        <v>12742300</v>
      </c>
      <c r="E135" s="49">
        <f>'дод 3'!F41</f>
        <v>12742300</v>
      </c>
      <c r="F135" s="49">
        <f>'дод 3'!G41</f>
        <v>0</v>
      </c>
      <c r="G135" s="49">
        <f>'дод 3'!H41</f>
        <v>0</v>
      </c>
      <c r="H135" s="49">
        <f>'дод 3'!I41</f>
        <v>0</v>
      </c>
      <c r="I135" s="49">
        <f>'дод 3'!J41</f>
        <v>0</v>
      </c>
      <c r="J135" s="49">
        <f>'дод 3'!K41</f>
        <v>0</v>
      </c>
      <c r="K135" s="49">
        <f>'дод 3'!L41</f>
        <v>0</v>
      </c>
      <c r="L135" s="49">
        <f>'дод 3'!M41</f>
        <v>0</v>
      </c>
      <c r="M135" s="49">
        <f>'дод 3'!N41</f>
        <v>0</v>
      </c>
      <c r="N135" s="49">
        <f>'дод 3'!O41</f>
        <v>0</v>
      </c>
      <c r="O135" s="49">
        <f>'дод 3'!P41</f>
        <v>12742300</v>
      </c>
    </row>
    <row r="136" spans="1:15" s="52" customFormat="1" ht="18" customHeight="1" x14ac:dyDescent="0.25">
      <c r="A136" s="38" t="s">
        <v>67</v>
      </c>
      <c r="B136" s="41"/>
      <c r="C136" s="2" t="s">
        <v>68</v>
      </c>
      <c r="D136" s="48">
        <f>D138+D139+D140+D141+D142+D143+D144+D146+D147</f>
        <v>273206150.26999998</v>
      </c>
      <c r="E136" s="48">
        <f t="shared" ref="E136:O136" si="20">E138+E139+E140+E141+E142+E143+E144+E146+E147</f>
        <v>242464191.78999999</v>
      </c>
      <c r="F136" s="48">
        <f t="shared" si="20"/>
        <v>0</v>
      </c>
      <c r="G136" s="48">
        <f t="shared" si="20"/>
        <v>33764960</v>
      </c>
      <c r="H136" s="48">
        <f t="shared" si="20"/>
        <v>30741958.48</v>
      </c>
      <c r="I136" s="48">
        <f t="shared" si="20"/>
        <v>109793129.22999999</v>
      </c>
      <c r="J136" s="48">
        <f t="shared" si="20"/>
        <v>107850300.57999998</v>
      </c>
      <c r="K136" s="48">
        <f t="shared" si="20"/>
        <v>0</v>
      </c>
      <c r="L136" s="48">
        <f t="shared" si="20"/>
        <v>0</v>
      </c>
      <c r="M136" s="48">
        <f t="shared" si="20"/>
        <v>0</v>
      </c>
      <c r="N136" s="48">
        <f t="shared" si="20"/>
        <v>109793129.22999999</v>
      </c>
      <c r="O136" s="48">
        <f t="shared" si="20"/>
        <v>382999279.5</v>
      </c>
    </row>
    <row r="137" spans="1:15" s="52" customFormat="1" ht="110.25" hidden="1" customHeight="1" x14ac:dyDescent="0.25">
      <c r="A137" s="38"/>
      <c r="B137" s="41"/>
      <c r="C137" s="2" t="s">
        <v>449</v>
      </c>
      <c r="D137" s="48">
        <f>D145</f>
        <v>0</v>
      </c>
      <c r="E137" s="48">
        <f t="shared" ref="E137:O137" si="21">E145</f>
        <v>0</v>
      </c>
      <c r="F137" s="48">
        <f t="shared" si="21"/>
        <v>0</v>
      </c>
      <c r="G137" s="48">
        <f t="shared" si="21"/>
        <v>0</v>
      </c>
      <c r="H137" s="48">
        <f t="shared" si="21"/>
        <v>0</v>
      </c>
      <c r="I137" s="48">
        <f t="shared" si="21"/>
        <v>0</v>
      </c>
      <c r="J137" s="48">
        <f t="shared" si="21"/>
        <v>0</v>
      </c>
      <c r="K137" s="48">
        <f t="shared" si="21"/>
        <v>0</v>
      </c>
      <c r="L137" s="48">
        <f t="shared" si="21"/>
        <v>0</v>
      </c>
      <c r="M137" s="48">
        <f t="shared" si="21"/>
        <v>0</v>
      </c>
      <c r="N137" s="48">
        <f t="shared" si="21"/>
        <v>0</v>
      </c>
      <c r="O137" s="48">
        <f t="shared" si="21"/>
        <v>0</v>
      </c>
    </row>
    <row r="138" spans="1:15" s="54" customFormat="1" ht="29.25" customHeight="1" x14ac:dyDescent="0.25">
      <c r="A138" s="37" t="s">
        <v>129</v>
      </c>
      <c r="B138" s="37" t="s">
        <v>69</v>
      </c>
      <c r="C138" s="3" t="s">
        <v>130</v>
      </c>
      <c r="D138" s="49">
        <f>'дод 3'!E212</f>
        <v>0</v>
      </c>
      <c r="E138" s="49">
        <f>'дод 3'!F212</f>
        <v>0</v>
      </c>
      <c r="F138" s="49">
        <f>'дод 3'!G212</f>
        <v>0</v>
      </c>
      <c r="G138" s="49">
        <f>'дод 3'!H212</f>
        <v>0</v>
      </c>
      <c r="H138" s="49">
        <f>'дод 3'!I212</f>
        <v>0</v>
      </c>
      <c r="I138" s="49">
        <f>'дод 3'!J212</f>
        <v>8540296</v>
      </c>
      <c r="J138" s="49">
        <f>'дод 3'!K212</f>
        <v>8503816</v>
      </c>
      <c r="K138" s="49">
        <f>'дод 3'!L212</f>
        <v>0</v>
      </c>
      <c r="L138" s="49">
        <f>'дод 3'!M212</f>
        <v>0</v>
      </c>
      <c r="M138" s="49">
        <f>'дод 3'!N212</f>
        <v>0</v>
      </c>
      <c r="N138" s="49">
        <f>'дод 3'!O212</f>
        <v>8540296</v>
      </c>
      <c r="O138" s="49">
        <f>'дод 3'!P212</f>
        <v>8540296</v>
      </c>
    </row>
    <row r="139" spans="1:15" s="54" customFormat="1" ht="36.75" customHeight="1" x14ac:dyDescent="0.25">
      <c r="A139" s="37" t="s">
        <v>131</v>
      </c>
      <c r="B139" s="37" t="s">
        <v>71</v>
      </c>
      <c r="C139" s="3" t="s">
        <v>149</v>
      </c>
      <c r="D139" s="49">
        <f>'дод 3'!E213</f>
        <v>29344040</v>
      </c>
      <c r="E139" s="49">
        <f>'дод 3'!F213</f>
        <v>844040</v>
      </c>
      <c r="F139" s="49">
        <f>'дод 3'!G213</f>
        <v>0</v>
      </c>
      <c r="G139" s="49">
        <f>'дод 3'!H213</f>
        <v>0</v>
      </c>
      <c r="H139" s="49">
        <f>'дод 3'!I213</f>
        <v>28500000</v>
      </c>
      <c r="I139" s="49">
        <f>'дод 3'!J213</f>
        <v>200000</v>
      </c>
      <c r="J139" s="49">
        <f>'дод 3'!K213</f>
        <v>200000</v>
      </c>
      <c r="K139" s="49">
        <f>'дод 3'!L213</f>
        <v>0</v>
      </c>
      <c r="L139" s="49">
        <f>'дод 3'!M213</f>
        <v>0</v>
      </c>
      <c r="M139" s="49">
        <f>'дод 3'!N213</f>
        <v>0</v>
      </c>
      <c r="N139" s="49">
        <f>'дод 3'!O213</f>
        <v>200000</v>
      </c>
      <c r="O139" s="49">
        <f>'дод 3'!P213</f>
        <v>29544040</v>
      </c>
    </row>
    <row r="140" spans="1:15" s="54" customFormat="1" ht="34.5" customHeight="1" x14ac:dyDescent="0.25">
      <c r="A140" s="40" t="s">
        <v>262</v>
      </c>
      <c r="B140" s="40" t="s">
        <v>71</v>
      </c>
      <c r="C140" s="3" t="s">
        <v>263</v>
      </c>
      <c r="D140" s="49">
        <f>'дод 3'!E214</f>
        <v>115980</v>
      </c>
      <c r="E140" s="49">
        <f>'дод 3'!F214</f>
        <v>115980</v>
      </c>
      <c r="F140" s="49">
        <f>'дод 3'!G214</f>
        <v>0</v>
      </c>
      <c r="G140" s="49">
        <f>'дод 3'!H214</f>
        <v>0</v>
      </c>
      <c r="H140" s="49">
        <f>'дод 3'!I214</f>
        <v>0</v>
      </c>
      <c r="I140" s="49">
        <f>'дод 3'!J214</f>
        <v>14717600</v>
      </c>
      <c r="J140" s="49">
        <f>'дод 3'!K214</f>
        <v>14667600</v>
      </c>
      <c r="K140" s="49">
        <f>'дод 3'!L214</f>
        <v>0</v>
      </c>
      <c r="L140" s="49">
        <f>'дод 3'!M214</f>
        <v>0</v>
      </c>
      <c r="M140" s="49">
        <f>'дод 3'!N214</f>
        <v>0</v>
      </c>
      <c r="N140" s="49">
        <f>'дод 3'!O214</f>
        <v>14717600</v>
      </c>
      <c r="O140" s="49">
        <f>'дод 3'!P214</f>
        <v>14833580</v>
      </c>
    </row>
    <row r="141" spans="1:15" s="54" customFormat="1" ht="33" customHeight="1" x14ac:dyDescent="0.25">
      <c r="A141" s="37" t="s">
        <v>265</v>
      </c>
      <c r="B141" s="37" t="s">
        <v>71</v>
      </c>
      <c r="C141" s="3" t="s">
        <v>346</v>
      </c>
      <c r="D141" s="49">
        <f>'дод 3'!E215</f>
        <v>100000</v>
      </c>
      <c r="E141" s="49">
        <f>'дод 3'!F215</f>
        <v>100000</v>
      </c>
      <c r="F141" s="49">
        <f>'дод 3'!G215</f>
        <v>0</v>
      </c>
      <c r="G141" s="49">
        <f>'дод 3'!H215</f>
        <v>0</v>
      </c>
      <c r="H141" s="49">
        <f>'дод 3'!I215</f>
        <v>0</v>
      </c>
      <c r="I141" s="49">
        <f>'дод 3'!J215</f>
        <v>0</v>
      </c>
      <c r="J141" s="49">
        <f>'дод 3'!K215</f>
        <v>0</v>
      </c>
      <c r="K141" s="49">
        <f>'дод 3'!L215</f>
        <v>0</v>
      </c>
      <c r="L141" s="49">
        <f>'дод 3'!M215</f>
        <v>0</v>
      </c>
      <c r="M141" s="49">
        <f>'дод 3'!N215</f>
        <v>0</v>
      </c>
      <c r="N141" s="49">
        <f>'дод 3'!O215</f>
        <v>0</v>
      </c>
      <c r="O141" s="49">
        <f>'дод 3'!P215</f>
        <v>100000</v>
      </c>
    </row>
    <row r="142" spans="1:15" s="54" customFormat="1" ht="52.5" customHeight="1" x14ac:dyDescent="0.25">
      <c r="A142" s="37" t="s">
        <v>70</v>
      </c>
      <c r="B142" s="37" t="s">
        <v>71</v>
      </c>
      <c r="C142" s="3" t="s">
        <v>134</v>
      </c>
      <c r="D142" s="49">
        <f>'дод 3'!E216</f>
        <v>1871258.48</v>
      </c>
      <c r="E142" s="49">
        <f>'дод 3'!F216</f>
        <v>29300</v>
      </c>
      <c r="F142" s="49">
        <f>'дод 3'!G216</f>
        <v>0</v>
      </c>
      <c r="G142" s="49">
        <f>'дод 3'!H216</f>
        <v>0</v>
      </c>
      <c r="H142" s="49">
        <f>'дод 3'!I216</f>
        <v>1841958.48</v>
      </c>
      <c r="I142" s="49">
        <f>'дод 3'!J216</f>
        <v>0</v>
      </c>
      <c r="J142" s="49">
        <f>'дод 3'!K216</f>
        <v>0</v>
      </c>
      <c r="K142" s="49">
        <f>'дод 3'!L216</f>
        <v>0</v>
      </c>
      <c r="L142" s="49">
        <f>'дод 3'!M216</f>
        <v>0</v>
      </c>
      <c r="M142" s="49">
        <f>'дод 3'!N216</f>
        <v>0</v>
      </c>
      <c r="N142" s="49">
        <f>'дод 3'!O216</f>
        <v>0</v>
      </c>
      <c r="O142" s="49">
        <f>'дод 3'!P216</f>
        <v>1871258.48</v>
      </c>
    </row>
    <row r="143" spans="1:15" ht="24" customHeight="1" x14ac:dyDescent="0.25">
      <c r="A143" s="37" t="s">
        <v>132</v>
      </c>
      <c r="B143" s="37" t="s">
        <v>71</v>
      </c>
      <c r="C143" s="3" t="s">
        <v>133</v>
      </c>
      <c r="D143" s="49">
        <f>'дод 3'!E217+'дод 3'!E245</f>
        <v>223325375.50999999</v>
      </c>
      <c r="E143" s="49">
        <f>'дод 3'!F217+'дод 3'!F245</f>
        <v>223225375.50999999</v>
      </c>
      <c r="F143" s="49">
        <f>'дод 3'!G217+'дод 3'!G245</f>
        <v>0</v>
      </c>
      <c r="G143" s="49">
        <f>'дод 3'!H217+'дод 3'!H245</f>
        <v>33740460</v>
      </c>
      <c r="H143" s="49">
        <f>'дод 3'!I217+'дод 3'!I245</f>
        <v>100000</v>
      </c>
      <c r="I143" s="49">
        <f>'дод 3'!J217+'дод 3'!J245</f>
        <v>84448884.579999983</v>
      </c>
      <c r="J143" s="49">
        <f>'дод 3'!K217+'дод 3'!K245</f>
        <v>84448884.579999983</v>
      </c>
      <c r="K143" s="49">
        <f>'дод 3'!L217+'дод 3'!L245</f>
        <v>0</v>
      </c>
      <c r="L143" s="49">
        <f>'дод 3'!M217+'дод 3'!M245</f>
        <v>0</v>
      </c>
      <c r="M143" s="49">
        <f>'дод 3'!N217+'дод 3'!N245</f>
        <v>0</v>
      </c>
      <c r="N143" s="49">
        <f>'дод 3'!O217+'дод 3'!O245</f>
        <v>84448884.579999983</v>
      </c>
      <c r="O143" s="49">
        <f>'дод 3'!P217+'дод 3'!P245</f>
        <v>307774260.08999997</v>
      </c>
    </row>
    <row r="144" spans="1:15" ht="78.75" x14ac:dyDescent="0.25">
      <c r="A144" s="37">
        <v>6083</v>
      </c>
      <c r="B144" s="59" t="s">
        <v>69</v>
      </c>
      <c r="C144" s="11" t="s">
        <v>441</v>
      </c>
      <c r="D144" s="49">
        <f>'дод 3'!E189</f>
        <v>0</v>
      </c>
      <c r="E144" s="49">
        <f>'дод 3'!F189</f>
        <v>0</v>
      </c>
      <c r="F144" s="49">
        <f>'дод 3'!G189</f>
        <v>0</v>
      </c>
      <c r="G144" s="49">
        <f>'дод 3'!H189</f>
        <v>0</v>
      </c>
      <c r="H144" s="49">
        <f>'дод 3'!I189</f>
        <v>0</v>
      </c>
      <c r="I144" s="49">
        <f>'дод 3'!J189</f>
        <v>30000</v>
      </c>
      <c r="J144" s="49">
        <f>'дод 3'!K189</f>
        <v>30000</v>
      </c>
      <c r="K144" s="49">
        <f>'дод 3'!L189</f>
        <v>0</v>
      </c>
      <c r="L144" s="49">
        <f>'дод 3'!M189</f>
        <v>0</v>
      </c>
      <c r="M144" s="49">
        <f>'дод 3'!N189</f>
        <v>0</v>
      </c>
      <c r="N144" s="49">
        <f>'дод 3'!O189</f>
        <v>30000</v>
      </c>
      <c r="O144" s="49">
        <f>'дод 3'!P189</f>
        <v>30000</v>
      </c>
    </row>
    <row r="145" spans="1:15" s="54" customFormat="1" ht="110.25" hidden="1" x14ac:dyDescent="0.25">
      <c r="A145" s="82"/>
      <c r="B145" s="93"/>
      <c r="C145" s="94" t="s">
        <v>449</v>
      </c>
      <c r="D145" s="84">
        <f>'дод 3'!E190</f>
        <v>0</v>
      </c>
      <c r="E145" s="84">
        <f>'дод 3'!F190</f>
        <v>0</v>
      </c>
      <c r="F145" s="84">
        <f>'дод 3'!G190</f>
        <v>0</v>
      </c>
      <c r="G145" s="84">
        <f>'дод 3'!H190</f>
        <v>0</v>
      </c>
      <c r="H145" s="84">
        <f>'дод 3'!I190</f>
        <v>0</v>
      </c>
      <c r="I145" s="84">
        <f>'дод 3'!J190</f>
        <v>0</v>
      </c>
      <c r="J145" s="84">
        <f>'дод 3'!K190</f>
        <v>0</v>
      </c>
      <c r="K145" s="84">
        <f>'дод 3'!L190</f>
        <v>0</v>
      </c>
      <c r="L145" s="84">
        <f>'дод 3'!M190</f>
        <v>0</v>
      </c>
      <c r="M145" s="84">
        <f>'дод 3'!N190</f>
        <v>0</v>
      </c>
      <c r="N145" s="84">
        <f>'дод 3'!O190</f>
        <v>0</v>
      </c>
      <c r="O145" s="84">
        <f>'дод 3'!P190</f>
        <v>0</v>
      </c>
    </row>
    <row r="146" spans="1:15" s="54" customFormat="1" ht="68.25" customHeight="1" x14ac:dyDescent="0.25">
      <c r="A146" s="37" t="s">
        <v>136</v>
      </c>
      <c r="B146" s="42" t="s">
        <v>69</v>
      </c>
      <c r="C146" s="3" t="s">
        <v>137</v>
      </c>
      <c r="D146" s="49">
        <f>'дод 3'!E246</f>
        <v>0</v>
      </c>
      <c r="E146" s="49">
        <f>'дод 3'!F246</f>
        <v>0</v>
      </c>
      <c r="F146" s="49">
        <f>'дод 3'!G246</f>
        <v>0</v>
      </c>
      <c r="G146" s="49">
        <f>'дод 3'!H246</f>
        <v>0</v>
      </c>
      <c r="H146" s="49">
        <f>'дод 3'!I246</f>
        <v>0</v>
      </c>
      <c r="I146" s="49">
        <f>'дод 3'!J246</f>
        <v>71348.649999999994</v>
      </c>
      <c r="J146" s="49">
        <f>'дод 3'!K246</f>
        <v>0</v>
      </c>
      <c r="K146" s="49">
        <f>'дод 3'!L246</f>
        <v>0</v>
      </c>
      <c r="L146" s="49">
        <f>'дод 3'!M246</f>
        <v>0</v>
      </c>
      <c r="M146" s="49">
        <f>'дод 3'!N246</f>
        <v>0</v>
      </c>
      <c r="N146" s="49">
        <f>'дод 3'!O246</f>
        <v>71348.649999999994</v>
      </c>
      <c r="O146" s="49">
        <f>'дод 3'!P246</f>
        <v>71348.649999999994</v>
      </c>
    </row>
    <row r="147" spans="1:15" ht="36" customHeight="1" x14ac:dyDescent="0.25">
      <c r="A147" s="37" t="s">
        <v>143</v>
      </c>
      <c r="B147" s="42" t="s">
        <v>314</v>
      </c>
      <c r="C147" s="3" t="s">
        <v>144</v>
      </c>
      <c r="D147" s="49">
        <f>'дод 3'!E218+'дод 3'!E263</f>
        <v>18449496.280000001</v>
      </c>
      <c r="E147" s="49">
        <f>'дод 3'!F218+'дод 3'!F263</f>
        <v>18149496.280000001</v>
      </c>
      <c r="F147" s="49">
        <f>'дод 3'!G218+'дод 3'!G263</f>
        <v>0</v>
      </c>
      <c r="G147" s="49">
        <f>'дод 3'!H218+'дод 3'!H263</f>
        <v>24500</v>
      </c>
      <c r="H147" s="49">
        <f>'дод 3'!I218+'дод 3'!I263</f>
        <v>300000</v>
      </c>
      <c r="I147" s="49">
        <f>'дод 3'!J218+'дод 3'!J263</f>
        <v>1785000</v>
      </c>
      <c r="J147" s="49">
        <f>'дод 3'!K218+'дод 3'!K263</f>
        <v>0</v>
      </c>
      <c r="K147" s="49">
        <f>'дод 3'!L218+'дод 3'!L263</f>
        <v>0</v>
      </c>
      <c r="L147" s="49">
        <f>'дод 3'!M218+'дод 3'!M263</f>
        <v>0</v>
      </c>
      <c r="M147" s="49">
        <f>'дод 3'!N218+'дод 3'!N263</f>
        <v>0</v>
      </c>
      <c r="N147" s="49">
        <f>'дод 3'!O218+'дод 3'!O263</f>
        <v>1785000</v>
      </c>
      <c r="O147" s="49">
        <f>'дод 3'!P218+'дод 3'!P263</f>
        <v>20234496.280000001</v>
      </c>
    </row>
    <row r="148" spans="1:15" s="52" customFormat="1" ht="21.75" customHeight="1" x14ac:dyDescent="0.25">
      <c r="A148" s="38" t="s">
        <v>138</v>
      </c>
      <c r="B148" s="41"/>
      <c r="C148" s="2" t="s">
        <v>409</v>
      </c>
      <c r="D148" s="48">
        <f>D152+D154+D170+D182+D184+D196</f>
        <v>72770784</v>
      </c>
      <c r="E148" s="48">
        <f t="shared" ref="E148:O148" si="22">E152+E154+E170+E182+E184+E196</f>
        <v>21111288</v>
      </c>
      <c r="F148" s="48">
        <f t="shared" si="22"/>
        <v>0</v>
      </c>
      <c r="G148" s="48">
        <f t="shared" si="22"/>
        <v>0</v>
      </c>
      <c r="H148" s="48">
        <f t="shared" si="22"/>
        <v>51659496</v>
      </c>
      <c r="I148" s="48">
        <f t="shared" si="22"/>
        <v>417349947.56999999</v>
      </c>
      <c r="J148" s="48">
        <f t="shared" si="22"/>
        <v>400389975.69999999</v>
      </c>
      <c r="K148" s="48">
        <f t="shared" si="22"/>
        <v>2948437.8699999996</v>
      </c>
      <c r="L148" s="48">
        <f t="shared" si="22"/>
        <v>0</v>
      </c>
      <c r="M148" s="48">
        <f t="shared" si="22"/>
        <v>0</v>
      </c>
      <c r="N148" s="48">
        <f t="shared" si="22"/>
        <v>414401509.69999999</v>
      </c>
      <c r="O148" s="48">
        <f t="shared" si="22"/>
        <v>490120731.56999999</v>
      </c>
    </row>
    <row r="149" spans="1:15" s="53" customFormat="1" ht="47.25" hidden="1" customHeight="1" x14ac:dyDescent="0.25">
      <c r="A149" s="75"/>
      <c r="B149" s="76"/>
      <c r="C149" s="79" t="s">
        <v>390</v>
      </c>
      <c r="D149" s="80">
        <f>D155</f>
        <v>0</v>
      </c>
      <c r="E149" s="80">
        <f t="shared" ref="E149:O149" si="23">E155</f>
        <v>0</v>
      </c>
      <c r="F149" s="80">
        <f t="shared" si="23"/>
        <v>0</v>
      </c>
      <c r="G149" s="80">
        <f t="shared" si="23"/>
        <v>0</v>
      </c>
      <c r="H149" s="80">
        <f t="shared" si="23"/>
        <v>0</v>
      </c>
      <c r="I149" s="80">
        <f t="shared" si="23"/>
        <v>7785959</v>
      </c>
      <c r="J149" s="80">
        <f t="shared" si="23"/>
        <v>7785959</v>
      </c>
      <c r="K149" s="80">
        <f t="shared" si="23"/>
        <v>0</v>
      </c>
      <c r="L149" s="80">
        <f t="shared" si="23"/>
        <v>0</v>
      </c>
      <c r="M149" s="80">
        <f t="shared" si="23"/>
        <v>0</v>
      </c>
      <c r="N149" s="80">
        <f t="shared" si="23"/>
        <v>7785959</v>
      </c>
      <c r="O149" s="80">
        <f t="shared" si="23"/>
        <v>7785959</v>
      </c>
    </row>
    <row r="150" spans="1:15" s="53" customFormat="1" ht="94.5" hidden="1" customHeight="1" x14ac:dyDescent="0.25">
      <c r="A150" s="75"/>
      <c r="B150" s="76"/>
      <c r="C150" s="79" t="s">
        <v>399</v>
      </c>
      <c r="D150" s="80">
        <f>D171</f>
        <v>0</v>
      </c>
      <c r="E150" s="80">
        <f t="shared" ref="E150:N150" si="24">E171</f>
        <v>0</v>
      </c>
      <c r="F150" s="80">
        <f t="shared" si="24"/>
        <v>0</v>
      </c>
      <c r="G150" s="80">
        <f t="shared" si="24"/>
        <v>0</v>
      </c>
      <c r="H150" s="80">
        <f t="shared" si="24"/>
        <v>0</v>
      </c>
      <c r="I150" s="80">
        <f t="shared" si="24"/>
        <v>0</v>
      </c>
      <c r="J150" s="80">
        <f t="shared" si="24"/>
        <v>0</v>
      </c>
      <c r="K150" s="80">
        <f t="shared" si="24"/>
        <v>0</v>
      </c>
      <c r="L150" s="80">
        <f t="shared" si="24"/>
        <v>0</v>
      </c>
      <c r="M150" s="80">
        <f t="shared" si="24"/>
        <v>0</v>
      </c>
      <c r="N150" s="80">
        <f t="shared" si="24"/>
        <v>0</v>
      </c>
      <c r="O150" s="80">
        <f t="shared" ref="O150" si="25">O171</f>
        <v>0</v>
      </c>
    </row>
    <row r="151" spans="1:15" s="53" customFormat="1" ht="18" customHeight="1" x14ac:dyDescent="0.25">
      <c r="A151" s="75"/>
      <c r="B151" s="75"/>
      <c r="C151" s="87" t="s">
        <v>421</v>
      </c>
      <c r="D151" s="80">
        <f>D185</f>
        <v>0</v>
      </c>
      <c r="E151" s="80">
        <f t="shared" ref="E151:O151" si="26">E185</f>
        <v>0</v>
      </c>
      <c r="F151" s="80">
        <f t="shared" si="26"/>
        <v>0</v>
      </c>
      <c r="G151" s="80">
        <f t="shared" si="26"/>
        <v>0</v>
      </c>
      <c r="H151" s="80">
        <f t="shared" si="26"/>
        <v>0</v>
      </c>
      <c r="I151" s="80">
        <f t="shared" si="26"/>
        <v>127771665.12</v>
      </c>
      <c r="J151" s="80">
        <f t="shared" si="26"/>
        <v>127771665.12</v>
      </c>
      <c r="K151" s="80">
        <f t="shared" si="26"/>
        <v>0</v>
      </c>
      <c r="L151" s="80">
        <f t="shared" si="26"/>
        <v>0</v>
      </c>
      <c r="M151" s="80">
        <f t="shared" si="26"/>
        <v>0</v>
      </c>
      <c r="N151" s="80">
        <f t="shared" si="26"/>
        <v>127771665.12</v>
      </c>
      <c r="O151" s="80">
        <f t="shared" si="26"/>
        <v>127771665.12</v>
      </c>
    </row>
    <row r="152" spans="1:15" s="52" customFormat="1" x14ac:dyDescent="0.25">
      <c r="A152" s="38" t="s">
        <v>145</v>
      </c>
      <c r="B152" s="41"/>
      <c r="C152" s="2" t="s">
        <v>146</v>
      </c>
      <c r="D152" s="48">
        <f t="shared" ref="D152:O152" si="27">D153</f>
        <v>450000</v>
      </c>
      <c r="E152" s="48">
        <f t="shared" si="27"/>
        <v>450000</v>
      </c>
      <c r="F152" s="48">
        <f t="shared" si="27"/>
        <v>0</v>
      </c>
      <c r="G152" s="48">
        <f t="shared" si="27"/>
        <v>0</v>
      </c>
      <c r="H152" s="48">
        <f t="shared" si="27"/>
        <v>0</v>
      </c>
      <c r="I152" s="48">
        <f t="shared" si="27"/>
        <v>0</v>
      </c>
      <c r="J152" s="48">
        <f t="shared" si="27"/>
        <v>0</v>
      </c>
      <c r="K152" s="48">
        <f t="shared" si="27"/>
        <v>0</v>
      </c>
      <c r="L152" s="48">
        <f t="shared" si="27"/>
        <v>0</v>
      </c>
      <c r="M152" s="48">
        <f t="shared" si="27"/>
        <v>0</v>
      </c>
      <c r="N152" s="48">
        <f t="shared" si="27"/>
        <v>0</v>
      </c>
      <c r="O152" s="48">
        <f t="shared" si="27"/>
        <v>450000</v>
      </c>
    </row>
    <row r="153" spans="1:15" ht="24" customHeight="1" x14ac:dyDescent="0.25">
      <c r="A153" s="37" t="s">
        <v>139</v>
      </c>
      <c r="B153" s="37" t="s">
        <v>85</v>
      </c>
      <c r="C153" s="3" t="s">
        <v>347</v>
      </c>
      <c r="D153" s="49">
        <f>'дод 3'!E273</f>
        <v>450000</v>
      </c>
      <c r="E153" s="49">
        <f>'дод 3'!F273</f>
        <v>450000</v>
      </c>
      <c r="F153" s="49">
        <f>'дод 3'!G273</f>
        <v>0</v>
      </c>
      <c r="G153" s="49">
        <f>'дод 3'!H273</f>
        <v>0</v>
      </c>
      <c r="H153" s="49">
        <f>'дод 3'!I273</f>
        <v>0</v>
      </c>
      <c r="I153" s="49">
        <f>'дод 3'!J273</f>
        <v>0</v>
      </c>
      <c r="J153" s="49">
        <f>'дод 3'!K273</f>
        <v>0</v>
      </c>
      <c r="K153" s="49">
        <f>'дод 3'!L273</f>
        <v>0</v>
      </c>
      <c r="L153" s="49">
        <f>'дод 3'!M273</f>
        <v>0</v>
      </c>
      <c r="M153" s="49">
        <f>'дод 3'!N273</f>
        <v>0</v>
      </c>
      <c r="N153" s="49">
        <f>'дод 3'!O273</f>
        <v>0</v>
      </c>
      <c r="O153" s="49">
        <f>'дод 3'!P273</f>
        <v>450000</v>
      </c>
    </row>
    <row r="154" spans="1:15" s="52" customFormat="1" ht="18.75" customHeight="1" x14ac:dyDescent="0.25">
      <c r="A154" s="38" t="s">
        <v>99</v>
      </c>
      <c r="B154" s="38"/>
      <c r="C154" s="13" t="s">
        <v>472</v>
      </c>
      <c r="D154" s="48">
        <f>D156+D157+D158+D159+D160+D161+D162+D163+D164+D165+D167+D169</f>
        <v>2364686</v>
      </c>
      <c r="E154" s="48">
        <f t="shared" ref="E154:O154" si="28">E156+E157+E158+E159+E160+E161+E162+E163+E164+E165+E167+E169</f>
        <v>2364686</v>
      </c>
      <c r="F154" s="48">
        <f t="shared" si="28"/>
        <v>0</v>
      </c>
      <c r="G154" s="48">
        <f t="shared" si="28"/>
        <v>0</v>
      </c>
      <c r="H154" s="48">
        <f t="shared" si="28"/>
        <v>0</v>
      </c>
      <c r="I154" s="48">
        <f t="shared" si="28"/>
        <v>183615023.57999998</v>
      </c>
      <c r="J154" s="48">
        <f t="shared" si="28"/>
        <v>183615023.57999998</v>
      </c>
      <c r="K154" s="48">
        <f t="shared" si="28"/>
        <v>0</v>
      </c>
      <c r="L154" s="48">
        <f t="shared" si="28"/>
        <v>0</v>
      </c>
      <c r="M154" s="48">
        <f t="shared" si="28"/>
        <v>0</v>
      </c>
      <c r="N154" s="48">
        <f t="shared" si="28"/>
        <v>183615023.57999998</v>
      </c>
      <c r="O154" s="48">
        <f t="shared" si="28"/>
        <v>185979709.57999998</v>
      </c>
    </row>
    <row r="155" spans="1:15" s="53" customFormat="1" ht="47.25" x14ac:dyDescent="0.25">
      <c r="A155" s="75"/>
      <c r="B155" s="75"/>
      <c r="C155" s="79" t="s">
        <v>577</v>
      </c>
      <c r="D155" s="80">
        <f>D168</f>
        <v>0</v>
      </c>
      <c r="E155" s="80">
        <f t="shared" ref="E155:O155" si="29">E168</f>
        <v>0</v>
      </c>
      <c r="F155" s="80">
        <f t="shared" si="29"/>
        <v>0</v>
      </c>
      <c r="G155" s="80">
        <f t="shared" si="29"/>
        <v>0</v>
      </c>
      <c r="H155" s="80">
        <f t="shared" si="29"/>
        <v>0</v>
      </c>
      <c r="I155" s="80">
        <f t="shared" si="29"/>
        <v>7785959</v>
      </c>
      <c r="J155" s="80">
        <f t="shared" si="29"/>
        <v>7785959</v>
      </c>
      <c r="K155" s="80">
        <f t="shared" si="29"/>
        <v>0</v>
      </c>
      <c r="L155" s="80">
        <f t="shared" si="29"/>
        <v>0</v>
      </c>
      <c r="M155" s="80">
        <f t="shared" si="29"/>
        <v>0</v>
      </c>
      <c r="N155" s="80">
        <f t="shared" si="29"/>
        <v>7785959</v>
      </c>
      <c r="O155" s="80">
        <f t="shared" si="29"/>
        <v>7785959</v>
      </c>
    </row>
    <row r="156" spans="1:15" ht="43.5" customHeight="1" x14ac:dyDescent="0.25">
      <c r="A156" s="40" t="s">
        <v>274</v>
      </c>
      <c r="B156" s="40" t="s">
        <v>113</v>
      </c>
      <c r="C156" s="144" t="s">
        <v>573</v>
      </c>
      <c r="D156" s="49">
        <f>'дод 3'!E247+'дод 3'!E219</f>
        <v>0</v>
      </c>
      <c r="E156" s="49">
        <f>'дод 3'!F247+'дод 3'!F219</f>
        <v>0</v>
      </c>
      <c r="F156" s="49">
        <f>'дод 3'!G247+'дод 3'!G219</f>
        <v>0</v>
      </c>
      <c r="G156" s="49">
        <f>'дод 3'!H247+'дод 3'!H219</f>
        <v>0</v>
      </c>
      <c r="H156" s="49">
        <f>'дод 3'!I247+'дод 3'!I219</f>
        <v>0</v>
      </c>
      <c r="I156" s="49">
        <f>'дод 3'!J247+'дод 3'!J219</f>
        <v>20128613</v>
      </c>
      <c r="J156" s="49">
        <f>'дод 3'!K247+'дод 3'!K219</f>
        <v>20128613</v>
      </c>
      <c r="K156" s="49">
        <f>'дод 3'!L247+'дод 3'!L219</f>
        <v>0</v>
      </c>
      <c r="L156" s="49">
        <f>'дод 3'!M247+'дод 3'!M219</f>
        <v>0</v>
      </c>
      <c r="M156" s="49">
        <f>'дод 3'!N247+'дод 3'!N219</f>
        <v>0</v>
      </c>
      <c r="N156" s="49">
        <f>'дод 3'!O247+'дод 3'!O219</f>
        <v>20128613</v>
      </c>
      <c r="O156" s="49">
        <f>'дод 3'!P247+'дод 3'!P219</f>
        <v>20128613</v>
      </c>
    </row>
    <row r="157" spans="1:15" s="54" customFormat="1" ht="21.75" customHeight="1" x14ac:dyDescent="0.25">
      <c r="A157" s="40" t="s">
        <v>279</v>
      </c>
      <c r="B157" s="40" t="s">
        <v>113</v>
      </c>
      <c r="C157" s="144" t="s">
        <v>569</v>
      </c>
      <c r="D157" s="49">
        <f>'дод 3'!E102+'дод 3'!E248</f>
        <v>0</v>
      </c>
      <c r="E157" s="49">
        <f>'дод 3'!F102+'дод 3'!F248</f>
        <v>0</v>
      </c>
      <c r="F157" s="49">
        <f>'дод 3'!G102+'дод 3'!G248</f>
        <v>0</v>
      </c>
      <c r="G157" s="49">
        <f>'дод 3'!H102+'дод 3'!H248</f>
        <v>0</v>
      </c>
      <c r="H157" s="49">
        <f>'дод 3'!I102+'дод 3'!I248</f>
        <v>0</v>
      </c>
      <c r="I157" s="49">
        <f>'дод 3'!J102+'дод 3'!J248</f>
        <v>23298278</v>
      </c>
      <c r="J157" s="49">
        <f>'дод 3'!K102+'дод 3'!K248</f>
        <v>23298278</v>
      </c>
      <c r="K157" s="49">
        <f>'дод 3'!L102+'дод 3'!L248</f>
        <v>0</v>
      </c>
      <c r="L157" s="49">
        <f>'дод 3'!M102+'дод 3'!M248</f>
        <v>0</v>
      </c>
      <c r="M157" s="49">
        <f>'дод 3'!N102+'дод 3'!N248</f>
        <v>0</v>
      </c>
      <c r="N157" s="49">
        <f>'дод 3'!O102+'дод 3'!O248</f>
        <v>23298278</v>
      </c>
      <c r="O157" s="49">
        <f>'дод 3'!P102+'дод 3'!P248</f>
        <v>23298278</v>
      </c>
    </row>
    <row r="158" spans="1:15" s="54" customFormat="1" ht="24" customHeight="1" x14ac:dyDescent="0.25">
      <c r="A158" s="40" t="s">
        <v>281</v>
      </c>
      <c r="B158" s="40" t="s">
        <v>113</v>
      </c>
      <c r="C158" s="144" t="s">
        <v>570</v>
      </c>
      <c r="D158" s="49">
        <f>'дод 3'!E249+'дод 3'!E138</f>
        <v>0</v>
      </c>
      <c r="E158" s="49">
        <f>'дод 3'!F249+'дод 3'!F138</f>
        <v>0</v>
      </c>
      <c r="F158" s="49">
        <f>'дод 3'!G249+'дод 3'!G138</f>
        <v>0</v>
      </c>
      <c r="G158" s="49">
        <f>'дод 3'!H249+'дод 3'!H138</f>
        <v>0</v>
      </c>
      <c r="H158" s="49">
        <f>'дод 3'!I249+'дод 3'!I138</f>
        <v>0</v>
      </c>
      <c r="I158" s="49">
        <f>'дод 3'!J249+'дод 3'!J138</f>
        <v>35333372</v>
      </c>
      <c r="J158" s="49">
        <f>'дод 3'!K249+'дод 3'!K138</f>
        <v>35333372</v>
      </c>
      <c r="K158" s="49">
        <f>'дод 3'!L249+'дод 3'!L138</f>
        <v>0</v>
      </c>
      <c r="L158" s="49">
        <f>'дод 3'!M249+'дод 3'!M138</f>
        <v>0</v>
      </c>
      <c r="M158" s="49">
        <f>'дод 3'!N249+'дод 3'!N138</f>
        <v>0</v>
      </c>
      <c r="N158" s="49">
        <f>'дод 3'!O249+'дод 3'!O138</f>
        <v>35333372</v>
      </c>
      <c r="O158" s="49">
        <f>'дод 3'!P249+'дод 3'!P138</f>
        <v>35333372</v>
      </c>
    </row>
    <row r="159" spans="1:15" s="54" customFormat="1" ht="22.5" customHeight="1" x14ac:dyDescent="0.25">
      <c r="A159" s="40">
        <v>7323</v>
      </c>
      <c r="B159" s="77" t="s">
        <v>113</v>
      </c>
      <c r="C159" s="145" t="s">
        <v>571</v>
      </c>
      <c r="D159" s="49">
        <f>'дод 3'!E181</f>
        <v>0</v>
      </c>
      <c r="E159" s="49">
        <f>'дод 3'!F181</f>
        <v>0</v>
      </c>
      <c r="F159" s="49">
        <f>'дод 3'!G181</f>
        <v>0</v>
      </c>
      <c r="G159" s="49">
        <f>'дод 3'!H181</f>
        <v>0</v>
      </c>
      <c r="H159" s="49">
        <f>'дод 3'!I181</f>
        <v>0</v>
      </c>
      <c r="I159" s="49">
        <f>'дод 3'!J181</f>
        <v>400000</v>
      </c>
      <c r="J159" s="49">
        <f>'дод 3'!K181</f>
        <v>400000</v>
      </c>
      <c r="K159" s="49">
        <f>'дод 3'!L181</f>
        <v>0</v>
      </c>
      <c r="L159" s="49">
        <f>'дод 3'!M181</f>
        <v>0</v>
      </c>
      <c r="M159" s="49">
        <f>'дод 3'!N181</f>
        <v>0</v>
      </c>
      <c r="N159" s="49">
        <f>'дод 3'!O181</f>
        <v>400000</v>
      </c>
      <c r="O159" s="49">
        <f>'дод 3'!P181</f>
        <v>400000</v>
      </c>
    </row>
    <row r="160" spans="1:15" s="54" customFormat="1" ht="19.5" customHeight="1" x14ac:dyDescent="0.25">
      <c r="A160" s="40">
        <v>7324</v>
      </c>
      <c r="B160" s="77" t="s">
        <v>113</v>
      </c>
      <c r="C160" s="144" t="s">
        <v>572</v>
      </c>
      <c r="D160" s="49">
        <f>'дод 3'!E199</f>
        <v>0</v>
      </c>
      <c r="E160" s="49">
        <f>'дод 3'!F199</f>
        <v>0</v>
      </c>
      <c r="F160" s="49">
        <f>'дод 3'!G199</f>
        <v>0</v>
      </c>
      <c r="G160" s="49">
        <f>'дод 3'!H199</f>
        <v>0</v>
      </c>
      <c r="H160" s="49">
        <f>'дод 3'!I199</f>
        <v>0</v>
      </c>
      <c r="I160" s="49">
        <f>'дод 3'!J199</f>
        <v>970000</v>
      </c>
      <c r="J160" s="49">
        <f>'дод 3'!K199</f>
        <v>970000</v>
      </c>
      <c r="K160" s="49">
        <f>'дод 3'!L199</f>
        <v>0</v>
      </c>
      <c r="L160" s="49">
        <f>'дод 3'!M199</f>
        <v>0</v>
      </c>
      <c r="M160" s="49">
        <f>'дод 3'!N199</f>
        <v>0</v>
      </c>
      <c r="N160" s="49">
        <f>'дод 3'!O199</f>
        <v>970000</v>
      </c>
      <c r="O160" s="49">
        <f>'дод 3'!P199</f>
        <v>970000</v>
      </c>
    </row>
    <row r="161" spans="1:15" s="54" customFormat="1" ht="34.5" x14ac:dyDescent="0.25">
      <c r="A161" s="40">
        <v>7325</v>
      </c>
      <c r="B161" s="77" t="s">
        <v>113</v>
      </c>
      <c r="C161" s="144" t="s">
        <v>567</v>
      </c>
      <c r="D161" s="49">
        <f>'дод 3'!E250+'дод 3'!E42</f>
        <v>0</v>
      </c>
      <c r="E161" s="49">
        <f>'дод 3'!F250+'дод 3'!F42</f>
        <v>0</v>
      </c>
      <c r="F161" s="49">
        <f>'дод 3'!G250+'дод 3'!G42</f>
        <v>0</v>
      </c>
      <c r="G161" s="49">
        <f>'дод 3'!H250+'дод 3'!H42</f>
        <v>0</v>
      </c>
      <c r="H161" s="49">
        <f>'дод 3'!I250+'дод 3'!I42</f>
        <v>0</v>
      </c>
      <c r="I161" s="49">
        <f>'дод 3'!J250+'дод 3'!J42</f>
        <v>11589440</v>
      </c>
      <c r="J161" s="49">
        <f>'дод 3'!K250+'дод 3'!K42</f>
        <v>11589440</v>
      </c>
      <c r="K161" s="49">
        <f>'дод 3'!L250+'дод 3'!L42</f>
        <v>0</v>
      </c>
      <c r="L161" s="49">
        <f>'дод 3'!M250+'дод 3'!M42</f>
        <v>0</v>
      </c>
      <c r="M161" s="49">
        <f>'дод 3'!N250+'дод 3'!N42</f>
        <v>0</v>
      </c>
      <c r="N161" s="49">
        <f>'дод 3'!O250+'дод 3'!O42</f>
        <v>11589440</v>
      </c>
      <c r="O161" s="49">
        <f>'дод 3'!P250+'дод 3'!P42</f>
        <v>11589440</v>
      </c>
    </row>
    <row r="162" spans="1:15" ht="21.75" customHeight="1" x14ac:dyDescent="0.25">
      <c r="A162" s="40" t="s">
        <v>276</v>
      </c>
      <c r="B162" s="40" t="s">
        <v>113</v>
      </c>
      <c r="C162" s="144" t="s">
        <v>568</v>
      </c>
      <c r="D162" s="49">
        <f>'дод 3'!E251+'дод 3'!E220+'дод 3'!E43</f>
        <v>0</v>
      </c>
      <c r="E162" s="49">
        <f>'дод 3'!F251+'дод 3'!F220+'дод 3'!F43</f>
        <v>0</v>
      </c>
      <c r="F162" s="49">
        <f>'дод 3'!G251+'дод 3'!G220+'дод 3'!G43</f>
        <v>0</v>
      </c>
      <c r="G162" s="49">
        <f>'дод 3'!H251+'дод 3'!H220+'дод 3'!H43</f>
        <v>0</v>
      </c>
      <c r="H162" s="49">
        <f>'дод 3'!I251+'дод 3'!I220+'дод 3'!I43</f>
        <v>0</v>
      </c>
      <c r="I162" s="49">
        <f>'дод 3'!J251+'дод 3'!J220+'дод 3'!J43</f>
        <v>34597688.579999998</v>
      </c>
      <c r="J162" s="49">
        <f>'дод 3'!K251+'дод 3'!K220+'дод 3'!K43</f>
        <v>34597688.579999998</v>
      </c>
      <c r="K162" s="49">
        <f>'дод 3'!L251+'дод 3'!L220+'дод 3'!L43</f>
        <v>0</v>
      </c>
      <c r="L162" s="49">
        <f>'дод 3'!M251+'дод 3'!M220+'дод 3'!M43</f>
        <v>0</v>
      </c>
      <c r="M162" s="49">
        <f>'дод 3'!N251+'дод 3'!N220+'дод 3'!N43</f>
        <v>0</v>
      </c>
      <c r="N162" s="49">
        <f>'дод 3'!O251+'дод 3'!O220+'дод 3'!O43</f>
        <v>34597688.579999998</v>
      </c>
      <c r="O162" s="49">
        <f>'дод 3'!P251+'дод 3'!P220+'дод 3'!P43</f>
        <v>34597688.579999998</v>
      </c>
    </row>
    <row r="163" spans="1:15" ht="31.5" customHeight="1" x14ac:dyDescent="0.25">
      <c r="A163" s="37" t="s">
        <v>140</v>
      </c>
      <c r="B163" s="37" t="s">
        <v>113</v>
      </c>
      <c r="C163" s="3" t="s">
        <v>1</v>
      </c>
      <c r="D163" s="49">
        <f>'дод 3'!E221+'дод 3'!E252</f>
        <v>0</v>
      </c>
      <c r="E163" s="49">
        <f>'дод 3'!F221+'дод 3'!F252</f>
        <v>0</v>
      </c>
      <c r="F163" s="49">
        <f>'дод 3'!G221+'дод 3'!G252</f>
        <v>0</v>
      </c>
      <c r="G163" s="49">
        <f>'дод 3'!H221+'дод 3'!H252</f>
        <v>0</v>
      </c>
      <c r="H163" s="49">
        <f>'дод 3'!I221+'дод 3'!I252</f>
        <v>0</v>
      </c>
      <c r="I163" s="49">
        <f>'дод 3'!J221+'дод 3'!J252</f>
        <v>4250000</v>
      </c>
      <c r="J163" s="49">
        <f>'дод 3'!K221+'дод 3'!K252</f>
        <v>4250000</v>
      </c>
      <c r="K163" s="49">
        <f>'дод 3'!L221+'дод 3'!L252</f>
        <v>0</v>
      </c>
      <c r="L163" s="49">
        <f>'дод 3'!M221+'дод 3'!M252</f>
        <v>0</v>
      </c>
      <c r="M163" s="49">
        <f>'дод 3'!N221+'дод 3'!N252</f>
        <v>0</v>
      </c>
      <c r="N163" s="49">
        <f>'дод 3'!O221+'дод 3'!O252</f>
        <v>4250000</v>
      </c>
      <c r="O163" s="49">
        <f>'дод 3'!P221+'дод 3'!P252</f>
        <v>4250000</v>
      </c>
    </row>
    <row r="164" spans="1:15" ht="35.25" customHeight="1" x14ac:dyDescent="0.25">
      <c r="A164" s="59" t="s">
        <v>463</v>
      </c>
      <c r="B164" s="59" t="s">
        <v>113</v>
      </c>
      <c r="C164" s="3" t="s">
        <v>464</v>
      </c>
      <c r="D164" s="49">
        <f>'дод 3'!E264</f>
        <v>0</v>
      </c>
      <c r="E164" s="49">
        <f>'дод 3'!F264</f>
        <v>0</v>
      </c>
      <c r="F164" s="49">
        <f>'дод 3'!G264</f>
        <v>0</v>
      </c>
      <c r="G164" s="49">
        <f>'дод 3'!H264</f>
        <v>0</v>
      </c>
      <c r="H164" s="49">
        <f>'дод 3'!I264</f>
        <v>0</v>
      </c>
      <c r="I164" s="49">
        <f>'дод 3'!J264</f>
        <v>0</v>
      </c>
      <c r="J164" s="49">
        <f>'дод 3'!K264</f>
        <v>0</v>
      </c>
      <c r="K164" s="49">
        <f>'дод 3'!L264</f>
        <v>0</v>
      </c>
      <c r="L164" s="49">
        <f>'дод 3'!M264</f>
        <v>0</v>
      </c>
      <c r="M164" s="49">
        <f>'дод 3'!N264</f>
        <v>0</v>
      </c>
      <c r="N164" s="49">
        <f>'дод 3'!O264</f>
        <v>0</v>
      </c>
      <c r="O164" s="49">
        <f>'дод 3'!P264</f>
        <v>0</v>
      </c>
    </row>
    <row r="165" spans="1:15" ht="51.75" customHeight="1" x14ac:dyDescent="0.25">
      <c r="A165" s="37">
        <v>7361</v>
      </c>
      <c r="B165" s="37" t="s">
        <v>84</v>
      </c>
      <c r="C165" s="3" t="s">
        <v>374</v>
      </c>
      <c r="D165" s="49">
        <f>'дод 3'!E222+'дод 3'!E253+'дод 3'!E139</f>
        <v>0</v>
      </c>
      <c r="E165" s="49">
        <f>'дод 3'!F222+'дод 3'!F253+'дод 3'!F139</f>
        <v>0</v>
      </c>
      <c r="F165" s="49">
        <f>'дод 3'!G222+'дод 3'!G253+'дод 3'!G139</f>
        <v>0</v>
      </c>
      <c r="G165" s="49">
        <f>'дод 3'!H222+'дод 3'!H253+'дод 3'!H139</f>
        <v>0</v>
      </c>
      <c r="H165" s="49">
        <f>'дод 3'!I222+'дод 3'!I253+'дод 3'!I139</f>
        <v>0</v>
      </c>
      <c r="I165" s="49">
        <f>'дод 3'!J222+'дод 3'!J253+'дод 3'!J139</f>
        <v>42461673</v>
      </c>
      <c r="J165" s="49">
        <f>'дод 3'!K222+'дод 3'!K253+'дод 3'!K139</f>
        <v>42461673</v>
      </c>
      <c r="K165" s="49">
        <f>'дод 3'!L222+'дод 3'!L253+'дод 3'!L139</f>
        <v>0</v>
      </c>
      <c r="L165" s="49">
        <f>'дод 3'!M222+'дод 3'!M253+'дод 3'!M139</f>
        <v>0</v>
      </c>
      <c r="M165" s="49">
        <f>'дод 3'!N222+'дод 3'!N253+'дод 3'!N139</f>
        <v>0</v>
      </c>
      <c r="N165" s="49">
        <f>'дод 3'!O222+'дод 3'!O253+'дод 3'!O139</f>
        <v>42461673</v>
      </c>
      <c r="O165" s="49">
        <f>'дод 3'!P222+'дод 3'!P253+'дод 3'!P139</f>
        <v>42461673</v>
      </c>
    </row>
    <row r="166" spans="1:15" s="54" customFormat="1" ht="46.5" hidden="1" customHeight="1" x14ac:dyDescent="0.25">
      <c r="A166" s="37">
        <v>7362</v>
      </c>
      <c r="B166" s="37" t="s">
        <v>84</v>
      </c>
      <c r="C166" s="3" t="s">
        <v>366</v>
      </c>
      <c r="D166" s="49">
        <f>'дод 3'!E223</f>
        <v>0</v>
      </c>
      <c r="E166" s="49">
        <f>'дод 3'!F223</f>
        <v>0</v>
      </c>
      <c r="F166" s="49">
        <f>'дод 3'!G223</f>
        <v>0</v>
      </c>
      <c r="G166" s="49">
        <f>'дод 3'!H223</f>
        <v>0</v>
      </c>
      <c r="H166" s="49">
        <f>'дод 3'!I223</f>
        <v>0</v>
      </c>
      <c r="I166" s="49">
        <f>'дод 3'!J223</f>
        <v>0</v>
      </c>
      <c r="J166" s="49">
        <f>'дод 3'!K223</f>
        <v>0</v>
      </c>
      <c r="K166" s="49">
        <f>'дод 3'!L223</f>
        <v>0</v>
      </c>
      <c r="L166" s="49">
        <f>'дод 3'!M223</f>
        <v>0</v>
      </c>
      <c r="M166" s="49">
        <f>'дод 3'!N223</f>
        <v>0</v>
      </c>
      <c r="N166" s="49">
        <f>'дод 3'!O223</f>
        <v>0</v>
      </c>
      <c r="O166" s="49">
        <f>'дод 3'!P223</f>
        <v>0</v>
      </c>
    </row>
    <row r="167" spans="1:15" s="54" customFormat="1" ht="47.25" x14ac:dyDescent="0.25">
      <c r="A167" s="37">
        <v>7363</v>
      </c>
      <c r="B167" s="60" t="s">
        <v>84</v>
      </c>
      <c r="C167" s="61" t="s">
        <v>400</v>
      </c>
      <c r="D167" s="49">
        <f>'дод 3'!E224+'дод 3'!E103+'дод 3'!E140</f>
        <v>0</v>
      </c>
      <c r="E167" s="49">
        <f>'дод 3'!F224+'дод 3'!F103+'дод 3'!F140</f>
        <v>0</v>
      </c>
      <c r="F167" s="49">
        <f>'дод 3'!G224+'дод 3'!G103+'дод 3'!G140</f>
        <v>0</v>
      </c>
      <c r="G167" s="49">
        <f>'дод 3'!H224+'дод 3'!H103+'дод 3'!H140</f>
        <v>0</v>
      </c>
      <c r="H167" s="49">
        <f>'дод 3'!I224+'дод 3'!I103+'дод 3'!I140</f>
        <v>0</v>
      </c>
      <c r="I167" s="49">
        <f>'дод 3'!J224+'дод 3'!J103+'дод 3'!J140</f>
        <v>10585959</v>
      </c>
      <c r="J167" s="49">
        <f>'дод 3'!K224+'дод 3'!K103+'дод 3'!K140</f>
        <v>10585959</v>
      </c>
      <c r="K167" s="49">
        <f>'дод 3'!L224+'дод 3'!L103+'дод 3'!L140</f>
        <v>0</v>
      </c>
      <c r="L167" s="49">
        <f>'дод 3'!M224+'дод 3'!M103+'дод 3'!M140</f>
        <v>0</v>
      </c>
      <c r="M167" s="49">
        <f>'дод 3'!N224+'дод 3'!N103+'дод 3'!N140</f>
        <v>0</v>
      </c>
      <c r="N167" s="49">
        <f>'дод 3'!O224+'дод 3'!O103+'дод 3'!O140</f>
        <v>10585959</v>
      </c>
      <c r="O167" s="49">
        <f>'дод 3'!P224+'дод 3'!P103+'дод 3'!P140</f>
        <v>10585959</v>
      </c>
    </row>
    <row r="168" spans="1:15" s="54" customFormat="1" ht="47.25" x14ac:dyDescent="0.25">
      <c r="A168" s="82"/>
      <c r="B168" s="88"/>
      <c r="C168" s="83" t="s">
        <v>577</v>
      </c>
      <c r="D168" s="84">
        <f>'дод 3'!E104+'дод 3'!E141+'дод 3'!E225</f>
        <v>0</v>
      </c>
      <c r="E168" s="84">
        <f>'дод 3'!F104+'дод 3'!F141+'дод 3'!F225</f>
        <v>0</v>
      </c>
      <c r="F168" s="84">
        <f>'дод 3'!G104+'дод 3'!G141+'дод 3'!G225</f>
        <v>0</v>
      </c>
      <c r="G168" s="84">
        <f>'дод 3'!H104+'дод 3'!H141+'дод 3'!H225</f>
        <v>0</v>
      </c>
      <c r="H168" s="84">
        <f>'дод 3'!I104+'дод 3'!I141+'дод 3'!I225</f>
        <v>0</v>
      </c>
      <c r="I168" s="84">
        <f>'дод 3'!J104+'дод 3'!J141+'дод 3'!J225</f>
        <v>7785959</v>
      </c>
      <c r="J168" s="84">
        <f>'дод 3'!K104+'дод 3'!K141+'дод 3'!K225</f>
        <v>7785959</v>
      </c>
      <c r="K168" s="84">
        <f>'дод 3'!L104+'дод 3'!L141+'дод 3'!L225</f>
        <v>0</v>
      </c>
      <c r="L168" s="84">
        <f>'дод 3'!M104+'дод 3'!M141+'дод 3'!M225</f>
        <v>0</v>
      </c>
      <c r="M168" s="84">
        <f>'дод 3'!N104+'дод 3'!N141+'дод 3'!N225</f>
        <v>0</v>
      </c>
      <c r="N168" s="84">
        <f>'дод 3'!O104+'дод 3'!O141+'дод 3'!O225</f>
        <v>7785959</v>
      </c>
      <c r="O168" s="84">
        <f>'дод 3'!P104+'дод 3'!P141+'дод 3'!P225</f>
        <v>7785959</v>
      </c>
    </row>
    <row r="169" spans="1:15" s="54" customFormat="1" ht="31.5" x14ac:dyDescent="0.25">
      <c r="A169" s="37">
        <v>7370</v>
      </c>
      <c r="B169" s="60" t="s">
        <v>84</v>
      </c>
      <c r="C169" s="61" t="s">
        <v>434</v>
      </c>
      <c r="D169" s="49">
        <f>'дод 3'!E255+'дод 3'!E265</f>
        <v>2364686</v>
      </c>
      <c r="E169" s="49">
        <f>'дод 3'!F255+'дод 3'!F265</f>
        <v>2364686</v>
      </c>
      <c r="F169" s="49">
        <f>'дод 3'!G255+'дод 3'!G265</f>
        <v>0</v>
      </c>
      <c r="G169" s="49">
        <f>'дод 3'!H255+'дод 3'!H265</f>
        <v>0</v>
      </c>
      <c r="H169" s="49">
        <f>'дод 3'!I255+'дод 3'!I265</f>
        <v>0</v>
      </c>
      <c r="I169" s="49">
        <f>'дод 3'!J255+'дод 3'!J265</f>
        <v>0</v>
      </c>
      <c r="J169" s="49">
        <f>'дод 3'!K255+'дод 3'!K265</f>
        <v>0</v>
      </c>
      <c r="K169" s="49">
        <f>'дод 3'!L255+'дод 3'!L265</f>
        <v>0</v>
      </c>
      <c r="L169" s="49">
        <f>'дод 3'!M255+'дод 3'!M265</f>
        <v>0</v>
      </c>
      <c r="M169" s="49">
        <f>'дод 3'!N255+'дод 3'!N265</f>
        <v>0</v>
      </c>
      <c r="N169" s="49">
        <f>'дод 3'!O255+'дод 3'!O265</f>
        <v>0</v>
      </c>
      <c r="O169" s="49">
        <f>'дод 3'!P255+'дод 3'!P265</f>
        <v>2364686</v>
      </c>
    </row>
    <row r="170" spans="1:15" s="52" customFormat="1" ht="34.5" customHeight="1" x14ac:dyDescent="0.25">
      <c r="A170" s="38" t="s">
        <v>87</v>
      </c>
      <c r="B170" s="41"/>
      <c r="C170" s="2" t="s">
        <v>473</v>
      </c>
      <c r="D170" s="48">
        <f>D173+D174+D175+D179+D180</f>
        <v>53412322</v>
      </c>
      <c r="E170" s="48">
        <f t="shared" ref="E170:O170" si="30">E173+E174+E175+E179+E180</f>
        <v>4252826</v>
      </c>
      <c r="F170" s="48">
        <f t="shared" si="30"/>
        <v>0</v>
      </c>
      <c r="G170" s="48">
        <f t="shared" si="30"/>
        <v>0</v>
      </c>
      <c r="H170" s="48">
        <f t="shared" si="30"/>
        <v>49159496</v>
      </c>
      <c r="I170" s="48">
        <f t="shared" si="30"/>
        <v>0</v>
      </c>
      <c r="J170" s="48">
        <f t="shared" si="30"/>
        <v>0</v>
      </c>
      <c r="K170" s="48">
        <f t="shared" si="30"/>
        <v>0</v>
      </c>
      <c r="L170" s="48">
        <f t="shared" si="30"/>
        <v>0</v>
      </c>
      <c r="M170" s="48">
        <f t="shared" si="30"/>
        <v>0</v>
      </c>
      <c r="N170" s="48">
        <f t="shared" si="30"/>
        <v>0</v>
      </c>
      <c r="O170" s="48">
        <f t="shared" si="30"/>
        <v>53412322</v>
      </c>
    </row>
    <row r="171" spans="1:15" s="53" customFormat="1" ht="94.5" hidden="1" customHeight="1" x14ac:dyDescent="0.25">
      <c r="A171" s="75"/>
      <c r="B171" s="76"/>
      <c r="C171" s="79" t="s">
        <v>399</v>
      </c>
      <c r="D171" s="80">
        <f>D177</f>
        <v>0</v>
      </c>
      <c r="E171" s="80">
        <f t="shared" ref="E171:O171" si="31">E177</f>
        <v>0</v>
      </c>
      <c r="F171" s="80">
        <f t="shared" si="31"/>
        <v>0</v>
      </c>
      <c r="G171" s="80">
        <f t="shared" si="31"/>
        <v>0</v>
      </c>
      <c r="H171" s="80">
        <f t="shared" si="31"/>
        <v>0</v>
      </c>
      <c r="I171" s="80">
        <f t="shared" si="31"/>
        <v>0</v>
      </c>
      <c r="J171" s="80">
        <f t="shared" si="31"/>
        <v>0</v>
      </c>
      <c r="K171" s="80">
        <f t="shared" si="31"/>
        <v>0</v>
      </c>
      <c r="L171" s="80">
        <f t="shared" si="31"/>
        <v>0</v>
      </c>
      <c r="M171" s="80">
        <f t="shared" si="31"/>
        <v>0</v>
      </c>
      <c r="N171" s="80">
        <f t="shared" si="31"/>
        <v>0</v>
      </c>
      <c r="O171" s="80">
        <f t="shared" si="31"/>
        <v>0</v>
      </c>
    </row>
    <row r="172" spans="1:15" s="53" customFormat="1" ht="63" x14ac:dyDescent="0.25">
      <c r="A172" s="75"/>
      <c r="B172" s="76"/>
      <c r="C172" s="79" t="s">
        <v>450</v>
      </c>
      <c r="D172" s="80">
        <f>D181</f>
        <v>1527346</v>
      </c>
      <c r="E172" s="80">
        <f t="shared" ref="E172:O172" si="32">E181</f>
        <v>1527346</v>
      </c>
      <c r="F172" s="80">
        <f t="shared" si="32"/>
        <v>0</v>
      </c>
      <c r="G172" s="80">
        <f t="shared" si="32"/>
        <v>0</v>
      </c>
      <c r="H172" s="80">
        <f t="shared" si="32"/>
        <v>0</v>
      </c>
      <c r="I172" s="80">
        <f t="shared" si="32"/>
        <v>0</v>
      </c>
      <c r="J172" s="80">
        <f t="shared" si="32"/>
        <v>0</v>
      </c>
      <c r="K172" s="80">
        <f t="shared" si="32"/>
        <v>0</v>
      </c>
      <c r="L172" s="80">
        <f t="shared" si="32"/>
        <v>0</v>
      </c>
      <c r="M172" s="80">
        <f t="shared" si="32"/>
        <v>0</v>
      </c>
      <c r="N172" s="80">
        <f t="shared" si="32"/>
        <v>0</v>
      </c>
      <c r="O172" s="80">
        <f t="shared" si="32"/>
        <v>1527346</v>
      </c>
    </row>
    <row r="173" spans="1:15" s="54" customFormat="1" ht="18.75" customHeight="1" x14ac:dyDescent="0.25">
      <c r="A173" s="37" t="s">
        <v>3</v>
      </c>
      <c r="B173" s="37" t="s">
        <v>86</v>
      </c>
      <c r="C173" s="3" t="s">
        <v>37</v>
      </c>
      <c r="D173" s="49">
        <f>'дод 3'!E44</f>
        <v>7417200</v>
      </c>
      <c r="E173" s="49">
        <f>'дод 3'!F44</f>
        <v>0</v>
      </c>
      <c r="F173" s="49">
        <f>'дод 3'!G44</f>
        <v>0</v>
      </c>
      <c r="G173" s="49">
        <f>'дод 3'!H44</f>
        <v>0</v>
      </c>
      <c r="H173" s="49">
        <f>'дод 3'!I44</f>
        <v>7417200</v>
      </c>
      <c r="I173" s="49">
        <f>'дод 3'!J44</f>
        <v>0</v>
      </c>
      <c r="J173" s="49">
        <f>'дод 3'!K44</f>
        <v>0</v>
      </c>
      <c r="K173" s="49">
        <f>'дод 3'!L44</f>
        <v>0</v>
      </c>
      <c r="L173" s="49">
        <f>'дод 3'!M44</f>
        <v>0</v>
      </c>
      <c r="M173" s="49">
        <f>'дод 3'!N44</f>
        <v>0</v>
      </c>
      <c r="N173" s="49">
        <f>'дод 3'!O44</f>
        <v>0</v>
      </c>
      <c r="O173" s="49">
        <f>'дод 3'!P44</f>
        <v>7417200</v>
      </c>
    </row>
    <row r="174" spans="1:15" s="54" customFormat="1" ht="20.25" customHeight="1" x14ac:dyDescent="0.25">
      <c r="A174" s="37">
        <v>7413</v>
      </c>
      <c r="B174" s="37" t="s">
        <v>86</v>
      </c>
      <c r="C174" s="3" t="s">
        <v>377</v>
      </c>
      <c r="D174" s="49">
        <f>'дод 3'!E45</f>
        <v>11000000</v>
      </c>
      <c r="E174" s="49">
        <f>'дод 3'!F45</f>
        <v>0</v>
      </c>
      <c r="F174" s="49">
        <f>'дод 3'!G45</f>
        <v>0</v>
      </c>
      <c r="G174" s="49">
        <f>'дод 3'!H45</f>
        <v>0</v>
      </c>
      <c r="H174" s="49">
        <f>'дод 3'!I45</f>
        <v>11000000</v>
      </c>
      <c r="I174" s="49">
        <f>'дод 3'!J45</f>
        <v>0</v>
      </c>
      <c r="J174" s="49">
        <f>'дод 3'!K45</f>
        <v>0</v>
      </c>
      <c r="K174" s="49">
        <f>'дод 3'!L45</f>
        <v>0</v>
      </c>
      <c r="L174" s="49">
        <f>'дод 3'!M45</f>
        <v>0</v>
      </c>
      <c r="M174" s="49">
        <f>'дод 3'!N45</f>
        <v>0</v>
      </c>
      <c r="N174" s="49">
        <f>'дод 3'!O45</f>
        <v>0</v>
      </c>
      <c r="O174" s="49">
        <f>'дод 3'!P45</f>
        <v>11000000</v>
      </c>
    </row>
    <row r="175" spans="1:15" s="54" customFormat="1" ht="24" customHeight="1" x14ac:dyDescent="0.25">
      <c r="A175" s="37">
        <v>7426</v>
      </c>
      <c r="B175" s="59" t="s">
        <v>415</v>
      </c>
      <c r="C175" s="3" t="s">
        <v>378</v>
      </c>
      <c r="D175" s="49">
        <f>'дод 3'!E46</f>
        <v>30742296</v>
      </c>
      <c r="E175" s="49">
        <f>'дод 3'!F46</f>
        <v>0</v>
      </c>
      <c r="F175" s="49">
        <f>'дод 3'!G46</f>
        <v>0</v>
      </c>
      <c r="G175" s="49">
        <f>'дод 3'!H46</f>
        <v>0</v>
      </c>
      <c r="H175" s="49">
        <f>'дод 3'!I46</f>
        <v>30742296</v>
      </c>
      <c r="I175" s="49">
        <f>'дод 3'!J46</f>
        <v>0</v>
      </c>
      <c r="J175" s="49">
        <f>'дод 3'!K46</f>
        <v>0</v>
      </c>
      <c r="K175" s="49">
        <f>'дод 3'!L46</f>
        <v>0</v>
      </c>
      <c r="L175" s="49">
        <f>'дод 3'!M46</f>
        <v>0</v>
      </c>
      <c r="M175" s="49">
        <f>'дод 3'!N46</f>
        <v>0</v>
      </c>
      <c r="N175" s="49">
        <f>'дод 3'!O46</f>
        <v>0</v>
      </c>
      <c r="O175" s="49">
        <f>'дод 3'!P46</f>
        <v>30742296</v>
      </c>
    </row>
    <row r="176" spans="1:15" s="54" customFormat="1" ht="53.25" hidden="1" customHeight="1" x14ac:dyDescent="0.25">
      <c r="A176" s="37">
        <v>7462</v>
      </c>
      <c r="B176" s="59" t="s">
        <v>402</v>
      </c>
      <c r="C176" s="3" t="s">
        <v>401</v>
      </c>
      <c r="D176" s="49">
        <f>'дод 3'!E226</f>
        <v>1527346</v>
      </c>
      <c r="E176" s="49">
        <f>'дод 3'!F226</f>
        <v>1527346</v>
      </c>
      <c r="F176" s="49">
        <f>'дод 3'!G226</f>
        <v>0</v>
      </c>
      <c r="G176" s="49">
        <f>'дод 3'!H226</f>
        <v>0</v>
      </c>
      <c r="H176" s="49">
        <f>'дод 3'!I226</f>
        <v>0</v>
      </c>
      <c r="I176" s="49">
        <f>'дод 3'!J226</f>
        <v>0</v>
      </c>
      <c r="J176" s="49">
        <f>'дод 3'!K226</f>
        <v>0</v>
      </c>
      <c r="K176" s="49">
        <f>'дод 3'!L226</f>
        <v>0</v>
      </c>
      <c r="L176" s="49">
        <f>'дод 3'!M226</f>
        <v>0</v>
      </c>
      <c r="M176" s="49">
        <f>'дод 3'!N226</f>
        <v>0</v>
      </c>
      <c r="N176" s="49">
        <f>'дод 3'!O226</f>
        <v>0</v>
      </c>
      <c r="O176" s="49">
        <f>'дод 3'!P226</f>
        <v>1527346</v>
      </c>
    </row>
    <row r="177" spans="1:15" s="54" customFormat="1" ht="94.5" hidden="1" customHeight="1" x14ac:dyDescent="0.25">
      <c r="A177" s="82"/>
      <c r="B177" s="82"/>
      <c r="C177" s="83" t="s">
        <v>399</v>
      </c>
      <c r="D177" s="84">
        <f>'дод 3'!E227</f>
        <v>0</v>
      </c>
      <c r="E177" s="84">
        <f>'дод 3'!F227</f>
        <v>0</v>
      </c>
      <c r="F177" s="84">
        <f>'дод 3'!G227</f>
        <v>0</v>
      </c>
      <c r="G177" s="84">
        <f>'дод 3'!H227</f>
        <v>0</v>
      </c>
      <c r="H177" s="84">
        <f>'дод 3'!I227</f>
        <v>0</v>
      </c>
      <c r="I177" s="84">
        <f>'дод 3'!J227</f>
        <v>0</v>
      </c>
      <c r="J177" s="84">
        <f>'дод 3'!K227</f>
        <v>0</v>
      </c>
      <c r="K177" s="84">
        <f>'дод 3'!L227</f>
        <v>0</v>
      </c>
      <c r="L177" s="84">
        <f>'дод 3'!M227</f>
        <v>0</v>
      </c>
      <c r="M177" s="84">
        <f>'дод 3'!N227</f>
        <v>0</v>
      </c>
      <c r="N177" s="84">
        <f>'дод 3'!O227</f>
        <v>0</v>
      </c>
      <c r="O177" s="84">
        <f>'дод 3'!P227</f>
        <v>0</v>
      </c>
    </row>
    <row r="178" spans="1:15" s="54" customFormat="1" ht="63" hidden="1" customHeight="1" x14ac:dyDescent="0.25">
      <c r="A178" s="82"/>
      <c r="B178" s="82"/>
      <c r="C178" s="83" t="s">
        <v>450</v>
      </c>
      <c r="D178" s="84">
        <f>'дод 3'!E228</f>
        <v>1527346</v>
      </c>
      <c r="E178" s="84">
        <f>'дод 3'!F228</f>
        <v>1527346</v>
      </c>
      <c r="F178" s="84">
        <f>'дод 3'!G228</f>
        <v>0</v>
      </c>
      <c r="G178" s="84">
        <f>'дод 3'!H228</f>
        <v>0</v>
      </c>
      <c r="H178" s="84">
        <f>'дод 3'!I228</f>
        <v>0</v>
      </c>
      <c r="I178" s="84">
        <f>'дод 3'!J228</f>
        <v>0</v>
      </c>
      <c r="J178" s="84">
        <f>'дод 3'!K228</f>
        <v>0</v>
      </c>
      <c r="K178" s="84">
        <f>'дод 3'!L228</f>
        <v>0</v>
      </c>
      <c r="L178" s="84">
        <f>'дод 3'!M228</f>
        <v>0</v>
      </c>
      <c r="M178" s="84">
        <f>'дод 3'!N228</f>
        <v>0</v>
      </c>
      <c r="N178" s="84">
        <f>'дод 3'!O228</f>
        <v>0</v>
      </c>
      <c r="O178" s="84">
        <f>'дод 3'!P228</f>
        <v>1527346</v>
      </c>
    </row>
    <row r="179" spans="1:15" s="54" customFormat="1" ht="18" customHeight="1" x14ac:dyDescent="0.25">
      <c r="A179" s="59" t="s">
        <v>459</v>
      </c>
      <c r="B179" s="59" t="s">
        <v>402</v>
      </c>
      <c r="C179" s="3" t="s">
        <v>465</v>
      </c>
      <c r="D179" s="49">
        <f>'дод 3'!E47</f>
        <v>2725480</v>
      </c>
      <c r="E179" s="49">
        <f>'дод 3'!F47</f>
        <v>2725480</v>
      </c>
      <c r="F179" s="49">
        <f>'дод 3'!G47</f>
        <v>0</v>
      </c>
      <c r="G179" s="49">
        <f>'дод 3'!H47</f>
        <v>0</v>
      </c>
      <c r="H179" s="49">
        <f>'дод 3'!I47</f>
        <v>0</v>
      </c>
      <c r="I179" s="49">
        <f>'дод 3'!J47</f>
        <v>0</v>
      </c>
      <c r="J179" s="49">
        <f>'дод 3'!K47</f>
        <v>0</v>
      </c>
      <c r="K179" s="49">
        <f>'дод 3'!L47</f>
        <v>0</v>
      </c>
      <c r="L179" s="49">
        <f>'дод 3'!M47</f>
        <v>0</v>
      </c>
      <c r="M179" s="49">
        <f>'дод 3'!N47</f>
        <v>0</v>
      </c>
      <c r="N179" s="49">
        <f>'дод 3'!O47</f>
        <v>0</v>
      </c>
      <c r="O179" s="49">
        <f>'дод 3'!P47</f>
        <v>2725480</v>
      </c>
    </row>
    <row r="180" spans="1:15" s="54" customFormat="1" ht="54.75" customHeight="1" x14ac:dyDescent="0.25">
      <c r="A180" s="59" t="s">
        <v>563</v>
      </c>
      <c r="B180" s="59" t="s">
        <v>402</v>
      </c>
      <c r="C180" s="122" t="s">
        <v>401</v>
      </c>
      <c r="D180" s="49">
        <f>'дод 3'!E226</f>
        <v>1527346</v>
      </c>
      <c r="E180" s="49">
        <f>'дод 3'!F226</f>
        <v>1527346</v>
      </c>
      <c r="F180" s="49">
        <f>'дод 3'!G226</f>
        <v>0</v>
      </c>
      <c r="G180" s="49">
        <f>'дод 3'!H226</f>
        <v>0</v>
      </c>
      <c r="H180" s="49">
        <f>'дод 3'!I226</f>
        <v>0</v>
      </c>
      <c r="I180" s="49">
        <f>'дод 3'!J226</f>
        <v>0</v>
      </c>
      <c r="J180" s="49">
        <f>'дод 3'!K226</f>
        <v>0</v>
      </c>
      <c r="K180" s="49">
        <f>'дод 3'!L226</f>
        <v>0</v>
      </c>
      <c r="L180" s="49">
        <f>'дод 3'!M226</f>
        <v>0</v>
      </c>
      <c r="M180" s="49">
        <f>'дод 3'!N226</f>
        <v>0</v>
      </c>
      <c r="N180" s="49">
        <f>'дод 3'!O226</f>
        <v>0</v>
      </c>
      <c r="O180" s="49">
        <f>'дод 3'!P226</f>
        <v>1527346</v>
      </c>
    </row>
    <row r="181" spans="1:15" s="54" customFormat="1" ht="67.5" customHeight="1" x14ac:dyDescent="0.25">
      <c r="A181" s="93"/>
      <c r="B181" s="93"/>
      <c r="C181" s="91" t="s">
        <v>561</v>
      </c>
      <c r="D181" s="84">
        <f>'дод 3'!E228</f>
        <v>1527346</v>
      </c>
      <c r="E181" s="84">
        <f>'дод 3'!F228</f>
        <v>1527346</v>
      </c>
      <c r="F181" s="84">
        <f>'дод 3'!G228</f>
        <v>0</v>
      </c>
      <c r="G181" s="84">
        <f>'дод 3'!H228</f>
        <v>0</v>
      </c>
      <c r="H181" s="84">
        <f>'дод 3'!I228</f>
        <v>0</v>
      </c>
      <c r="I181" s="84">
        <f>'дод 3'!J228</f>
        <v>0</v>
      </c>
      <c r="J181" s="84">
        <f>'дод 3'!K228</f>
        <v>0</v>
      </c>
      <c r="K181" s="84">
        <f>'дод 3'!L228</f>
        <v>0</v>
      </c>
      <c r="L181" s="84">
        <f>'дод 3'!M228</f>
        <v>0</v>
      </c>
      <c r="M181" s="84">
        <f>'дод 3'!N228</f>
        <v>0</v>
      </c>
      <c r="N181" s="84">
        <f>'дод 3'!O228</f>
        <v>0</v>
      </c>
      <c r="O181" s="84">
        <f>'дод 3'!P228</f>
        <v>1527346</v>
      </c>
    </row>
    <row r="182" spans="1:15" s="52" customFormat="1" ht="18.75" customHeight="1" x14ac:dyDescent="0.25">
      <c r="A182" s="39" t="s">
        <v>239</v>
      </c>
      <c r="B182" s="41"/>
      <c r="C182" s="2" t="s">
        <v>240</v>
      </c>
      <c r="D182" s="48">
        <f>D183</f>
        <v>7250000</v>
      </c>
      <c r="E182" s="48">
        <f t="shared" ref="E182:O182" si="33">E183</f>
        <v>7250000</v>
      </c>
      <c r="F182" s="48">
        <f t="shared" si="33"/>
        <v>0</v>
      </c>
      <c r="G182" s="48">
        <f t="shared" si="33"/>
        <v>0</v>
      </c>
      <c r="H182" s="48">
        <f t="shared" si="33"/>
        <v>0</v>
      </c>
      <c r="I182" s="48">
        <f t="shared" si="33"/>
        <v>3150000</v>
      </c>
      <c r="J182" s="48">
        <f t="shared" si="33"/>
        <v>3150000</v>
      </c>
      <c r="K182" s="48">
        <f t="shared" si="33"/>
        <v>0</v>
      </c>
      <c r="L182" s="48">
        <f t="shared" si="33"/>
        <v>0</v>
      </c>
      <c r="M182" s="48">
        <f t="shared" si="33"/>
        <v>0</v>
      </c>
      <c r="N182" s="48">
        <f t="shared" si="33"/>
        <v>3150000</v>
      </c>
      <c r="O182" s="48">
        <f t="shared" si="33"/>
        <v>10400000</v>
      </c>
    </row>
    <row r="183" spans="1:15" ht="37.5" customHeight="1" x14ac:dyDescent="0.25">
      <c r="A183" s="40" t="s">
        <v>237</v>
      </c>
      <c r="B183" s="40" t="s">
        <v>238</v>
      </c>
      <c r="C183" s="11" t="s">
        <v>236</v>
      </c>
      <c r="D183" s="49">
        <f>'дод 3'!E48+'дод 3'!E229</f>
        <v>7250000</v>
      </c>
      <c r="E183" s="49">
        <f>'дод 3'!F48+'дод 3'!F229</f>
        <v>7250000</v>
      </c>
      <c r="F183" s="49">
        <f>'дод 3'!G48+'дод 3'!G229</f>
        <v>0</v>
      </c>
      <c r="G183" s="49">
        <f>'дод 3'!H48+'дод 3'!H229</f>
        <v>0</v>
      </c>
      <c r="H183" s="49">
        <f>'дод 3'!I48+'дод 3'!I229</f>
        <v>0</v>
      </c>
      <c r="I183" s="49">
        <f>'дод 3'!J48+'дод 3'!J229</f>
        <v>3150000</v>
      </c>
      <c r="J183" s="49">
        <f>'дод 3'!K48+'дод 3'!K229</f>
        <v>3150000</v>
      </c>
      <c r="K183" s="49">
        <f>'дод 3'!L48+'дод 3'!L229</f>
        <v>0</v>
      </c>
      <c r="L183" s="49">
        <f>'дод 3'!M48+'дод 3'!M229</f>
        <v>0</v>
      </c>
      <c r="M183" s="49">
        <f>'дод 3'!N48+'дод 3'!N229</f>
        <v>0</v>
      </c>
      <c r="N183" s="49">
        <f>'дод 3'!O48+'дод 3'!O229</f>
        <v>3150000</v>
      </c>
      <c r="O183" s="49">
        <f>'дод 3'!P48+'дод 3'!P229</f>
        <v>10400000</v>
      </c>
    </row>
    <row r="184" spans="1:15" s="52" customFormat="1" ht="31.5" customHeight="1" x14ac:dyDescent="0.25">
      <c r="A184" s="38" t="s">
        <v>90</v>
      </c>
      <c r="B184" s="41"/>
      <c r="C184" s="2" t="s">
        <v>423</v>
      </c>
      <c r="D184" s="48">
        <f>D186+D187+D189+D190+D191+D193+D194+D195</f>
        <v>9293776</v>
      </c>
      <c r="E184" s="48">
        <f t="shared" ref="E184:O184" si="34">E186+E187+E189+E190+E191+E193+E194+E195</f>
        <v>6793776</v>
      </c>
      <c r="F184" s="48">
        <f t="shared" si="34"/>
        <v>0</v>
      </c>
      <c r="G184" s="48">
        <f t="shared" si="34"/>
        <v>0</v>
      </c>
      <c r="H184" s="48">
        <f t="shared" si="34"/>
        <v>2500000</v>
      </c>
      <c r="I184" s="48">
        <f t="shared" si="34"/>
        <v>229954923.99000001</v>
      </c>
      <c r="J184" s="48">
        <f t="shared" si="34"/>
        <v>213624952.12</v>
      </c>
      <c r="K184" s="48">
        <f t="shared" si="34"/>
        <v>2948437.8699999996</v>
      </c>
      <c r="L184" s="48">
        <f t="shared" si="34"/>
        <v>0</v>
      </c>
      <c r="M184" s="48">
        <f t="shared" si="34"/>
        <v>0</v>
      </c>
      <c r="N184" s="48">
        <f t="shared" si="34"/>
        <v>227006486.12</v>
      </c>
      <c r="O184" s="48">
        <f t="shared" si="34"/>
        <v>239248699.99000001</v>
      </c>
    </row>
    <row r="185" spans="1:15" s="53" customFormat="1" ht="16.5" customHeight="1" x14ac:dyDescent="0.25">
      <c r="A185" s="75"/>
      <c r="B185" s="75"/>
      <c r="C185" s="87" t="s">
        <v>421</v>
      </c>
      <c r="D185" s="80">
        <f>D188+D192</f>
        <v>0</v>
      </c>
      <c r="E185" s="80">
        <f t="shared" ref="E185:O185" si="35">E188+E192</f>
        <v>0</v>
      </c>
      <c r="F185" s="80">
        <f t="shared" si="35"/>
        <v>0</v>
      </c>
      <c r="G185" s="80">
        <f t="shared" si="35"/>
        <v>0</v>
      </c>
      <c r="H185" s="80">
        <f t="shared" si="35"/>
        <v>0</v>
      </c>
      <c r="I185" s="80">
        <f t="shared" si="35"/>
        <v>127771665.12</v>
      </c>
      <c r="J185" s="80">
        <f t="shared" si="35"/>
        <v>127771665.12</v>
      </c>
      <c r="K185" s="80">
        <f t="shared" si="35"/>
        <v>0</v>
      </c>
      <c r="L185" s="80">
        <f t="shared" si="35"/>
        <v>0</v>
      </c>
      <c r="M185" s="80">
        <f t="shared" si="35"/>
        <v>0</v>
      </c>
      <c r="N185" s="80">
        <f t="shared" si="35"/>
        <v>127771665.12</v>
      </c>
      <c r="O185" s="80">
        <f t="shared" si="35"/>
        <v>127771665.12</v>
      </c>
    </row>
    <row r="186" spans="1:15" ht="32.25" customHeight="1" x14ac:dyDescent="0.25">
      <c r="A186" s="37" t="s">
        <v>4</v>
      </c>
      <c r="B186" s="37" t="s">
        <v>89</v>
      </c>
      <c r="C186" s="3" t="s">
        <v>24</v>
      </c>
      <c r="D186" s="49">
        <f>'дод 3'!E49+'дод 3'!E274</f>
        <v>975000</v>
      </c>
      <c r="E186" s="49">
        <f>'дод 3'!F49+'дод 3'!F274</f>
        <v>475000</v>
      </c>
      <c r="F186" s="49">
        <f>'дод 3'!G49+'дод 3'!G274</f>
        <v>0</v>
      </c>
      <c r="G186" s="49">
        <f>'дод 3'!H49+'дод 3'!H274</f>
        <v>0</v>
      </c>
      <c r="H186" s="49">
        <f>'дод 3'!I49+'дод 3'!I274</f>
        <v>500000</v>
      </c>
      <c r="I186" s="49">
        <f>'дод 3'!J49+'дод 3'!J274</f>
        <v>0</v>
      </c>
      <c r="J186" s="49">
        <f>'дод 3'!K49+'дод 3'!K274</f>
        <v>0</v>
      </c>
      <c r="K186" s="49">
        <f>'дод 3'!L49+'дод 3'!L274</f>
        <v>0</v>
      </c>
      <c r="L186" s="49">
        <f>'дод 3'!M49+'дод 3'!M274</f>
        <v>0</v>
      </c>
      <c r="M186" s="49">
        <f>'дод 3'!N49+'дод 3'!N274</f>
        <v>0</v>
      </c>
      <c r="N186" s="49">
        <f>'дод 3'!O49+'дод 3'!O274</f>
        <v>0</v>
      </c>
      <c r="O186" s="49">
        <f>'дод 3'!P49+'дод 3'!P274</f>
        <v>975000</v>
      </c>
    </row>
    <row r="187" spans="1:15" ht="20.25" customHeight="1" x14ac:dyDescent="0.25">
      <c r="A187" s="37" t="s">
        <v>2</v>
      </c>
      <c r="B187" s="37" t="s">
        <v>88</v>
      </c>
      <c r="C187" s="3" t="s">
        <v>420</v>
      </c>
      <c r="D187" s="49">
        <f>'дод 3'!E105+'дод 3'!E142+'дод 3'!E200+'дод 3'!E230+'дод 3'!E256+'дод 3'!E284</f>
        <v>5702107</v>
      </c>
      <c r="E187" s="49">
        <f>'дод 3'!F105+'дод 3'!F142+'дод 3'!F200+'дод 3'!F230+'дод 3'!F256+'дод 3'!F284</f>
        <v>3702107</v>
      </c>
      <c r="F187" s="49">
        <f>'дод 3'!G105+'дод 3'!G142+'дод 3'!G200+'дод 3'!G230+'дод 3'!G256+'дод 3'!G284</f>
        <v>0</v>
      </c>
      <c r="G187" s="49">
        <f>'дод 3'!H105+'дод 3'!H142+'дод 3'!H200+'дод 3'!H230+'дод 3'!H256+'дод 3'!H284</f>
        <v>0</v>
      </c>
      <c r="H187" s="49">
        <f>'дод 3'!I105+'дод 3'!I142+'дод 3'!I200+'дод 3'!I230+'дод 3'!I256+'дод 3'!I284</f>
        <v>2000000</v>
      </c>
      <c r="I187" s="49">
        <f>'дод 3'!J105+'дод 3'!J142+'дод 3'!J200+'дод 3'!J230+'дод 3'!J256+'дод 3'!J284</f>
        <v>159245986.12</v>
      </c>
      <c r="J187" s="49">
        <f>'дод 3'!K105+'дод 3'!K142+'дод 3'!K200+'дод 3'!K230+'дод 3'!K256+'дод 3'!K284</f>
        <v>147772052.12</v>
      </c>
      <c r="K187" s="49">
        <f>'дод 3'!L105+'дод 3'!L142+'дод 3'!L200+'дод 3'!L230+'дод 3'!L256+'дод 3'!L284</f>
        <v>0</v>
      </c>
      <c r="L187" s="49">
        <f>'дод 3'!M105+'дод 3'!M142+'дод 3'!M200+'дод 3'!M230+'дод 3'!M256+'дод 3'!M284</f>
        <v>0</v>
      </c>
      <c r="M187" s="49">
        <f>'дод 3'!N105+'дод 3'!N142+'дод 3'!N200+'дод 3'!N230+'дод 3'!N256+'дод 3'!N284</f>
        <v>0</v>
      </c>
      <c r="N187" s="49">
        <f>'дод 3'!O105+'дод 3'!O142+'дод 3'!O200+'дод 3'!O230+'дод 3'!O256+'дод 3'!O284</f>
        <v>159245986.12</v>
      </c>
      <c r="O187" s="49">
        <f>'дод 3'!P105+'дод 3'!P142+'дод 3'!P200+'дод 3'!P230+'дод 3'!P256+'дод 3'!P284</f>
        <v>164948093.12</v>
      </c>
    </row>
    <row r="188" spans="1:15" s="54" customFormat="1" ht="17.25" customHeight="1" x14ac:dyDescent="0.25">
      <c r="A188" s="82"/>
      <c r="B188" s="82"/>
      <c r="C188" s="89" t="s">
        <v>421</v>
      </c>
      <c r="D188" s="84">
        <f>'дод 3'!E143+'дод 3'!E257</f>
        <v>0</v>
      </c>
      <c r="E188" s="84">
        <f>'дод 3'!F143+'дод 3'!F257</f>
        <v>0</v>
      </c>
      <c r="F188" s="84">
        <f>'дод 3'!G143+'дод 3'!G257</f>
        <v>0</v>
      </c>
      <c r="G188" s="84">
        <f>'дод 3'!H143+'дод 3'!H257</f>
        <v>0</v>
      </c>
      <c r="H188" s="84">
        <f>'дод 3'!I143+'дод 3'!I257</f>
        <v>0</v>
      </c>
      <c r="I188" s="84">
        <f>'дод 3'!J143+'дод 3'!J257</f>
        <v>101521665.12</v>
      </c>
      <c r="J188" s="84">
        <f>'дод 3'!K143+'дод 3'!K257</f>
        <v>101521665.12</v>
      </c>
      <c r="K188" s="84">
        <f>'дод 3'!L143+'дод 3'!L257</f>
        <v>0</v>
      </c>
      <c r="L188" s="84">
        <f>'дод 3'!M143+'дод 3'!M257</f>
        <v>0</v>
      </c>
      <c r="M188" s="84">
        <f>'дод 3'!N143+'дод 3'!N257</f>
        <v>0</v>
      </c>
      <c r="N188" s="84">
        <f>'дод 3'!O143+'дод 3'!O257</f>
        <v>101521665.12</v>
      </c>
      <c r="O188" s="84">
        <f>'дод 3'!P143+'дод 3'!P257</f>
        <v>101521665.12</v>
      </c>
    </row>
    <row r="189" spans="1:15" ht="33.75" customHeight="1" x14ac:dyDescent="0.25">
      <c r="A189" s="37" t="s">
        <v>269</v>
      </c>
      <c r="B189" s="37" t="s">
        <v>84</v>
      </c>
      <c r="C189" s="3" t="s">
        <v>348</v>
      </c>
      <c r="D189" s="49">
        <f>'дод 3'!E275</f>
        <v>0</v>
      </c>
      <c r="E189" s="49">
        <f>'дод 3'!F275</f>
        <v>0</v>
      </c>
      <c r="F189" s="49">
        <f>'дод 3'!G275</f>
        <v>0</v>
      </c>
      <c r="G189" s="49">
        <f>'дод 3'!H275</f>
        <v>0</v>
      </c>
      <c r="H189" s="49">
        <f>'дод 3'!I275</f>
        <v>0</v>
      </c>
      <c r="I189" s="49">
        <f>'дод 3'!J275</f>
        <v>20000</v>
      </c>
      <c r="J189" s="49">
        <f>'дод 3'!K275</f>
        <v>20000</v>
      </c>
      <c r="K189" s="49">
        <f>'дод 3'!L275</f>
        <v>0</v>
      </c>
      <c r="L189" s="49">
        <f>'дод 3'!M275</f>
        <v>0</v>
      </c>
      <c r="M189" s="49">
        <f>'дод 3'!N275</f>
        <v>0</v>
      </c>
      <c r="N189" s="49">
        <f>'дод 3'!O275</f>
        <v>20000</v>
      </c>
      <c r="O189" s="49">
        <f>'дод 3'!P275</f>
        <v>20000</v>
      </c>
    </row>
    <row r="190" spans="1:15" ht="67.5" customHeight="1" x14ac:dyDescent="0.25">
      <c r="A190" s="37" t="s">
        <v>271</v>
      </c>
      <c r="B190" s="37" t="s">
        <v>84</v>
      </c>
      <c r="C190" s="3" t="s">
        <v>272</v>
      </c>
      <c r="D190" s="49">
        <f>'дод 3'!E276</f>
        <v>0</v>
      </c>
      <c r="E190" s="49">
        <f>'дод 3'!F276</f>
        <v>0</v>
      </c>
      <c r="F190" s="49">
        <f>'дод 3'!G276</f>
        <v>0</v>
      </c>
      <c r="G190" s="49">
        <f>'дод 3'!H276</f>
        <v>0</v>
      </c>
      <c r="H190" s="49">
        <f>'дод 3'!I276</f>
        <v>0</v>
      </c>
      <c r="I190" s="49">
        <f>'дод 3'!J276</f>
        <v>45000</v>
      </c>
      <c r="J190" s="49">
        <f>'дод 3'!K276</f>
        <v>45000</v>
      </c>
      <c r="K190" s="49">
        <f>'дод 3'!L276</f>
        <v>0</v>
      </c>
      <c r="L190" s="49">
        <f>'дод 3'!M276</f>
        <v>0</v>
      </c>
      <c r="M190" s="49">
        <f>'дод 3'!N276</f>
        <v>0</v>
      </c>
      <c r="N190" s="49">
        <f>'дод 3'!O276</f>
        <v>45000</v>
      </c>
      <c r="O190" s="49">
        <f>'дод 3'!P276</f>
        <v>45000</v>
      </c>
    </row>
    <row r="191" spans="1:15" ht="30.75" customHeight="1" x14ac:dyDescent="0.25">
      <c r="A191" s="37" t="s">
        <v>5</v>
      </c>
      <c r="B191" s="37" t="s">
        <v>84</v>
      </c>
      <c r="C191" s="3" t="s">
        <v>474</v>
      </c>
      <c r="D191" s="49">
        <f>'дод 3'!E50+'дод 3'!E231</f>
        <v>0</v>
      </c>
      <c r="E191" s="49">
        <f>'дод 3'!F50+'дод 3'!F231</f>
        <v>0</v>
      </c>
      <c r="F191" s="49">
        <f>'дод 3'!G50+'дод 3'!G231</f>
        <v>0</v>
      </c>
      <c r="G191" s="49">
        <f>'дод 3'!H50+'дод 3'!H231</f>
        <v>0</v>
      </c>
      <c r="H191" s="49">
        <f>'дод 3'!I50+'дод 3'!I231</f>
        <v>0</v>
      </c>
      <c r="I191" s="49">
        <f>'дод 3'!J50+'дод 3'!J231</f>
        <v>65787900</v>
      </c>
      <c r="J191" s="49">
        <f>'дод 3'!K50+'дод 3'!K231</f>
        <v>65787900</v>
      </c>
      <c r="K191" s="49">
        <f>'дод 3'!L50+'дод 3'!L231</f>
        <v>0</v>
      </c>
      <c r="L191" s="49">
        <f>'дод 3'!M50+'дод 3'!M231</f>
        <v>0</v>
      </c>
      <c r="M191" s="49">
        <f>'дод 3'!N50+'дод 3'!N231</f>
        <v>0</v>
      </c>
      <c r="N191" s="49">
        <f>'дод 3'!O50+'дод 3'!O231</f>
        <v>65787900</v>
      </c>
      <c r="O191" s="49">
        <f>'дод 3'!P50+'дод 3'!P231</f>
        <v>65787900</v>
      </c>
    </row>
    <row r="192" spans="1:15" ht="16.5" customHeight="1" x14ac:dyDescent="0.25">
      <c r="A192" s="37"/>
      <c r="B192" s="37"/>
      <c r="C192" s="89" t="s">
        <v>421</v>
      </c>
      <c r="D192" s="49">
        <f>'дод 3'!E232</f>
        <v>0</v>
      </c>
      <c r="E192" s="49">
        <f>'дод 3'!F232</f>
        <v>0</v>
      </c>
      <c r="F192" s="49">
        <f>'дод 3'!G232</f>
        <v>0</v>
      </c>
      <c r="G192" s="49">
        <f>'дод 3'!H232</f>
        <v>0</v>
      </c>
      <c r="H192" s="49">
        <f>'дод 3'!I232</f>
        <v>0</v>
      </c>
      <c r="I192" s="49">
        <f>'дод 3'!J232</f>
        <v>26250000</v>
      </c>
      <c r="J192" s="49">
        <f>'дод 3'!K232</f>
        <v>26250000</v>
      </c>
      <c r="K192" s="49">
        <f>'дод 3'!L232</f>
        <v>0</v>
      </c>
      <c r="L192" s="49">
        <f>'дод 3'!M232</f>
        <v>0</v>
      </c>
      <c r="M192" s="49">
        <f>'дод 3'!N232</f>
        <v>0</v>
      </c>
      <c r="N192" s="49">
        <f>'дод 3'!O232</f>
        <v>26250000</v>
      </c>
      <c r="O192" s="49">
        <f>'дод 3'!P232</f>
        <v>26250000</v>
      </c>
    </row>
    <row r="193" spans="1:15" ht="36.75" customHeight="1" x14ac:dyDescent="0.25">
      <c r="A193" s="37" t="s">
        <v>250</v>
      </c>
      <c r="B193" s="37" t="s">
        <v>84</v>
      </c>
      <c r="C193" s="3" t="s">
        <v>251</v>
      </c>
      <c r="D193" s="49">
        <f>'дод 3'!E51</f>
        <v>356337</v>
      </c>
      <c r="E193" s="49">
        <f>'дод 3'!F51</f>
        <v>356337</v>
      </c>
      <c r="F193" s="49">
        <f>'дод 3'!G51</f>
        <v>0</v>
      </c>
      <c r="G193" s="49">
        <f>'дод 3'!H51</f>
        <v>0</v>
      </c>
      <c r="H193" s="49">
        <f>'дод 3'!I51</f>
        <v>0</v>
      </c>
      <c r="I193" s="49">
        <f>'дод 3'!J51</f>
        <v>0</v>
      </c>
      <c r="J193" s="49">
        <f>'дод 3'!K51</f>
        <v>0</v>
      </c>
      <c r="K193" s="49">
        <f>'дод 3'!L51</f>
        <v>0</v>
      </c>
      <c r="L193" s="49">
        <f>'дод 3'!M51</f>
        <v>0</v>
      </c>
      <c r="M193" s="49">
        <f>'дод 3'!N51</f>
        <v>0</v>
      </c>
      <c r="N193" s="49">
        <f>'дод 3'!O51</f>
        <v>0</v>
      </c>
      <c r="O193" s="49">
        <f>'дод 3'!P51</f>
        <v>356337</v>
      </c>
    </row>
    <row r="194" spans="1:15" s="54" customFormat="1" ht="97.5" customHeight="1" x14ac:dyDescent="0.25">
      <c r="A194" s="37" t="s">
        <v>298</v>
      </c>
      <c r="B194" s="37" t="s">
        <v>84</v>
      </c>
      <c r="C194" s="3" t="s">
        <v>316</v>
      </c>
      <c r="D194" s="49">
        <f>'дод 3'!E52+'дод 3'!E233+'дод 3'!E258+'дод 3'!E266</f>
        <v>0</v>
      </c>
      <c r="E194" s="49">
        <f>'дод 3'!F52+'дод 3'!F233+'дод 3'!F258+'дод 3'!F266</f>
        <v>0</v>
      </c>
      <c r="F194" s="49">
        <f>'дод 3'!G52+'дод 3'!G233+'дод 3'!G258+'дод 3'!G266</f>
        <v>0</v>
      </c>
      <c r="G194" s="49">
        <f>'дод 3'!H52+'дод 3'!H233+'дод 3'!H258+'дод 3'!H266</f>
        <v>0</v>
      </c>
      <c r="H194" s="49">
        <f>'дод 3'!I52+'дод 3'!I233+'дод 3'!I258+'дод 3'!I266</f>
        <v>0</v>
      </c>
      <c r="I194" s="49">
        <f>'дод 3'!J52+'дод 3'!J233+'дод 3'!J258+'дод 3'!J266</f>
        <v>4856037.8699999992</v>
      </c>
      <c r="J194" s="49">
        <f>'дод 3'!K52+'дод 3'!K233+'дод 3'!K258+'дод 3'!K266</f>
        <v>0</v>
      </c>
      <c r="K194" s="49">
        <f>'дод 3'!L52+'дод 3'!L233+'дод 3'!L258+'дод 3'!L266</f>
        <v>2948437.8699999996</v>
      </c>
      <c r="L194" s="49">
        <f>'дод 3'!M52+'дод 3'!M233+'дод 3'!M258+'дод 3'!M266</f>
        <v>0</v>
      </c>
      <c r="M194" s="49">
        <f>'дод 3'!N52+'дод 3'!N233+'дод 3'!N258+'дод 3'!N266</f>
        <v>0</v>
      </c>
      <c r="N194" s="49">
        <f>'дод 3'!O52+'дод 3'!O233+'дод 3'!O258+'дод 3'!O266</f>
        <v>1907600</v>
      </c>
      <c r="O194" s="49">
        <f>'дод 3'!P52+'дод 3'!P233+'дод 3'!P258+'дод 3'!P266</f>
        <v>4856037.8699999992</v>
      </c>
    </row>
    <row r="195" spans="1:15" s="54" customFormat="1" ht="23.25" customHeight="1" x14ac:dyDescent="0.25">
      <c r="A195" s="37" t="s">
        <v>241</v>
      </c>
      <c r="B195" s="37" t="s">
        <v>84</v>
      </c>
      <c r="C195" s="3" t="s">
        <v>17</v>
      </c>
      <c r="D195" s="49">
        <f>'дод 3'!E53+'дод 3'!E277+'дод 3'!E285</f>
        <v>2260332</v>
      </c>
      <c r="E195" s="49">
        <f>'дод 3'!F53+'дод 3'!F277+'дод 3'!F285</f>
        <v>2260332</v>
      </c>
      <c r="F195" s="49">
        <f>'дод 3'!G53+'дод 3'!G277+'дод 3'!G285</f>
        <v>0</v>
      </c>
      <c r="G195" s="49">
        <f>'дод 3'!H53+'дод 3'!H277+'дод 3'!H285</f>
        <v>0</v>
      </c>
      <c r="H195" s="49">
        <f>'дод 3'!I53+'дод 3'!I277+'дод 3'!I285</f>
        <v>0</v>
      </c>
      <c r="I195" s="49">
        <f>'дод 3'!J53+'дод 3'!J277+'дод 3'!J285</f>
        <v>0</v>
      </c>
      <c r="J195" s="49">
        <f>'дод 3'!K53+'дод 3'!K277+'дод 3'!K285</f>
        <v>0</v>
      </c>
      <c r="K195" s="49">
        <f>'дод 3'!L53+'дод 3'!L277+'дод 3'!L285</f>
        <v>0</v>
      </c>
      <c r="L195" s="49">
        <f>'дод 3'!M53+'дод 3'!M277+'дод 3'!M285</f>
        <v>0</v>
      </c>
      <c r="M195" s="49">
        <f>'дод 3'!N53+'дод 3'!N277+'дод 3'!N285</f>
        <v>0</v>
      </c>
      <c r="N195" s="49">
        <f>'дод 3'!O53+'дод 3'!O277+'дод 3'!O285</f>
        <v>0</v>
      </c>
      <c r="O195" s="49">
        <f>'дод 3'!P53+'дод 3'!P277+'дод 3'!P285</f>
        <v>2260332</v>
      </c>
    </row>
    <row r="196" spans="1:15" s="53" customFormat="1" ht="48.75" customHeight="1" x14ac:dyDescent="0.25">
      <c r="A196" s="38">
        <v>7700</v>
      </c>
      <c r="B196" s="38"/>
      <c r="C196" s="95" t="s">
        <v>364</v>
      </c>
      <c r="D196" s="48">
        <f>D197</f>
        <v>0</v>
      </c>
      <c r="E196" s="48">
        <f t="shared" ref="E196:O196" si="36">E197</f>
        <v>0</v>
      </c>
      <c r="F196" s="48">
        <f t="shared" si="36"/>
        <v>0</v>
      </c>
      <c r="G196" s="48">
        <f t="shared" si="36"/>
        <v>0</v>
      </c>
      <c r="H196" s="48">
        <f t="shared" si="36"/>
        <v>0</v>
      </c>
      <c r="I196" s="48">
        <f t="shared" si="36"/>
        <v>630000</v>
      </c>
      <c r="J196" s="48">
        <f t="shared" si="36"/>
        <v>0</v>
      </c>
      <c r="K196" s="48">
        <f t="shared" si="36"/>
        <v>0</v>
      </c>
      <c r="L196" s="48">
        <f t="shared" si="36"/>
        <v>0</v>
      </c>
      <c r="M196" s="48">
        <f t="shared" si="36"/>
        <v>0</v>
      </c>
      <c r="N196" s="48">
        <f t="shared" si="36"/>
        <v>630000</v>
      </c>
      <c r="O196" s="48">
        <f t="shared" si="36"/>
        <v>630000</v>
      </c>
    </row>
    <row r="197" spans="1:15" s="54" customFormat="1" ht="46.5" customHeight="1" x14ac:dyDescent="0.25">
      <c r="A197" s="37">
        <v>7700</v>
      </c>
      <c r="B197" s="59" t="s">
        <v>95</v>
      </c>
      <c r="C197" s="61" t="s">
        <v>364</v>
      </c>
      <c r="D197" s="49">
        <f>'дод 3'!E106</f>
        <v>0</v>
      </c>
      <c r="E197" s="49">
        <f>'дод 3'!F106</f>
        <v>0</v>
      </c>
      <c r="F197" s="49">
        <f>'дод 3'!G106</f>
        <v>0</v>
      </c>
      <c r="G197" s="49">
        <f>'дод 3'!H106</f>
        <v>0</v>
      </c>
      <c r="H197" s="49">
        <f>'дод 3'!I106</f>
        <v>0</v>
      </c>
      <c r="I197" s="49">
        <f>'дод 3'!J106</f>
        <v>630000</v>
      </c>
      <c r="J197" s="49">
        <f>'дод 3'!K106</f>
        <v>0</v>
      </c>
      <c r="K197" s="49">
        <f>'дод 3'!L106</f>
        <v>0</v>
      </c>
      <c r="L197" s="49">
        <f>'дод 3'!M106</f>
        <v>0</v>
      </c>
      <c r="M197" s="49">
        <f>'дод 3'!N106</f>
        <v>0</v>
      </c>
      <c r="N197" s="49">
        <f>'дод 3'!O106</f>
        <v>630000</v>
      </c>
      <c r="O197" s="49">
        <f>'дод 3'!P106</f>
        <v>630000</v>
      </c>
    </row>
    <row r="198" spans="1:15" s="52" customFormat="1" ht="51.75" customHeight="1" x14ac:dyDescent="0.25">
      <c r="A198" s="38" t="s">
        <v>96</v>
      </c>
      <c r="B198" s="39"/>
      <c r="C198" s="2" t="s">
        <v>537</v>
      </c>
      <c r="D198" s="48">
        <f>D200+D205+D207+D210+D212+D213</f>
        <v>6776916.3099999996</v>
      </c>
      <c r="E198" s="48">
        <f t="shared" ref="E198:O198" si="37">E200+E205+E207+E210+E212+E213</f>
        <v>5805442.8700000001</v>
      </c>
      <c r="F198" s="48">
        <f t="shared" si="37"/>
        <v>1906900</v>
      </c>
      <c r="G198" s="48">
        <f t="shared" si="37"/>
        <v>279360</v>
      </c>
      <c r="H198" s="48">
        <f t="shared" si="37"/>
        <v>0</v>
      </c>
      <c r="I198" s="48">
        <f t="shared" si="37"/>
        <v>5740752</v>
      </c>
      <c r="J198" s="48">
        <f t="shared" si="37"/>
        <v>1430052</v>
      </c>
      <c r="K198" s="48">
        <f t="shared" si="37"/>
        <v>2960800</v>
      </c>
      <c r="L198" s="48">
        <f t="shared" si="37"/>
        <v>0</v>
      </c>
      <c r="M198" s="48">
        <f t="shared" si="37"/>
        <v>1400</v>
      </c>
      <c r="N198" s="48">
        <f t="shared" si="37"/>
        <v>2779952</v>
      </c>
      <c r="O198" s="48">
        <f t="shared" si="37"/>
        <v>12517668.310000001</v>
      </c>
    </row>
    <row r="199" spans="1:15" s="53" customFormat="1" ht="54.75" customHeight="1" x14ac:dyDescent="0.25">
      <c r="A199" s="75"/>
      <c r="B199" s="78"/>
      <c r="C199" s="79" t="s">
        <v>384</v>
      </c>
      <c r="D199" s="80">
        <f>D201</f>
        <v>588815</v>
      </c>
      <c r="E199" s="80">
        <f t="shared" ref="E199:O199" si="38">E201</f>
        <v>588815</v>
      </c>
      <c r="F199" s="80">
        <f t="shared" si="38"/>
        <v>482635</v>
      </c>
      <c r="G199" s="80">
        <f t="shared" si="38"/>
        <v>0</v>
      </c>
      <c r="H199" s="80">
        <f t="shared" si="38"/>
        <v>0</v>
      </c>
      <c r="I199" s="80">
        <f t="shared" si="38"/>
        <v>0</v>
      </c>
      <c r="J199" s="80">
        <f t="shared" si="38"/>
        <v>0</v>
      </c>
      <c r="K199" s="80">
        <f t="shared" si="38"/>
        <v>0</v>
      </c>
      <c r="L199" s="80">
        <f t="shared" si="38"/>
        <v>0</v>
      </c>
      <c r="M199" s="80">
        <f t="shared" si="38"/>
        <v>0</v>
      </c>
      <c r="N199" s="80">
        <f t="shared" si="38"/>
        <v>0</v>
      </c>
      <c r="O199" s="80">
        <f t="shared" si="38"/>
        <v>588815</v>
      </c>
    </row>
    <row r="200" spans="1:15" s="52" customFormat="1" ht="51.75" customHeight="1" x14ac:dyDescent="0.25">
      <c r="A200" s="38" t="s">
        <v>98</v>
      </c>
      <c r="B200" s="39"/>
      <c r="C200" s="2" t="s">
        <v>540</v>
      </c>
      <c r="D200" s="48">
        <f t="shared" ref="D200:O200" si="39">D202+D203</f>
        <v>3383853.87</v>
      </c>
      <c r="E200" s="48">
        <f t="shared" si="39"/>
        <v>3383853.87</v>
      </c>
      <c r="F200" s="48">
        <f t="shared" si="39"/>
        <v>1906900</v>
      </c>
      <c r="G200" s="48">
        <f t="shared" si="39"/>
        <v>85760</v>
      </c>
      <c r="H200" s="48">
        <f t="shared" si="39"/>
        <v>0</v>
      </c>
      <c r="I200" s="48">
        <f t="shared" si="39"/>
        <v>1435752</v>
      </c>
      <c r="J200" s="48">
        <f t="shared" si="39"/>
        <v>1430052</v>
      </c>
      <c r="K200" s="48">
        <f t="shared" si="39"/>
        <v>5700</v>
      </c>
      <c r="L200" s="48">
        <f t="shared" si="39"/>
        <v>0</v>
      </c>
      <c r="M200" s="48">
        <f t="shared" si="39"/>
        <v>1400</v>
      </c>
      <c r="N200" s="48">
        <f t="shared" si="39"/>
        <v>1430052</v>
      </c>
      <c r="O200" s="48">
        <f t="shared" si="39"/>
        <v>4819605.87</v>
      </c>
    </row>
    <row r="201" spans="1:15" s="53" customFormat="1" ht="47.25" hidden="1" customHeight="1" x14ac:dyDescent="0.25">
      <c r="A201" s="75"/>
      <c r="B201" s="78"/>
      <c r="C201" s="81" t="str">
        <f>C204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01" s="80">
        <f>D204</f>
        <v>588815</v>
      </c>
      <c r="E201" s="80">
        <f t="shared" ref="E201:O201" si="40">E204</f>
        <v>588815</v>
      </c>
      <c r="F201" s="80">
        <f t="shared" si="40"/>
        <v>482635</v>
      </c>
      <c r="G201" s="80">
        <f t="shared" si="40"/>
        <v>0</v>
      </c>
      <c r="H201" s="80">
        <f t="shared" si="40"/>
        <v>0</v>
      </c>
      <c r="I201" s="80">
        <f t="shared" si="40"/>
        <v>0</v>
      </c>
      <c r="J201" s="80">
        <f t="shared" si="40"/>
        <v>0</v>
      </c>
      <c r="K201" s="80">
        <f t="shared" si="40"/>
        <v>0</v>
      </c>
      <c r="L201" s="80">
        <f t="shared" si="40"/>
        <v>0</v>
      </c>
      <c r="M201" s="80">
        <f t="shared" si="40"/>
        <v>0</v>
      </c>
      <c r="N201" s="80">
        <f t="shared" si="40"/>
        <v>0</v>
      </c>
      <c r="O201" s="80">
        <f t="shared" si="40"/>
        <v>588815</v>
      </c>
    </row>
    <row r="202" spans="1:15" s="52" customFormat="1" ht="36.75" customHeight="1" x14ac:dyDescent="0.25">
      <c r="A202" s="40" t="s">
        <v>7</v>
      </c>
      <c r="B202" s="40" t="s">
        <v>91</v>
      </c>
      <c r="C202" s="3" t="s">
        <v>299</v>
      </c>
      <c r="D202" s="49">
        <f>'дод 3'!E54+'дод 3'!E234</f>
        <v>929193.87</v>
      </c>
      <c r="E202" s="49">
        <f>'дод 3'!F54+'дод 3'!F234</f>
        <v>929193.87</v>
      </c>
      <c r="F202" s="49">
        <f>'дод 3'!G54+'дод 3'!G234</f>
        <v>0</v>
      </c>
      <c r="G202" s="49">
        <f>'дод 3'!H54+'дод 3'!H234</f>
        <v>6500</v>
      </c>
      <c r="H202" s="49">
        <f>'дод 3'!I54+'дод 3'!I234</f>
        <v>0</v>
      </c>
      <c r="I202" s="49">
        <f>'дод 3'!J54+'дод 3'!J234</f>
        <v>1430052</v>
      </c>
      <c r="J202" s="49">
        <f>'дод 3'!K54+'дод 3'!K234</f>
        <v>1430052</v>
      </c>
      <c r="K202" s="49">
        <f>'дод 3'!L54+'дод 3'!L234</f>
        <v>0</v>
      </c>
      <c r="L202" s="49">
        <f>'дод 3'!M54+'дод 3'!M234</f>
        <v>0</v>
      </c>
      <c r="M202" s="49">
        <f>'дод 3'!N54+'дод 3'!N234</f>
        <v>0</v>
      </c>
      <c r="N202" s="49">
        <f>'дод 3'!O54+'дод 3'!O234</f>
        <v>1430052</v>
      </c>
      <c r="O202" s="49">
        <f>'дод 3'!P54+'дод 3'!P234</f>
        <v>2359245.87</v>
      </c>
    </row>
    <row r="203" spans="1:15" ht="34.5" customHeight="1" x14ac:dyDescent="0.25">
      <c r="A203" s="37" t="s">
        <v>150</v>
      </c>
      <c r="B203" s="42" t="s">
        <v>91</v>
      </c>
      <c r="C203" s="3" t="s">
        <v>536</v>
      </c>
      <c r="D203" s="49">
        <f>'дод 3'!E55</f>
        <v>2454660</v>
      </c>
      <c r="E203" s="49">
        <f>'дод 3'!F55</f>
        <v>2454660</v>
      </c>
      <c r="F203" s="49">
        <f>'дод 3'!G55</f>
        <v>1906900</v>
      </c>
      <c r="G203" s="49">
        <f>'дод 3'!H55</f>
        <v>79260</v>
      </c>
      <c r="H203" s="49">
        <f>'дод 3'!I55</f>
        <v>0</v>
      </c>
      <c r="I203" s="49">
        <f>'дод 3'!J55</f>
        <v>5700</v>
      </c>
      <c r="J203" s="49">
        <f>'дод 3'!K55</f>
        <v>0</v>
      </c>
      <c r="K203" s="49">
        <f>'дод 3'!L55</f>
        <v>5700</v>
      </c>
      <c r="L203" s="49">
        <f>'дод 3'!M55</f>
        <v>0</v>
      </c>
      <c r="M203" s="49">
        <f>'дод 3'!N55</f>
        <v>1400</v>
      </c>
      <c r="N203" s="49">
        <f>'дод 3'!O55</f>
        <v>0</v>
      </c>
      <c r="O203" s="49">
        <f>'дод 3'!P55</f>
        <v>2460360</v>
      </c>
    </row>
    <row r="204" spans="1:15" s="54" customFormat="1" ht="47.25" x14ac:dyDescent="0.25">
      <c r="A204" s="82"/>
      <c r="B204" s="92"/>
      <c r="C204" s="91" t="s">
        <v>384</v>
      </c>
      <c r="D204" s="84">
        <f>'дод 3'!E56</f>
        <v>588815</v>
      </c>
      <c r="E204" s="84">
        <f>'дод 3'!F56</f>
        <v>588815</v>
      </c>
      <c r="F204" s="84">
        <f>'дод 3'!G56</f>
        <v>482635</v>
      </c>
      <c r="G204" s="84">
        <f>'дод 3'!H56</f>
        <v>0</v>
      </c>
      <c r="H204" s="84">
        <f>'дод 3'!I56</f>
        <v>0</v>
      </c>
      <c r="I204" s="84">
        <f>'дод 3'!J56</f>
        <v>0</v>
      </c>
      <c r="J204" s="84">
        <f>'дод 3'!K56</f>
        <v>0</v>
      </c>
      <c r="K204" s="84">
        <f>'дод 3'!L56</f>
        <v>0</v>
      </c>
      <c r="L204" s="84">
        <f>'дод 3'!M56</f>
        <v>0</v>
      </c>
      <c r="M204" s="84">
        <f>'дод 3'!N56</f>
        <v>0</v>
      </c>
      <c r="N204" s="84">
        <f>'дод 3'!O56</f>
        <v>0</v>
      </c>
      <c r="O204" s="84">
        <f>'дод 3'!P56</f>
        <v>588815</v>
      </c>
    </row>
    <row r="205" spans="1:15" s="52" customFormat="1" ht="23.25" customHeight="1" x14ac:dyDescent="0.25">
      <c r="A205" s="38" t="s">
        <v>252</v>
      </c>
      <c r="B205" s="38"/>
      <c r="C205" s="12" t="s">
        <v>253</v>
      </c>
      <c r="D205" s="48">
        <f t="shared" ref="D205:O205" si="41">D206</f>
        <v>352350</v>
      </c>
      <c r="E205" s="48">
        <f t="shared" si="41"/>
        <v>352350</v>
      </c>
      <c r="F205" s="48">
        <f t="shared" si="41"/>
        <v>0</v>
      </c>
      <c r="G205" s="48">
        <f t="shared" si="41"/>
        <v>193600</v>
      </c>
      <c r="H205" s="48">
        <f t="shared" si="41"/>
        <v>0</v>
      </c>
      <c r="I205" s="48">
        <f t="shared" si="41"/>
        <v>0</v>
      </c>
      <c r="J205" s="48">
        <f t="shared" si="41"/>
        <v>0</v>
      </c>
      <c r="K205" s="48">
        <f t="shared" si="41"/>
        <v>0</v>
      </c>
      <c r="L205" s="48">
        <f t="shared" si="41"/>
        <v>0</v>
      </c>
      <c r="M205" s="48">
        <f t="shared" si="41"/>
        <v>0</v>
      </c>
      <c r="N205" s="48">
        <f t="shared" si="41"/>
        <v>0</v>
      </c>
      <c r="O205" s="48">
        <f t="shared" si="41"/>
        <v>352350</v>
      </c>
    </row>
    <row r="206" spans="1:15" ht="22.5" customHeight="1" x14ac:dyDescent="0.25">
      <c r="A206" s="37" t="s">
        <v>246</v>
      </c>
      <c r="B206" s="42" t="s">
        <v>247</v>
      </c>
      <c r="C206" s="3" t="s">
        <v>248</v>
      </c>
      <c r="D206" s="49">
        <f>'дод 3'!E57+'дод 3'!E235</f>
        <v>352350</v>
      </c>
      <c r="E206" s="49">
        <f>'дод 3'!F57+'дод 3'!F235</f>
        <v>352350</v>
      </c>
      <c r="F206" s="49">
        <f>'дод 3'!G57+'дод 3'!G235</f>
        <v>0</v>
      </c>
      <c r="G206" s="49">
        <f>'дод 3'!H57+'дод 3'!H235</f>
        <v>193600</v>
      </c>
      <c r="H206" s="49">
        <f>'дод 3'!I57+'дод 3'!I235</f>
        <v>0</v>
      </c>
      <c r="I206" s="49">
        <f>'дод 3'!J57+'дод 3'!J235</f>
        <v>0</v>
      </c>
      <c r="J206" s="49">
        <f>'дод 3'!K57+'дод 3'!K235</f>
        <v>0</v>
      </c>
      <c r="K206" s="49">
        <f>'дод 3'!L57+'дод 3'!L235</f>
        <v>0</v>
      </c>
      <c r="L206" s="49">
        <f>'дод 3'!M57+'дод 3'!M235</f>
        <v>0</v>
      </c>
      <c r="M206" s="49">
        <f>'дод 3'!N57+'дод 3'!N235</f>
        <v>0</v>
      </c>
      <c r="N206" s="49">
        <f>'дод 3'!O57+'дод 3'!O235</f>
        <v>0</v>
      </c>
      <c r="O206" s="49">
        <f>'дод 3'!P57+'дод 3'!P235</f>
        <v>352350</v>
      </c>
    </row>
    <row r="207" spans="1:15" s="52" customFormat="1" ht="22.5" customHeight="1" x14ac:dyDescent="0.25">
      <c r="A207" s="38" t="s">
        <v>6</v>
      </c>
      <c r="B207" s="39"/>
      <c r="C207" s="2" t="s">
        <v>8</v>
      </c>
      <c r="D207" s="48">
        <f t="shared" ref="D207:O207" si="42">D209+D208</f>
        <v>75000</v>
      </c>
      <c r="E207" s="48">
        <f t="shared" si="42"/>
        <v>75000</v>
      </c>
      <c r="F207" s="48">
        <f t="shared" si="42"/>
        <v>0</v>
      </c>
      <c r="G207" s="48">
        <f t="shared" si="42"/>
        <v>0</v>
      </c>
      <c r="H207" s="48">
        <f t="shared" si="42"/>
        <v>0</v>
      </c>
      <c r="I207" s="48">
        <f t="shared" si="42"/>
        <v>4305000</v>
      </c>
      <c r="J207" s="48">
        <f t="shared" si="42"/>
        <v>0</v>
      </c>
      <c r="K207" s="48">
        <f t="shared" si="42"/>
        <v>2955100</v>
      </c>
      <c r="L207" s="48">
        <f t="shared" si="42"/>
        <v>0</v>
      </c>
      <c r="M207" s="48">
        <f t="shared" si="42"/>
        <v>0</v>
      </c>
      <c r="N207" s="48">
        <f t="shared" si="42"/>
        <v>1349900</v>
      </c>
      <c r="O207" s="48">
        <f t="shared" si="42"/>
        <v>4380000</v>
      </c>
    </row>
    <row r="208" spans="1:15" s="52" customFormat="1" ht="33.75" customHeight="1" x14ac:dyDescent="0.25">
      <c r="A208" s="37">
        <v>8330</v>
      </c>
      <c r="B208" s="59" t="s">
        <v>94</v>
      </c>
      <c r="C208" s="3" t="s">
        <v>350</v>
      </c>
      <c r="D208" s="49">
        <f>'дод 3'!E286</f>
        <v>75000</v>
      </c>
      <c r="E208" s="49">
        <f>'дод 3'!F286</f>
        <v>75000</v>
      </c>
      <c r="F208" s="49">
        <f>'дод 3'!G286</f>
        <v>0</v>
      </c>
      <c r="G208" s="49">
        <f>'дод 3'!H286</f>
        <v>0</v>
      </c>
      <c r="H208" s="49">
        <f>'дод 3'!I286</f>
        <v>0</v>
      </c>
      <c r="I208" s="49">
        <f>'дод 3'!J286</f>
        <v>0</v>
      </c>
      <c r="J208" s="49">
        <f>'дод 3'!K286</f>
        <v>0</v>
      </c>
      <c r="K208" s="49">
        <f>'дод 3'!L286</f>
        <v>0</v>
      </c>
      <c r="L208" s="49">
        <f>'дод 3'!M286</f>
        <v>0</v>
      </c>
      <c r="M208" s="49">
        <f>'дод 3'!N286</f>
        <v>0</v>
      </c>
      <c r="N208" s="49">
        <f>'дод 3'!O286</f>
        <v>0</v>
      </c>
      <c r="O208" s="49">
        <f>'дод 3'!P286</f>
        <v>75000</v>
      </c>
    </row>
    <row r="209" spans="1:15" s="52" customFormat="1" ht="19.5" customHeight="1" x14ac:dyDescent="0.25">
      <c r="A209" s="37" t="s">
        <v>9</v>
      </c>
      <c r="B209" s="37" t="s">
        <v>94</v>
      </c>
      <c r="C209" s="3" t="s">
        <v>10</v>
      </c>
      <c r="D209" s="49">
        <f>'дод 3'!E58+'дод 3'!E107+'дод 3'!E236+'дод 3'!E287</f>
        <v>0</v>
      </c>
      <c r="E209" s="49">
        <f>'дод 3'!F58+'дод 3'!F107+'дод 3'!F236+'дод 3'!F287</f>
        <v>0</v>
      </c>
      <c r="F209" s="49">
        <f>'дод 3'!G58+'дод 3'!G107+'дод 3'!G236+'дод 3'!G287</f>
        <v>0</v>
      </c>
      <c r="G209" s="49">
        <f>'дод 3'!H58+'дод 3'!H107+'дод 3'!H236+'дод 3'!H287</f>
        <v>0</v>
      </c>
      <c r="H209" s="49">
        <f>'дод 3'!I58+'дод 3'!I107+'дод 3'!I236+'дод 3'!I287</f>
        <v>0</v>
      </c>
      <c r="I209" s="49">
        <f>'дод 3'!J58+'дод 3'!J107+'дод 3'!J236+'дод 3'!J287</f>
        <v>4305000</v>
      </c>
      <c r="J209" s="49">
        <f>'дод 3'!K58+'дод 3'!K107+'дод 3'!K236+'дод 3'!K287</f>
        <v>0</v>
      </c>
      <c r="K209" s="49">
        <f>'дод 3'!L58+'дод 3'!L107+'дод 3'!L236+'дод 3'!L287</f>
        <v>2955100</v>
      </c>
      <c r="L209" s="49">
        <f>'дод 3'!M58+'дод 3'!M107+'дод 3'!M236+'дод 3'!M287</f>
        <v>0</v>
      </c>
      <c r="M209" s="49">
        <f>'дод 3'!N58+'дод 3'!N107+'дод 3'!N236+'дод 3'!N287</f>
        <v>0</v>
      </c>
      <c r="N209" s="49">
        <f>'дод 3'!O58+'дод 3'!O107+'дод 3'!O236+'дод 3'!O287</f>
        <v>1349900</v>
      </c>
      <c r="O209" s="49">
        <f>'дод 3'!P58+'дод 3'!P107+'дод 3'!P236+'дод 3'!P287</f>
        <v>4305000</v>
      </c>
    </row>
    <row r="210" spans="1:15" s="52" customFormat="1" ht="20.25" customHeight="1" x14ac:dyDescent="0.25">
      <c r="A210" s="38" t="s">
        <v>135</v>
      </c>
      <c r="B210" s="39"/>
      <c r="C210" s="2" t="s">
        <v>77</v>
      </c>
      <c r="D210" s="48">
        <f t="shared" ref="D210:O210" si="43">D211</f>
        <v>30000</v>
      </c>
      <c r="E210" s="48">
        <f t="shared" si="43"/>
        <v>30000</v>
      </c>
      <c r="F210" s="48">
        <f t="shared" si="43"/>
        <v>0</v>
      </c>
      <c r="G210" s="48">
        <f t="shared" si="43"/>
        <v>0</v>
      </c>
      <c r="H210" s="48">
        <f t="shared" si="43"/>
        <v>0</v>
      </c>
      <c r="I210" s="48">
        <f t="shared" si="43"/>
        <v>0</v>
      </c>
      <c r="J210" s="48">
        <f t="shared" si="43"/>
        <v>0</v>
      </c>
      <c r="K210" s="48">
        <f t="shared" si="43"/>
        <v>0</v>
      </c>
      <c r="L210" s="48">
        <f t="shared" si="43"/>
        <v>0</v>
      </c>
      <c r="M210" s="48">
        <f t="shared" si="43"/>
        <v>0</v>
      </c>
      <c r="N210" s="48">
        <f t="shared" si="43"/>
        <v>0</v>
      </c>
      <c r="O210" s="48">
        <f t="shared" si="43"/>
        <v>30000</v>
      </c>
    </row>
    <row r="211" spans="1:15" s="52" customFormat="1" ht="21" customHeight="1" x14ac:dyDescent="0.25">
      <c r="A211" s="37" t="s">
        <v>257</v>
      </c>
      <c r="B211" s="42" t="s">
        <v>78</v>
      </c>
      <c r="C211" s="3" t="s">
        <v>258</v>
      </c>
      <c r="D211" s="49">
        <f>'дод 3'!E59</f>
        <v>30000</v>
      </c>
      <c r="E211" s="49">
        <f>'дод 3'!F59</f>
        <v>30000</v>
      </c>
      <c r="F211" s="49">
        <f>'дод 3'!G59</f>
        <v>0</v>
      </c>
      <c r="G211" s="49">
        <f>'дод 3'!H59</f>
        <v>0</v>
      </c>
      <c r="H211" s="49">
        <f>'дод 3'!I59</f>
        <v>0</v>
      </c>
      <c r="I211" s="49">
        <f>'дод 3'!J59</f>
        <v>0</v>
      </c>
      <c r="J211" s="49">
        <f>'дод 3'!K59</f>
        <v>0</v>
      </c>
      <c r="K211" s="49">
        <f>'дод 3'!L59</f>
        <v>0</v>
      </c>
      <c r="L211" s="49">
        <f>'дод 3'!M59</f>
        <v>0</v>
      </c>
      <c r="M211" s="49">
        <f>'дод 3'!N59</f>
        <v>0</v>
      </c>
      <c r="N211" s="49">
        <f>'дод 3'!O59</f>
        <v>0</v>
      </c>
      <c r="O211" s="49">
        <f>'дод 3'!P59</f>
        <v>30000</v>
      </c>
    </row>
    <row r="212" spans="1:15" s="52" customFormat="1" ht="21" customHeight="1" x14ac:dyDescent="0.25">
      <c r="A212" s="38" t="s">
        <v>97</v>
      </c>
      <c r="B212" s="38" t="s">
        <v>92</v>
      </c>
      <c r="C212" s="2" t="s">
        <v>11</v>
      </c>
      <c r="D212" s="48">
        <f>'дод 3'!E288</f>
        <v>1964239</v>
      </c>
      <c r="E212" s="48">
        <f>'дод 3'!F288</f>
        <v>1964239</v>
      </c>
      <c r="F212" s="48">
        <f>'дод 3'!G288</f>
        <v>0</v>
      </c>
      <c r="G212" s="48">
        <f>'дод 3'!H288</f>
        <v>0</v>
      </c>
      <c r="H212" s="48">
        <f>'дод 3'!I288</f>
        <v>0</v>
      </c>
      <c r="I212" s="48">
        <f>'дод 3'!J288</f>
        <v>0</v>
      </c>
      <c r="J212" s="48">
        <f>'дод 3'!K288</f>
        <v>0</v>
      </c>
      <c r="K212" s="48">
        <f>'дод 3'!L288</f>
        <v>0</v>
      </c>
      <c r="L212" s="48">
        <f>'дод 3'!M288</f>
        <v>0</v>
      </c>
      <c r="M212" s="48">
        <f>'дод 3'!N288</f>
        <v>0</v>
      </c>
      <c r="N212" s="48">
        <f>'дод 3'!O288</f>
        <v>0</v>
      </c>
      <c r="O212" s="48">
        <f>'дод 3'!P288</f>
        <v>1964239</v>
      </c>
    </row>
    <row r="213" spans="1:15" s="52" customFormat="1" ht="25.5" customHeight="1" x14ac:dyDescent="0.25">
      <c r="A213" s="38">
        <v>8710</v>
      </c>
      <c r="B213" s="38" t="s">
        <v>95</v>
      </c>
      <c r="C213" s="2" t="s">
        <v>528</v>
      </c>
      <c r="D213" s="48">
        <f>'дод 3'!E289</f>
        <v>971473.43999999948</v>
      </c>
      <c r="E213" s="48">
        <f>'дод 3'!F289</f>
        <v>0</v>
      </c>
      <c r="F213" s="48">
        <f>'дод 3'!G289</f>
        <v>0</v>
      </c>
      <c r="G213" s="48">
        <f>'дод 3'!H289</f>
        <v>0</v>
      </c>
      <c r="H213" s="48">
        <f>'дод 3'!I289</f>
        <v>0</v>
      </c>
      <c r="I213" s="48">
        <f>'дод 3'!J289</f>
        <v>0</v>
      </c>
      <c r="J213" s="48">
        <f>'дод 3'!K289</f>
        <v>0</v>
      </c>
      <c r="K213" s="48">
        <f>'дод 3'!L289</f>
        <v>0</v>
      </c>
      <c r="L213" s="48">
        <f>'дод 3'!M289</f>
        <v>0</v>
      </c>
      <c r="M213" s="48">
        <f>'дод 3'!N289</f>
        <v>0</v>
      </c>
      <c r="N213" s="48">
        <f>'дод 3'!O289</f>
        <v>0</v>
      </c>
      <c r="O213" s="48">
        <f>'дод 3'!P289</f>
        <v>971473.43999999948</v>
      </c>
    </row>
    <row r="214" spans="1:15" s="52" customFormat="1" ht="24" customHeight="1" x14ac:dyDescent="0.25">
      <c r="A214" s="38" t="s">
        <v>12</v>
      </c>
      <c r="B214" s="38"/>
      <c r="C214" s="2" t="s">
        <v>566</v>
      </c>
      <c r="D214" s="48">
        <f>D216+D218+D222+D225</f>
        <v>163697099</v>
      </c>
      <c r="E214" s="48">
        <f t="shared" ref="E214:O214" si="44">E216+E218+E222+E225</f>
        <v>163697099</v>
      </c>
      <c r="F214" s="48">
        <f t="shared" si="44"/>
        <v>0</v>
      </c>
      <c r="G214" s="48">
        <f t="shared" si="44"/>
        <v>0</v>
      </c>
      <c r="H214" s="48">
        <f t="shared" si="44"/>
        <v>0</v>
      </c>
      <c r="I214" s="48">
        <f t="shared" si="44"/>
        <v>13527111.6</v>
      </c>
      <c r="J214" s="48">
        <f t="shared" si="44"/>
        <v>13527111.6</v>
      </c>
      <c r="K214" s="48">
        <f t="shared" si="44"/>
        <v>0</v>
      </c>
      <c r="L214" s="48">
        <f t="shared" si="44"/>
        <v>0</v>
      </c>
      <c r="M214" s="48">
        <f t="shared" si="44"/>
        <v>0</v>
      </c>
      <c r="N214" s="48">
        <f t="shared" si="44"/>
        <v>13527111.6</v>
      </c>
      <c r="O214" s="48">
        <f t="shared" si="44"/>
        <v>177224210.59999999</v>
      </c>
    </row>
    <row r="215" spans="1:15" s="52" customFormat="1" ht="36.75" customHeight="1" x14ac:dyDescent="0.25">
      <c r="A215" s="38"/>
      <c r="B215" s="38"/>
      <c r="C215" s="81" t="s">
        <v>562</v>
      </c>
      <c r="D215" s="80">
        <f>D219</f>
        <v>693000</v>
      </c>
      <c r="E215" s="80">
        <f t="shared" ref="E215:O215" si="45">E219</f>
        <v>693000</v>
      </c>
      <c r="F215" s="80">
        <f t="shared" si="45"/>
        <v>0</v>
      </c>
      <c r="G215" s="80">
        <f t="shared" si="45"/>
        <v>0</v>
      </c>
      <c r="H215" s="80">
        <f t="shared" si="45"/>
        <v>0</v>
      </c>
      <c r="I215" s="80">
        <f t="shared" si="45"/>
        <v>3307000</v>
      </c>
      <c r="J215" s="80">
        <f t="shared" si="45"/>
        <v>3307000</v>
      </c>
      <c r="K215" s="80">
        <f t="shared" si="45"/>
        <v>0</v>
      </c>
      <c r="L215" s="80">
        <f t="shared" si="45"/>
        <v>0</v>
      </c>
      <c r="M215" s="80">
        <f t="shared" si="45"/>
        <v>0</v>
      </c>
      <c r="N215" s="80">
        <f t="shared" si="45"/>
        <v>3307000</v>
      </c>
      <c r="O215" s="80">
        <f t="shared" si="45"/>
        <v>4000000</v>
      </c>
    </row>
    <row r="216" spans="1:15" s="52" customFormat="1" ht="21.75" customHeight="1" x14ac:dyDescent="0.25">
      <c r="A216" s="38" t="s">
        <v>255</v>
      </c>
      <c r="B216" s="38"/>
      <c r="C216" s="2" t="s">
        <v>300</v>
      </c>
      <c r="D216" s="48">
        <f t="shared" ref="D216:O216" si="46">D217</f>
        <v>100870700</v>
      </c>
      <c r="E216" s="48">
        <f t="shared" si="46"/>
        <v>100870700</v>
      </c>
      <c r="F216" s="48">
        <f t="shared" si="46"/>
        <v>0</v>
      </c>
      <c r="G216" s="48">
        <f t="shared" si="46"/>
        <v>0</v>
      </c>
      <c r="H216" s="48">
        <f t="shared" si="46"/>
        <v>0</v>
      </c>
      <c r="I216" s="48">
        <f t="shared" si="46"/>
        <v>0</v>
      </c>
      <c r="J216" s="48">
        <f t="shared" si="46"/>
        <v>0</v>
      </c>
      <c r="K216" s="48">
        <f t="shared" si="46"/>
        <v>0</v>
      </c>
      <c r="L216" s="48">
        <f t="shared" si="46"/>
        <v>0</v>
      </c>
      <c r="M216" s="48">
        <f t="shared" si="46"/>
        <v>0</v>
      </c>
      <c r="N216" s="48">
        <f t="shared" si="46"/>
        <v>0</v>
      </c>
      <c r="O216" s="48">
        <f t="shared" si="46"/>
        <v>100870700</v>
      </c>
    </row>
    <row r="217" spans="1:15" s="52" customFormat="1" ht="21" customHeight="1" x14ac:dyDescent="0.25">
      <c r="A217" s="37" t="s">
        <v>93</v>
      </c>
      <c r="B217" s="42" t="s">
        <v>46</v>
      </c>
      <c r="C217" s="3" t="s">
        <v>112</v>
      </c>
      <c r="D217" s="49">
        <f>'дод 3'!E290</f>
        <v>100870700</v>
      </c>
      <c r="E217" s="49">
        <f>'дод 3'!F290</f>
        <v>100870700</v>
      </c>
      <c r="F217" s="49">
        <f>'дод 3'!G290</f>
        <v>0</v>
      </c>
      <c r="G217" s="49">
        <f>'дод 3'!H290</f>
        <v>0</v>
      </c>
      <c r="H217" s="49">
        <f>'дод 3'!I290</f>
        <v>0</v>
      </c>
      <c r="I217" s="49">
        <f>'дод 3'!J290</f>
        <v>0</v>
      </c>
      <c r="J217" s="49">
        <f>'дод 3'!K290</f>
        <v>0</v>
      </c>
      <c r="K217" s="49">
        <f>'дод 3'!L290</f>
        <v>0</v>
      </c>
      <c r="L217" s="49">
        <f>'дод 3'!M290</f>
        <v>0</v>
      </c>
      <c r="M217" s="49">
        <f>'дод 3'!N290</f>
        <v>0</v>
      </c>
      <c r="N217" s="49">
        <f>'дод 3'!O290</f>
        <v>0</v>
      </c>
      <c r="O217" s="49">
        <f>'дод 3'!P290</f>
        <v>100870700</v>
      </c>
    </row>
    <row r="218" spans="1:15" s="52" customFormat="1" ht="69" customHeight="1" x14ac:dyDescent="0.25">
      <c r="A218" s="38">
        <v>9300</v>
      </c>
      <c r="B218" s="110"/>
      <c r="C218" s="2" t="s">
        <v>559</v>
      </c>
      <c r="D218" s="48">
        <f>D220</f>
        <v>693000</v>
      </c>
      <c r="E218" s="48">
        <f t="shared" ref="E218:O218" si="47">E220</f>
        <v>693000</v>
      </c>
      <c r="F218" s="48">
        <f t="shared" si="47"/>
        <v>0</v>
      </c>
      <c r="G218" s="48">
        <f t="shared" si="47"/>
        <v>0</v>
      </c>
      <c r="H218" s="48">
        <f t="shared" si="47"/>
        <v>0</v>
      </c>
      <c r="I218" s="48">
        <f t="shared" si="47"/>
        <v>3307000</v>
      </c>
      <c r="J218" s="48">
        <f t="shared" si="47"/>
        <v>3307000</v>
      </c>
      <c r="K218" s="48">
        <f t="shared" si="47"/>
        <v>0</v>
      </c>
      <c r="L218" s="48">
        <f t="shared" si="47"/>
        <v>0</v>
      </c>
      <c r="M218" s="48">
        <f t="shared" si="47"/>
        <v>0</v>
      </c>
      <c r="N218" s="48">
        <f t="shared" si="47"/>
        <v>3307000</v>
      </c>
      <c r="O218" s="48">
        <f t="shared" si="47"/>
        <v>4000000</v>
      </c>
    </row>
    <row r="219" spans="1:15" s="52" customFormat="1" ht="36.75" customHeight="1" x14ac:dyDescent="0.25">
      <c r="A219" s="38"/>
      <c r="B219" s="107"/>
      <c r="C219" s="81" t="s">
        <v>562</v>
      </c>
      <c r="D219" s="80">
        <f>D221</f>
        <v>693000</v>
      </c>
      <c r="E219" s="80">
        <f t="shared" ref="E219:O219" si="48">E221</f>
        <v>693000</v>
      </c>
      <c r="F219" s="80">
        <f t="shared" si="48"/>
        <v>0</v>
      </c>
      <c r="G219" s="80">
        <f t="shared" si="48"/>
        <v>0</v>
      </c>
      <c r="H219" s="80">
        <f t="shared" si="48"/>
        <v>0</v>
      </c>
      <c r="I219" s="80">
        <f t="shared" si="48"/>
        <v>3307000</v>
      </c>
      <c r="J219" s="80">
        <f t="shared" si="48"/>
        <v>3307000</v>
      </c>
      <c r="K219" s="80">
        <f t="shared" si="48"/>
        <v>0</v>
      </c>
      <c r="L219" s="80">
        <f t="shared" si="48"/>
        <v>0</v>
      </c>
      <c r="M219" s="80">
        <f t="shared" si="48"/>
        <v>0</v>
      </c>
      <c r="N219" s="80">
        <f t="shared" si="48"/>
        <v>3307000</v>
      </c>
      <c r="O219" s="80">
        <f t="shared" si="48"/>
        <v>4000000</v>
      </c>
    </row>
    <row r="220" spans="1:15" s="52" customFormat="1" ht="53.25" customHeight="1" x14ac:dyDescent="0.25">
      <c r="A220" s="37">
        <v>9320</v>
      </c>
      <c r="B220" s="107" t="s">
        <v>46</v>
      </c>
      <c r="C220" s="6" t="s">
        <v>560</v>
      </c>
      <c r="D220" s="49">
        <f>'дод 3'!E109</f>
        <v>693000</v>
      </c>
      <c r="E220" s="49">
        <f>'дод 3'!F109</f>
        <v>693000</v>
      </c>
      <c r="F220" s="49">
        <f>'дод 3'!G109</f>
        <v>0</v>
      </c>
      <c r="G220" s="49">
        <f>'дод 3'!H109</f>
        <v>0</v>
      </c>
      <c r="H220" s="49">
        <f>'дод 3'!I109</f>
        <v>0</v>
      </c>
      <c r="I220" s="49">
        <f>'дод 3'!J109</f>
        <v>3307000</v>
      </c>
      <c r="J220" s="49">
        <f>'дод 3'!K109</f>
        <v>3307000</v>
      </c>
      <c r="K220" s="49">
        <f>'дод 3'!L109</f>
        <v>0</v>
      </c>
      <c r="L220" s="49">
        <f>'дод 3'!M109</f>
        <v>0</v>
      </c>
      <c r="M220" s="49">
        <f>'дод 3'!N109</f>
        <v>0</v>
      </c>
      <c r="N220" s="49">
        <f>'дод 3'!O109</f>
        <v>3307000</v>
      </c>
      <c r="O220" s="49">
        <f>'дод 3'!P109</f>
        <v>4000000</v>
      </c>
    </row>
    <row r="221" spans="1:15" s="53" customFormat="1" ht="36.75" customHeight="1" x14ac:dyDescent="0.25">
      <c r="A221" s="82"/>
      <c r="B221" s="109"/>
      <c r="C221" s="91" t="s">
        <v>562</v>
      </c>
      <c r="D221" s="84">
        <f>'дод 3'!E110</f>
        <v>693000</v>
      </c>
      <c r="E221" s="84">
        <f>'дод 3'!F110</f>
        <v>693000</v>
      </c>
      <c r="F221" s="84">
        <f>'дод 3'!G110</f>
        <v>0</v>
      </c>
      <c r="G221" s="84">
        <f>'дод 3'!H110</f>
        <v>0</v>
      </c>
      <c r="H221" s="84">
        <f>'дод 3'!I110</f>
        <v>0</v>
      </c>
      <c r="I221" s="84">
        <f>'дод 3'!J110</f>
        <v>3307000</v>
      </c>
      <c r="J221" s="84">
        <f>'дод 3'!K110</f>
        <v>3307000</v>
      </c>
      <c r="K221" s="84">
        <f>'дод 3'!L110</f>
        <v>0</v>
      </c>
      <c r="L221" s="84">
        <f>'дод 3'!M110</f>
        <v>0</v>
      </c>
      <c r="M221" s="84">
        <f>'дод 3'!N110</f>
        <v>0</v>
      </c>
      <c r="N221" s="84">
        <f>'дод 3'!O110</f>
        <v>3307000</v>
      </c>
      <c r="O221" s="84">
        <f>'дод 3'!P110</f>
        <v>4000000</v>
      </c>
    </row>
    <row r="222" spans="1:15" s="52" customFormat="1" ht="57.75" customHeight="1" x14ac:dyDescent="0.25">
      <c r="A222" s="38" t="s">
        <v>13</v>
      </c>
      <c r="B222" s="110"/>
      <c r="C222" s="2" t="s">
        <v>349</v>
      </c>
      <c r="D222" s="48">
        <f>D223+D224</f>
        <v>61810000</v>
      </c>
      <c r="E222" s="48">
        <f t="shared" ref="E222:O222" si="49">E223+E224</f>
        <v>61810000</v>
      </c>
      <c r="F222" s="48">
        <f t="shared" si="49"/>
        <v>0</v>
      </c>
      <c r="G222" s="48">
        <f t="shared" si="49"/>
        <v>0</v>
      </c>
      <c r="H222" s="48">
        <f t="shared" si="49"/>
        <v>0</v>
      </c>
      <c r="I222" s="48">
        <f t="shared" si="49"/>
        <v>10086111.6</v>
      </c>
      <c r="J222" s="48">
        <f t="shared" si="49"/>
        <v>10086111.6</v>
      </c>
      <c r="K222" s="48">
        <f t="shared" si="49"/>
        <v>0</v>
      </c>
      <c r="L222" s="48">
        <f t="shared" si="49"/>
        <v>0</v>
      </c>
      <c r="M222" s="48">
        <f t="shared" si="49"/>
        <v>0</v>
      </c>
      <c r="N222" s="48">
        <f t="shared" si="49"/>
        <v>10086111.6</v>
      </c>
      <c r="O222" s="48">
        <f t="shared" si="49"/>
        <v>71896111.599999994</v>
      </c>
    </row>
    <row r="223" spans="1:15" ht="31.5" x14ac:dyDescent="0.25">
      <c r="A223" s="37">
        <v>9750</v>
      </c>
      <c r="B223" s="42" t="s">
        <v>46</v>
      </c>
      <c r="C223" s="61" t="s">
        <v>548</v>
      </c>
      <c r="D223" s="49">
        <f>'дод 3'!E259</f>
        <v>0</v>
      </c>
      <c r="E223" s="49">
        <f>'дод 3'!F259</f>
        <v>0</v>
      </c>
      <c r="F223" s="49">
        <f>'дод 3'!G259</f>
        <v>0</v>
      </c>
      <c r="G223" s="49">
        <f>'дод 3'!H259</f>
        <v>0</v>
      </c>
      <c r="H223" s="49">
        <f>'дод 3'!I259</f>
        <v>0</v>
      </c>
      <c r="I223" s="49">
        <f>'дод 3'!J259</f>
        <v>86000</v>
      </c>
      <c r="J223" s="49">
        <f>'дод 3'!K259</f>
        <v>86000</v>
      </c>
      <c r="K223" s="49">
        <f>'дод 3'!L259</f>
        <v>0</v>
      </c>
      <c r="L223" s="49">
        <f>'дод 3'!M259</f>
        <v>0</v>
      </c>
      <c r="M223" s="49">
        <f>'дод 3'!N259</f>
        <v>0</v>
      </c>
      <c r="N223" s="49">
        <f>'дод 3'!O259</f>
        <v>86000</v>
      </c>
      <c r="O223" s="49">
        <f>'дод 3'!P259</f>
        <v>86000</v>
      </c>
    </row>
    <row r="224" spans="1:15" s="52" customFormat="1" ht="22.5" customHeight="1" x14ac:dyDescent="0.25">
      <c r="A224" s="37" t="s">
        <v>14</v>
      </c>
      <c r="B224" s="42" t="s">
        <v>46</v>
      </c>
      <c r="C224" s="6" t="s">
        <v>358</v>
      </c>
      <c r="D224" s="49">
        <f>'дод 3'!E108+'дод 3'!E182+'дод 3'!E237+'дод 3'!E145</f>
        <v>61810000</v>
      </c>
      <c r="E224" s="49">
        <f>'дод 3'!F108+'дод 3'!F182+'дод 3'!F237+'дод 3'!F145</f>
        <v>61810000</v>
      </c>
      <c r="F224" s="49">
        <f>'дод 3'!G108+'дод 3'!G182+'дод 3'!G237+'дод 3'!G145</f>
        <v>0</v>
      </c>
      <c r="G224" s="49">
        <f>'дод 3'!H108+'дод 3'!H182+'дод 3'!H237+'дод 3'!H145</f>
        <v>0</v>
      </c>
      <c r="H224" s="49">
        <f>'дод 3'!I108+'дод 3'!I182+'дод 3'!I237+'дод 3'!I145</f>
        <v>0</v>
      </c>
      <c r="I224" s="49">
        <f>'дод 3'!J108+'дод 3'!J182+'дод 3'!J237+'дод 3'!J145</f>
        <v>10000111.6</v>
      </c>
      <c r="J224" s="49">
        <f>'дод 3'!K108+'дод 3'!K182+'дод 3'!K237+'дод 3'!K145</f>
        <v>10000111.6</v>
      </c>
      <c r="K224" s="49">
        <f>'дод 3'!L108+'дод 3'!L182+'дод 3'!L237+'дод 3'!L145</f>
        <v>0</v>
      </c>
      <c r="L224" s="49">
        <f>'дод 3'!M108+'дод 3'!M182+'дод 3'!M237+'дод 3'!M145</f>
        <v>0</v>
      </c>
      <c r="M224" s="49">
        <f>'дод 3'!N108+'дод 3'!N182+'дод 3'!N237+'дод 3'!N145</f>
        <v>0</v>
      </c>
      <c r="N224" s="49">
        <f>'дод 3'!O108+'дод 3'!O182+'дод 3'!O237+'дод 3'!O145</f>
        <v>10000111.6</v>
      </c>
      <c r="O224" s="49">
        <f>'дод 3'!P108+'дод 3'!P182+'дод 3'!P237+'дод 3'!P145</f>
        <v>71810111.599999994</v>
      </c>
    </row>
    <row r="225" spans="1:513" s="52" customFormat="1" ht="51" customHeight="1" x14ac:dyDescent="0.25">
      <c r="A225" s="38">
        <v>9800</v>
      </c>
      <c r="B225" s="39" t="s">
        <v>46</v>
      </c>
      <c r="C225" s="9" t="s">
        <v>369</v>
      </c>
      <c r="D225" s="48">
        <f>'дод 3'!E111+'дод 3'!E60</f>
        <v>323399</v>
      </c>
      <c r="E225" s="48">
        <f>'дод 3'!F111+'дод 3'!F60</f>
        <v>323399</v>
      </c>
      <c r="F225" s="48">
        <f>'дод 3'!G111+'дод 3'!G60</f>
        <v>0</v>
      </c>
      <c r="G225" s="48">
        <f>'дод 3'!H111+'дод 3'!H60</f>
        <v>0</v>
      </c>
      <c r="H225" s="48">
        <f>'дод 3'!I111+'дод 3'!I60</f>
        <v>0</v>
      </c>
      <c r="I225" s="48">
        <f>'дод 3'!J111+'дод 3'!J60</f>
        <v>134000</v>
      </c>
      <c r="J225" s="48">
        <f>'дод 3'!K111+'дод 3'!K60</f>
        <v>134000</v>
      </c>
      <c r="K225" s="48">
        <f>'дод 3'!L111+'дод 3'!L60</f>
        <v>0</v>
      </c>
      <c r="L225" s="48">
        <f>'дод 3'!M111+'дод 3'!M60</f>
        <v>0</v>
      </c>
      <c r="M225" s="48">
        <f>'дод 3'!N111+'дод 3'!N60</f>
        <v>0</v>
      </c>
      <c r="N225" s="48">
        <f>'дод 3'!O111+'дод 3'!O60</f>
        <v>134000</v>
      </c>
      <c r="O225" s="48">
        <f>'дод 3'!P111+'дод 3'!P60</f>
        <v>457399</v>
      </c>
    </row>
    <row r="226" spans="1:513" s="52" customFormat="1" ht="18.75" customHeight="1" x14ac:dyDescent="0.25">
      <c r="A226" s="7"/>
      <c r="B226" s="7"/>
      <c r="C226" s="2" t="s">
        <v>410</v>
      </c>
      <c r="D226" s="48">
        <f>D17+D24+D66+D87+D124+D129+D136+D148+D198+D214</f>
        <v>2212803209.1599998</v>
      </c>
      <c r="E226" s="48">
        <f t="shared" ref="E226:O226" si="50">E17+E24+E66+E87+E124+E129+E136+E148+E198+E214</f>
        <v>2129430281.2399998</v>
      </c>
      <c r="F226" s="48">
        <f t="shared" si="50"/>
        <v>1079211630</v>
      </c>
      <c r="G226" s="48">
        <f t="shared" si="50"/>
        <v>99122524</v>
      </c>
      <c r="H226" s="48">
        <f t="shared" si="50"/>
        <v>82401454.480000004</v>
      </c>
      <c r="I226" s="48">
        <f t="shared" si="50"/>
        <v>666278992.39999998</v>
      </c>
      <c r="J226" s="48">
        <f t="shared" si="50"/>
        <v>601205697.88</v>
      </c>
      <c r="K226" s="48">
        <f t="shared" si="50"/>
        <v>47765901.869999997</v>
      </c>
      <c r="L226" s="48">
        <f t="shared" si="50"/>
        <v>6033355</v>
      </c>
      <c r="M226" s="48">
        <f t="shared" si="50"/>
        <v>266522</v>
      </c>
      <c r="N226" s="48">
        <f t="shared" si="50"/>
        <v>618513090.52999997</v>
      </c>
      <c r="O226" s="48">
        <f t="shared" si="50"/>
        <v>2879082201.5599999</v>
      </c>
    </row>
    <row r="227" spans="1:513" s="53" customFormat="1" ht="18" customHeight="1" x14ac:dyDescent="0.25">
      <c r="A227" s="90"/>
      <c r="B227" s="90"/>
      <c r="C227" s="79" t="s">
        <v>403</v>
      </c>
      <c r="D227" s="80">
        <f>D25+D32+D172+D215+D168</f>
        <v>485337827.60000002</v>
      </c>
      <c r="E227" s="80">
        <f t="shared" ref="E227:O227" si="51">E25+E32+E172+E215+E168</f>
        <v>485337827.60000002</v>
      </c>
      <c r="F227" s="80">
        <f t="shared" si="51"/>
        <v>396066000</v>
      </c>
      <c r="G227" s="80">
        <f t="shared" si="51"/>
        <v>0</v>
      </c>
      <c r="H227" s="80">
        <f t="shared" si="51"/>
        <v>0</v>
      </c>
      <c r="I227" s="80">
        <f t="shared" si="51"/>
        <v>15521220.18</v>
      </c>
      <c r="J227" s="80">
        <f t="shared" si="51"/>
        <v>15521220.18</v>
      </c>
      <c r="K227" s="80">
        <f t="shared" si="51"/>
        <v>0</v>
      </c>
      <c r="L227" s="80">
        <f t="shared" si="51"/>
        <v>0</v>
      </c>
      <c r="M227" s="80">
        <f t="shared" si="51"/>
        <v>0</v>
      </c>
      <c r="N227" s="80">
        <f t="shared" si="51"/>
        <v>15521220.18</v>
      </c>
      <c r="O227" s="80">
        <f t="shared" si="51"/>
        <v>500859047.77999997</v>
      </c>
    </row>
    <row r="228" spans="1:513" s="53" customFormat="1" ht="31.5" x14ac:dyDescent="0.25">
      <c r="A228" s="90"/>
      <c r="B228" s="90"/>
      <c r="C228" s="79" t="s">
        <v>404</v>
      </c>
      <c r="D228" s="80">
        <f>D26+D27+D29+D90+D204+D31+D69</f>
        <v>24462322.240000002</v>
      </c>
      <c r="E228" s="80">
        <f t="shared" ref="E228:O228" si="52">E26+E27+E29+E90+E204+E31+E69</f>
        <v>24462322.240000002</v>
      </c>
      <c r="F228" s="80">
        <f t="shared" si="52"/>
        <v>4133559</v>
      </c>
      <c r="G228" s="80">
        <f t="shared" si="52"/>
        <v>0</v>
      </c>
      <c r="H228" s="80">
        <f t="shared" si="52"/>
        <v>0</v>
      </c>
      <c r="I228" s="80">
        <f t="shared" si="52"/>
        <v>1826000</v>
      </c>
      <c r="J228" s="80">
        <f t="shared" si="52"/>
        <v>1826000</v>
      </c>
      <c r="K228" s="80">
        <f t="shared" si="52"/>
        <v>0</v>
      </c>
      <c r="L228" s="80">
        <f t="shared" si="52"/>
        <v>0</v>
      </c>
      <c r="M228" s="80">
        <f t="shared" si="52"/>
        <v>0</v>
      </c>
      <c r="N228" s="80">
        <f t="shared" si="52"/>
        <v>1826000</v>
      </c>
      <c r="O228" s="80">
        <f t="shared" si="52"/>
        <v>26288322.240000002</v>
      </c>
    </row>
    <row r="229" spans="1:513" s="53" customFormat="1" ht="23.25" customHeight="1" x14ac:dyDescent="0.25">
      <c r="A229" s="75"/>
      <c r="B229" s="75"/>
      <c r="C229" s="87" t="s">
        <v>421</v>
      </c>
      <c r="D229" s="80">
        <f>D151</f>
        <v>0</v>
      </c>
      <c r="E229" s="80">
        <f t="shared" ref="E229:O229" si="53">E151</f>
        <v>0</v>
      </c>
      <c r="F229" s="80">
        <f t="shared" si="53"/>
        <v>0</v>
      </c>
      <c r="G229" s="80">
        <f t="shared" si="53"/>
        <v>0</v>
      </c>
      <c r="H229" s="80">
        <f t="shared" si="53"/>
        <v>0</v>
      </c>
      <c r="I229" s="80">
        <f t="shared" si="53"/>
        <v>127771665.12</v>
      </c>
      <c r="J229" s="80">
        <f t="shared" si="53"/>
        <v>127771665.12</v>
      </c>
      <c r="K229" s="80">
        <f t="shared" si="53"/>
        <v>0</v>
      </c>
      <c r="L229" s="80">
        <f t="shared" si="53"/>
        <v>0</v>
      </c>
      <c r="M229" s="80">
        <f t="shared" si="53"/>
        <v>0</v>
      </c>
      <c r="N229" s="80">
        <f t="shared" si="53"/>
        <v>127771665.12</v>
      </c>
      <c r="O229" s="80">
        <f t="shared" si="53"/>
        <v>127771665.12</v>
      </c>
    </row>
    <row r="230" spans="1:513" s="52" customFormat="1" ht="30.75" customHeight="1" x14ac:dyDescent="0.25">
      <c r="A230" s="67"/>
      <c r="B230" s="67"/>
      <c r="C230" s="68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</row>
    <row r="231" spans="1:513" s="52" customFormat="1" ht="28.5" customHeight="1" x14ac:dyDescent="0.25">
      <c r="A231" s="67"/>
      <c r="B231" s="67"/>
      <c r="C231" s="68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</row>
    <row r="232" spans="1:513" s="52" customFormat="1" ht="24" customHeight="1" x14ac:dyDescent="0.55000000000000004">
      <c r="A232" s="67"/>
      <c r="B232" s="67"/>
      <c r="C232" s="68"/>
      <c r="D232" s="69"/>
      <c r="E232" s="69"/>
      <c r="F232" s="69"/>
      <c r="G232" s="69"/>
      <c r="H232" s="69"/>
      <c r="I232" s="69"/>
      <c r="J232" s="155"/>
      <c r="K232" s="69"/>
      <c r="L232" s="69"/>
      <c r="M232" s="69"/>
      <c r="N232" s="69"/>
      <c r="O232" s="69"/>
    </row>
    <row r="233" spans="1:513" s="157" customFormat="1" ht="47.25" customHeight="1" x14ac:dyDescent="0.55000000000000004">
      <c r="A233" s="152" t="s">
        <v>477</v>
      </c>
      <c r="B233" s="153"/>
      <c r="C233" s="154"/>
      <c r="D233" s="155"/>
      <c r="E233" s="155"/>
      <c r="F233" s="155"/>
      <c r="G233" s="155"/>
      <c r="H233" s="155"/>
      <c r="I233" s="155"/>
      <c r="J233" s="47"/>
      <c r="K233" s="155"/>
      <c r="L233" s="155" t="s">
        <v>478</v>
      </c>
      <c r="M233" s="156"/>
      <c r="N233" s="156"/>
      <c r="O233" s="156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  <c r="AP233" s="158"/>
      <c r="AQ233" s="158"/>
      <c r="AR233" s="158"/>
      <c r="AS233" s="158"/>
      <c r="AT233" s="158"/>
      <c r="AU233" s="158"/>
      <c r="AV233" s="158"/>
      <c r="AW233" s="158"/>
      <c r="AX233" s="158"/>
      <c r="AY233" s="158"/>
      <c r="AZ233" s="158"/>
      <c r="BA233" s="158"/>
      <c r="BB233" s="158"/>
      <c r="BC233" s="158"/>
      <c r="BD233" s="158"/>
      <c r="BE233" s="158"/>
      <c r="BF233" s="158"/>
      <c r="BG233" s="158"/>
      <c r="BH233" s="158"/>
      <c r="BI233" s="158"/>
      <c r="BJ233" s="158"/>
      <c r="BK233" s="158"/>
      <c r="BL233" s="158"/>
      <c r="BM233" s="158"/>
      <c r="BN233" s="158"/>
      <c r="BO233" s="158"/>
      <c r="BP233" s="158"/>
      <c r="BQ233" s="158"/>
      <c r="BR233" s="158"/>
      <c r="BS233" s="158"/>
      <c r="BT233" s="158"/>
      <c r="BU233" s="158"/>
      <c r="BV233" s="158"/>
      <c r="BW233" s="158"/>
      <c r="BX233" s="158"/>
      <c r="BY233" s="158"/>
      <c r="BZ233" s="158"/>
      <c r="CA233" s="158"/>
      <c r="CB233" s="158"/>
      <c r="CC233" s="158"/>
      <c r="CD233" s="158"/>
      <c r="CE233" s="158"/>
      <c r="CF233" s="158"/>
      <c r="CG233" s="158"/>
      <c r="CH233" s="158"/>
      <c r="CI233" s="158"/>
      <c r="CJ233" s="158"/>
      <c r="CK233" s="158"/>
      <c r="CL233" s="158"/>
      <c r="CM233" s="158"/>
      <c r="CN233" s="158"/>
      <c r="CO233" s="158"/>
      <c r="CP233" s="158"/>
      <c r="CQ233" s="158"/>
      <c r="CR233" s="158"/>
      <c r="CS233" s="158"/>
      <c r="CT233" s="158"/>
      <c r="CU233" s="158"/>
      <c r="CV233" s="158"/>
      <c r="CW233" s="158"/>
      <c r="CX233" s="158"/>
      <c r="CY233" s="158"/>
      <c r="CZ233" s="158"/>
      <c r="DA233" s="158"/>
      <c r="DB233" s="158"/>
      <c r="DC233" s="158"/>
      <c r="DD233" s="158"/>
      <c r="DE233" s="158"/>
      <c r="DF233" s="158"/>
      <c r="DG233" s="158"/>
      <c r="DH233" s="158"/>
      <c r="DI233" s="158"/>
      <c r="DJ233" s="158"/>
      <c r="DK233" s="158"/>
      <c r="DL233" s="158"/>
      <c r="DM233" s="158"/>
      <c r="DN233" s="158"/>
      <c r="DO233" s="158"/>
      <c r="DP233" s="158"/>
      <c r="DQ233" s="158"/>
      <c r="DR233" s="158"/>
      <c r="DS233" s="158"/>
      <c r="DT233" s="158"/>
      <c r="DU233" s="158"/>
      <c r="DV233" s="158"/>
      <c r="DW233" s="158"/>
      <c r="DX233" s="158"/>
      <c r="DY233" s="158"/>
      <c r="DZ233" s="158"/>
      <c r="EA233" s="158"/>
      <c r="EB233" s="158"/>
      <c r="EC233" s="158"/>
      <c r="ED233" s="158"/>
      <c r="EE233" s="158"/>
      <c r="EF233" s="158"/>
      <c r="EG233" s="158"/>
      <c r="EH233" s="158"/>
      <c r="EI233" s="158"/>
      <c r="EJ233" s="158"/>
      <c r="EK233" s="158"/>
      <c r="EL233" s="158"/>
      <c r="EM233" s="158"/>
      <c r="EN233" s="158"/>
      <c r="EO233" s="158"/>
      <c r="EP233" s="158"/>
      <c r="EQ233" s="158"/>
      <c r="ER233" s="158"/>
      <c r="ES233" s="158"/>
      <c r="ET233" s="158"/>
      <c r="EU233" s="158"/>
      <c r="EV233" s="158"/>
      <c r="EW233" s="158"/>
      <c r="EX233" s="158"/>
      <c r="EY233" s="158"/>
      <c r="EZ233" s="158"/>
      <c r="FA233" s="158"/>
      <c r="FB233" s="158"/>
      <c r="FC233" s="158"/>
      <c r="FD233" s="158"/>
      <c r="FE233" s="158"/>
      <c r="FF233" s="158"/>
      <c r="FG233" s="158"/>
      <c r="FH233" s="158"/>
      <c r="FI233" s="158"/>
      <c r="FJ233" s="158"/>
      <c r="FK233" s="158"/>
      <c r="FL233" s="158"/>
      <c r="FM233" s="158"/>
      <c r="FN233" s="158"/>
      <c r="FO233" s="158"/>
      <c r="FP233" s="158"/>
      <c r="FQ233" s="158"/>
      <c r="FR233" s="158"/>
      <c r="FS233" s="158"/>
      <c r="FT233" s="158"/>
      <c r="FU233" s="158"/>
      <c r="FV233" s="158"/>
      <c r="FW233" s="158"/>
      <c r="FX233" s="158"/>
      <c r="FY233" s="158"/>
      <c r="FZ233" s="158"/>
      <c r="GA233" s="158"/>
      <c r="GB233" s="158"/>
      <c r="GC233" s="158"/>
      <c r="GD233" s="158"/>
      <c r="GE233" s="158"/>
      <c r="GF233" s="158"/>
      <c r="GG233" s="158"/>
      <c r="GH233" s="158"/>
      <c r="GI233" s="158"/>
      <c r="GJ233" s="158"/>
      <c r="GK233" s="158"/>
      <c r="GL233" s="158"/>
      <c r="GM233" s="158"/>
      <c r="GN233" s="158"/>
      <c r="GO233" s="158"/>
      <c r="GP233" s="158"/>
      <c r="GQ233" s="158"/>
      <c r="GR233" s="158"/>
      <c r="GS233" s="158"/>
      <c r="GT233" s="158"/>
      <c r="GU233" s="158"/>
      <c r="GV233" s="158"/>
      <c r="GW233" s="158"/>
      <c r="GX233" s="158"/>
      <c r="GY233" s="158"/>
      <c r="GZ233" s="158"/>
      <c r="HA233" s="158"/>
      <c r="HB233" s="158"/>
      <c r="HC233" s="158"/>
      <c r="HD233" s="158"/>
      <c r="HE233" s="158"/>
      <c r="HF233" s="158"/>
      <c r="HG233" s="158"/>
      <c r="HH233" s="158"/>
      <c r="HI233" s="158"/>
      <c r="HJ233" s="158"/>
      <c r="HK233" s="158"/>
      <c r="HL233" s="158"/>
      <c r="HM233" s="158"/>
      <c r="HN233" s="158"/>
      <c r="HO233" s="158"/>
      <c r="HP233" s="158"/>
      <c r="HQ233" s="158"/>
      <c r="HR233" s="158"/>
      <c r="HS233" s="158"/>
      <c r="HT233" s="158"/>
      <c r="HU233" s="158"/>
      <c r="HV233" s="158"/>
      <c r="HW233" s="158"/>
      <c r="HX233" s="158"/>
      <c r="HY233" s="158"/>
      <c r="HZ233" s="158"/>
      <c r="IA233" s="158"/>
      <c r="IB233" s="158"/>
      <c r="IC233" s="158"/>
      <c r="ID233" s="158"/>
      <c r="IE233" s="158"/>
      <c r="IF233" s="158"/>
      <c r="IG233" s="158"/>
      <c r="IH233" s="158"/>
      <c r="II233" s="158"/>
      <c r="IJ233" s="158"/>
      <c r="IK233" s="158"/>
      <c r="IL233" s="158"/>
      <c r="IM233" s="158"/>
      <c r="IN233" s="158"/>
      <c r="IO233" s="158"/>
      <c r="IP233" s="158"/>
      <c r="IQ233" s="158"/>
      <c r="IR233" s="158"/>
      <c r="IS233" s="158"/>
      <c r="IT233" s="158"/>
      <c r="IU233" s="158"/>
      <c r="IV233" s="158"/>
      <c r="IW233" s="158"/>
      <c r="IX233" s="158"/>
      <c r="IY233" s="158"/>
      <c r="IZ233" s="158"/>
      <c r="JA233" s="158"/>
      <c r="JB233" s="158"/>
      <c r="JC233" s="158"/>
      <c r="JD233" s="158"/>
      <c r="JE233" s="158"/>
      <c r="JF233" s="158"/>
      <c r="JG233" s="158"/>
      <c r="JH233" s="158"/>
      <c r="JI233" s="158"/>
      <c r="JJ233" s="158"/>
      <c r="JK233" s="158"/>
      <c r="JL233" s="158"/>
      <c r="JM233" s="158"/>
      <c r="JN233" s="158"/>
      <c r="JO233" s="158"/>
      <c r="JP233" s="158"/>
      <c r="JQ233" s="158"/>
      <c r="JR233" s="158"/>
      <c r="JS233" s="158"/>
      <c r="JT233" s="158"/>
      <c r="JU233" s="158"/>
      <c r="JV233" s="158"/>
      <c r="JW233" s="158"/>
      <c r="JX233" s="158"/>
      <c r="JY233" s="158"/>
      <c r="JZ233" s="158"/>
      <c r="KA233" s="158"/>
      <c r="KB233" s="158"/>
      <c r="KC233" s="158"/>
      <c r="KD233" s="158"/>
      <c r="KE233" s="158"/>
      <c r="KF233" s="158"/>
      <c r="KG233" s="158"/>
      <c r="KH233" s="158"/>
      <c r="KI233" s="158"/>
      <c r="KJ233" s="158"/>
      <c r="KK233" s="158"/>
      <c r="KL233" s="158"/>
      <c r="KM233" s="158"/>
      <c r="KN233" s="158"/>
      <c r="KO233" s="158"/>
      <c r="KP233" s="158"/>
      <c r="KQ233" s="158"/>
      <c r="KR233" s="158"/>
      <c r="KS233" s="158"/>
      <c r="KT233" s="158"/>
      <c r="KU233" s="158"/>
      <c r="KV233" s="158"/>
      <c r="KW233" s="158"/>
      <c r="KX233" s="158"/>
      <c r="KY233" s="158"/>
      <c r="KZ233" s="158"/>
      <c r="LA233" s="158"/>
      <c r="LB233" s="158"/>
      <c r="LC233" s="158"/>
      <c r="LD233" s="158"/>
      <c r="LE233" s="158"/>
      <c r="LF233" s="158"/>
      <c r="LG233" s="158"/>
      <c r="LH233" s="158"/>
      <c r="LI233" s="158"/>
      <c r="LJ233" s="158"/>
      <c r="LK233" s="158"/>
      <c r="LL233" s="158"/>
      <c r="LM233" s="158"/>
      <c r="LN233" s="158"/>
      <c r="LO233" s="158"/>
      <c r="LP233" s="158"/>
      <c r="LQ233" s="158"/>
      <c r="LR233" s="158"/>
      <c r="LS233" s="158"/>
      <c r="LT233" s="158"/>
      <c r="LU233" s="158"/>
      <c r="LV233" s="158"/>
      <c r="LW233" s="158"/>
      <c r="LX233" s="158"/>
      <c r="LY233" s="158"/>
      <c r="LZ233" s="158"/>
      <c r="MA233" s="158"/>
      <c r="MB233" s="158"/>
      <c r="MC233" s="158"/>
      <c r="MD233" s="158"/>
      <c r="ME233" s="158"/>
      <c r="MF233" s="158"/>
      <c r="MG233" s="158"/>
      <c r="MH233" s="158"/>
      <c r="MI233" s="158"/>
      <c r="MJ233" s="158"/>
      <c r="MK233" s="158"/>
      <c r="ML233" s="158"/>
      <c r="MM233" s="158"/>
      <c r="MN233" s="158"/>
      <c r="MO233" s="158"/>
      <c r="MP233" s="158"/>
      <c r="MQ233" s="158"/>
      <c r="MR233" s="158"/>
      <c r="MS233" s="158"/>
      <c r="MT233" s="158"/>
      <c r="MU233" s="158"/>
      <c r="MV233" s="158"/>
      <c r="MW233" s="158"/>
      <c r="MX233" s="158"/>
      <c r="MY233" s="158"/>
      <c r="MZ233" s="158"/>
      <c r="NA233" s="158"/>
      <c r="NB233" s="158"/>
      <c r="NC233" s="158"/>
      <c r="ND233" s="158"/>
      <c r="NE233" s="158"/>
      <c r="NF233" s="158"/>
      <c r="NG233" s="158"/>
      <c r="NH233" s="158"/>
      <c r="NI233" s="158"/>
      <c r="NJ233" s="158"/>
      <c r="NK233" s="158"/>
      <c r="NL233" s="158"/>
      <c r="NM233" s="158"/>
      <c r="NN233" s="158"/>
      <c r="NO233" s="158"/>
      <c r="NP233" s="158"/>
      <c r="NQ233" s="158"/>
      <c r="NR233" s="158"/>
      <c r="NS233" s="158"/>
      <c r="NT233" s="158"/>
      <c r="NU233" s="158"/>
      <c r="NV233" s="158"/>
      <c r="NW233" s="158"/>
      <c r="NX233" s="158"/>
      <c r="NY233" s="158"/>
      <c r="NZ233" s="158"/>
      <c r="OA233" s="158"/>
      <c r="OB233" s="158"/>
      <c r="OC233" s="158"/>
      <c r="OD233" s="158"/>
      <c r="OE233" s="158"/>
      <c r="OF233" s="158"/>
      <c r="OG233" s="158"/>
      <c r="OH233" s="158"/>
      <c r="OI233" s="158"/>
      <c r="OJ233" s="158"/>
      <c r="OK233" s="158"/>
      <c r="OL233" s="158"/>
      <c r="OM233" s="158"/>
      <c r="ON233" s="158"/>
      <c r="OO233" s="158"/>
      <c r="OP233" s="158"/>
      <c r="OQ233" s="158"/>
      <c r="OR233" s="158"/>
      <c r="OS233" s="158"/>
      <c r="OT233" s="158"/>
      <c r="OU233" s="158"/>
      <c r="OV233" s="158"/>
      <c r="OW233" s="158"/>
      <c r="OX233" s="158"/>
      <c r="OY233" s="158"/>
      <c r="OZ233" s="158"/>
      <c r="PA233" s="158"/>
      <c r="PB233" s="158"/>
      <c r="PC233" s="158"/>
      <c r="PD233" s="158"/>
      <c r="PE233" s="158"/>
      <c r="PF233" s="158"/>
      <c r="PG233" s="158"/>
      <c r="PH233" s="158"/>
      <c r="PI233" s="158"/>
      <c r="PJ233" s="158"/>
      <c r="PK233" s="158"/>
      <c r="PL233" s="158"/>
      <c r="PM233" s="158"/>
      <c r="PN233" s="158"/>
      <c r="PO233" s="158"/>
      <c r="PP233" s="158"/>
      <c r="PQ233" s="158"/>
      <c r="PR233" s="158"/>
      <c r="PS233" s="158"/>
      <c r="PT233" s="158"/>
      <c r="PU233" s="158"/>
      <c r="PV233" s="158"/>
      <c r="PW233" s="158"/>
      <c r="PX233" s="158"/>
      <c r="PY233" s="158"/>
      <c r="PZ233" s="158"/>
      <c r="QA233" s="158"/>
      <c r="QB233" s="158"/>
      <c r="QC233" s="158"/>
      <c r="QD233" s="158"/>
      <c r="QE233" s="158"/>
      <c r="QF233" s="158"/>
      <c r="QG233" s="158"/>
      <c r="QH233" s="158"/>
      <c r="QI233" s="158"/>
      <c r="QJ233" s="158"/>
      <c r="QK233" s="158"/>
      <c r="QL233" s="158"/>
      <c r="QM233" s="158"/>
      <c r="QN233" s="158"/>
      <c r="QO233" s="158"/>
      <c r="QP233" s="158"/>
      <c r="QQ233" s="158"/>
      <c r="QR233" s="158"/>
      <c r="QS233" s="158"/>
      <c r="QT233" s="158"/>
      <c r="QU233" s="158"/>
      <c r="QV233" s="158"/>
      <c r="QW233" s="158"/>
      <c r="QX233" s="158"/>
      <c r="QY233" s="158"/>
      <c r="QZ233" s="158"/>
      <c r="RA233" s="158"/>
      <c r="RB233" s="158"/>
      <c r="RC233" s="158"/>
      <c r="RD233" s="158"/>
      <c r="RE233" s="158"/>
      <c r="RF233" s="158"/>
      <c r="RG233" s="158"/>
      <c r="RH233" s="158"/>
      <c r="RI233" s="158"/>
      <c r="RJ233" s="158"/>
      <c r="RK233" s="158"/>
      <c r="RL233" s="158"/>
      <c r="RM233" s="158"/>
      <c r="RN233" s="158"/>
      <c r="RO233" s="158"/>
      <c r="RP233" s="158"/>
      <c r="RQ233" s="158"/>
      <c r="RR233" s="158"/>
      <c r="RS233" s="158"/>
      <c r="RT233" s="158"/>
      <c r="RU233" s="158"/>
      <c r="RV233" s="158"/>
      <c r="RW233" s="158"/>
      <c r="RX233" s="158"/>
      <c r="RY233" s="158"/>
      <c r="RZ233" s="158"/>
      <c r="SA233" s="158"/>
      <c r="SB233" s="158"/>
      <c r="SC233" s="158"/>
      <c r="SD233" s="158"/>
      <c r="SE233" s="158"/>
      <c r="SF233" s="158"/>
      <c r="SG233" s="158"/>
      <c r="SH233" s="158"/>
      <c r="SI233" s="158"/>
      <c r="SJ233" s="158"/>
      <c r="SK233" s="158"/>
      <c r="SL233" s="158"/>
      <c r="SM233" s="158"/>
      <c r="SN233" s="158"/>
      <c r="SO233" s="158"/>
      <c r="SP233" s="158"/>
      <c r="SQ233" s="158"/>
      <c r="SR233" s="158"/>
      <c r="SS233" s="158"/>
    </row>
    <row r="234" spans="1:513" s="28" customFormat="1" ht="30" customHeight="1" x14ac:dyDescent="0.45">
      <c r="A234" s="56"/>
      <c r="B234" s="62"/>
      <c r="C234" s="62"/>
      <c r="D234" s="35"/>
      <c r="E234" s="47"/>
      <c r="F234" s="47"/>
      <c r="G234" s="47"/>
      <c r="H234" s="47"/>
      <c r="I234" s="47"/>
      <c r="J234" s="160"/>
      <c r="K234" s="47"/>
      <c r="L234" s="47"/>
      <c r="M234" s="47"/>
      <c r="N234" s="47"/>
      <c r="O234" s="47"/>
    </row>
    <row r="235" spans="1:513" s="161" customFormat="1" ht="31.5" x14ac:dyDescent="0.45">
      <c r="A235" s="159" t="s">
        <v>479</v>
      </c>
      <c r="B235" s="159"/>
      <c r="C235" s="159"/>
      <c r="D235" s="159"/>
      <c r="E235" s="160"/>
      <c r="F235" s="160"/>
      <c r="G235" s="160"/>
      <c r="H235" s="160"/>
      <c r="I235" s="160"/>
      <c r="J235" s="135"/>
      <c r="K235" s="160"/>
      <c r="L235" s="160"/>
      <c r="M235" s="160"/>
      <c r="N235" s="160"/>
      <c r="O235" s="160"/>
    </row>
    <row r="236" spans="1:513" s="136" customFormat="1" ht="36" customHeight="1" x14ac:dyDescent="0.4">
      <c r="A236" s="164" t="s">
        <v>574</v>
      </c>
      <c r="B236" s="164"/>
      <c r="C236" s="138"/>
      <c r="D236" s="139"/>
      <c r="E236" s="135"/>
      <c r="F236" s="135"/>
      <c r="G236" s="135"/>
      <c r="H236" s="135"/>
      <c r="I236" s="135"/>
      <c r="J236" s="143"/>
      <c r="K236" s="135"/>
      <c r="L236" s="135"/>
      <c r="M236" s="135"/>
      <c r="N236" s="135"/>
      <c r="O236" s="135"/>
    </row>
    <row r="237" spans="1:513" s="143" customFormat="1" ht="26.25" x14ac:dyDescent="0.4">
      <c r="A237" s="140"/>
      <c r="B237" s="141"/>
      <c r="C237" s="142"/>
      <c r="J237" s="4"/>
    </row>
    <row r="240" spans="1:513" x14ac:dyDescent="0.25">
      <c r="J240" s="163"/>
    </row>
    <row r="241" spans="4:15" x14ac:dyDescent="0.25">
      <c r="D241" s="163">
        <f>D226-'дод 3'!E291</f>
        <v>0</v>
      </c>
      <c r="E241" s="163">
        <f>E226-'дод 3'!F291</f>
        <v>0</v>
      </c>
      <c r="F241" s="163">
        <f>F226-'дод 3'!G291</f>
        <v>0</v>
      </c>
      <c r="G241" s="163">
        <f>G226-'дод 3'!H291</f>
        <v>0</v>
      </c>
      <c r="H241" s="163">
        <f>H226-'дод 3'!I291</f>
        <v>0</v>
      </c>
      <c r="I241" s="163">
        <f>I226-'дод 3'!J291</f>
        <v>0</v>
      </c>
      <c r="J241" s="163">
        <f>J226-'дод 3'!K291</f>
        <v>0</v>
      </c>
      <c r="K241" s="163">
        <f>K226-'дод 3'!L291</f>
        <v>0</v>
      </c>
      <c r="L241" s="163">
        <f>L226-'дод 3'!M291</f>
        <v>0</v>
      </c>
      <c r="M241" s="163">
        <f>M226-'дод 3'!N291</f>
        <v>0</v>
      </c>
      <c r="N241" s="163">
        <f>N226-'дод 3'!O291</f>
        <v>0</v>
      </c>
      <c r="O241" s="163">
        <f>O226-'дод 3'!P291</f>
        <v>0</v>
      </c>
    </row>
    <row r="242" spans="4:15" x14ac:dyDescent="0.25">
      <c r="D242" s="163">
        <f>D227-'дод 3'!E292</f>
        <v>0</v>
      </c>
      <c r="E242" s="163">
        <f>E227-'дод 3'!F292</f>
        <v>0</v>
      </c>
      <c r="F242" s="163">
        <f>F227-'дод 3'!G292</f>
        <v>0</v>
      </c>
      <c r="G242" s="163">
        <f>G227-'дод 3'!H292</f>
        <v>0</v>
      </c>
      <c r="H242" s="163">
        <f>H227-'дод 3'!I292</f>
        <v>0</v>
      </c>
      <c r="I242" s="163">
        <f>I227-'дод 3'!J292</f>
        <v>0</v>
      </c>
      <c r="J242" s="163">
        <f>J227-'дод 3'!K292</f>
        <v>0</v>
      </c>
      <c r="K242" s="163">
        <f>K227-'дод 3'!L292</f>
        <v>0</v>
      </c>
      <c r="L242" s="163">
        <f>L227-'дод 3'!M292</f>
        <v>0</v>
      </c>
      <c r="M242" s="163">
        <f>M227-'дод 3'!N292</f>
        <v>0</v>
      </c>
      <c r="N242" s="163">
        <f>N227-'дод 3'!O292</f>
        <v>0</v>
      </c>
      <c r="O242" s="163">
        <f>O227-'дод 3'!P292</f>
        <v>0</v>
      </c>
    </row>
    <row r="243" spans="4:15" x14ac:dyDescent="0.25">
      <c r="D243" s="163">
        <f>D228-'дод 3'!E293</f>
        <v>0</v>
      </c>
      <c r="E243" s="163">
        <f>E228-'дод 3'!F293</f>
        <v>0</v>
      </c>
      <c r="F243" s="163">
        <f>F228-'дод 3'!G293</f>
        <v>0</v>
      </c>
      <c r="G243" s="163">
        <f>G228-'дод 3'!H293</f>
        <v>0</v>
      </c>
      <c r="H243" s="163">
        <f>H228-'дод 3'!I293</f>
        <v>0</v>
      </c>
      <c r="I243" s="163">
        <f>I228-'дод 3'!J293</f>
        <v>0</v>
      </c>
      <c r="J243" s="163">
        <f>J228-'дод 3'!K293</f>
        <v>0</v>
      </c>
      <c r="K243" s="163">
        <f>K228-'дод 3'!L293</f>
        <v>0</v>
      </c>
      <c r="L243" s="163">
        <f>L228-'дод 3'!M293</f>
        <v>0</v>
      </c>
      <c r="M243" s="163">
        <f>M228-'дод 3'!N293</f>
        <v>0</v>
      </c>
      <c r="N243" s="163">
        <f>N228-'дод 3'!O293</f>
        <v>0</v>
      </c>
      <c r="O243" s="163">
        <f>O228-'дод 3'!P293</f>
        <v>0</v>
      </c>
    </row>
    <row r="244" spans="4:15" x14ac:dyDescent="0.25">
      <c r="D244" s="163">
        <f>D229-'дод 3'!E294</f>
        <v>0</v>
      </c>
      <c r="E244" s="163">
        <f>E229-'дод 3'!F294</f>
        <v>0</v>
      </c>
      <c r="F244" s="163">
        <f>F229-'дод 3'!G294</f>
        <v>0</v>
      </c>
      <c r="G244" s="163">
        <f>G229-'дод 3'!H294</f>
        <v>0</v>
      </c>
      <c r="H244" s="163">
        <f>H229-'дод 3'!I294</f>
        <v>0</v>
      </c>
      <c r="I244" s="163">
        <f>I229-'дод 3'!J294</f>
        <v>0</v>
      </c>
      <c r="J244" s="163">
        <f>J229-'дод 3'!K294</f>
        <v>0</v>
      </c>
      <c r="K244" s="163">
        <f>K229-'дод 3'!L294</f>
        <v>0</v>
      </c>
      <c r="L244" s="163">
        <f>L229-'дод 3'!M294</f>
        <v>0</v>
      </c>
      <c r="M244" s="163">
        <f>M229-'дод 3'!N294</f>
        <v>0</v>
      </c>
      <c r="N244" s="163">
        <f>N229-'дод 3'!O294</f>
        <v>0</v>
      </c>
      <c r="O244" s="163">
        <f>O229-'дод 3'!P294</f>
        <v>0</v>
      </c>
    </row>
  </sheetData>
  <mergeCells count="23">
    <mergeCell ref="A236:B236"/>
    <mergeCell ref="O14:O16"/>
    <mergeCell ref="J4:O4"/>
    <mergeCell ref="J5:O5"/>
    <mergeCell ref="J6:O6"/>
    <mergeCell ref="J8:O8"/>
    <mergeCell ref="I14:N14"/>
    <mergeCell ref="J1:O1"/>
    <mergeCell ref="A10:O10"/>
    <mergeCell ref="B14:B16"/>
    <mergeCell ref="C14:C16"/>
    <mergeCell ref="A14:A16"/>
    <mergeCell ref="D15:D16"/>
    <mergeCell ref="E15:E16"/>
    <mergeCell ref="F15:G15"/>
    <mergeCell ref="K15:K16"/>
    <mergeCell ref="H15:H16"/>
    <mergeCell ref="I15:I16"/>
    <mergeCell ref="L15:M15"/>
    <mergeCell ref="N15:N16"/>
    <mergeCell ref="D14:H14"/>
    <mergeCell ref="J3:O3"/>
    <mergeCell ref="J15:J16"/>
  </mergeCells>
  <phoneticPr fontId="3" type="noConversion"/>
  <printOptions horizontalCentered="1"/>
  <pageMargins left="0" right="0" top="0.86614173228346458" bottom="0.47244094488188981" header="0" footer="0.31496062992125984"/>
  <pageSetup paperSize="9" scale="44" fitToHeight="100" orientation="landscape" verticalDpi="300" r:id="rId1"/>
  <headerFooter scaleWithDoc="0" alignWithMargins="0">
    <oddHeader xml:space="preserve">&amp;R
</oddHeader>
    <oddFooter>&amp;R&amp;9Сторінка &amp;P</oddFooter>
  </headerFooter>
  <rowBreaks count="2" manualBreakCount="2">
    <brk id="169" max="14" man="1"/>
    <brk id="19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8</vt:lpstr>
      <vt:lpstr>'дод 3'!Заголовки_для_печати</vt:lpstr>
      <vt:lpstr>'дод 8'!Заголовки_для_печати</vt:lpstr>
      <vt:lpstr>'дод 3'!Область_печати</vt:lpstr>
      <vt:lpstr>'дод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2021-07-16T05:58:29Z</cp:lastPrinted>
  <dcterms:created xsi:type="dcterms:W3CDTF">2014-01-17T10:52:16Z</dcterms:created>
  <dcterms:modified xsi:type="dcterms:W3CDTF">2021-07-16T06:03:54Z</dcterms:modified>
</cp:coreProperties>
</file>