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913" firstSheet="2" activeTab="2"/>
  </bookViews>
  <sheets>
    <sheet name="дод. зміни 2021 " sheetId="1" state="hidden" r:id="rId1"/>
    <sheet name="дод. зміни 2020 1" sheetId="2" state="hidden" r:id="rId2"/>
    <sheet name="дод. зміни 2021  " sheetId="3" r:id="rId3"/>
    <sheet name="дод 2" sheetId="4" r:id="rId4"/>
    <sheet name="дод 3  Трансп.інфрастр.   " sheetId="5" r:id="rId5"/>
    <sheet name="дод 25  Заборг в тариф " sheetId="6" r:id="rId6"/>
    <sheet name="дод 4 Свет " sheetId="7" state="hidden" r:id="rId7"/>
    <sheet name="дод 5 озеленення  " sheetId="8" state="hidden" r:id="rId8"/>
    <sheet name="дод 6  Кладовища " sheetId="9" state="hidden" r:id="rId9"/>
    <sheet name="дод 7  сан очистка" sheetId="10" state="hidden" r:id="rId10"/>
    <sheet name="дод 8 Пот Благуострій" sheetId="11" state="hidden" r:id="rId11"/>
    <sheet name="дод 9  Тварини" sheetId="12" state="hidden" r:id="rId12"/>
    <sheet name="дод 10  Кап Благоустрою інші" sheetId="13" state="hidden" r:id="rId13"/>
    <sheet name="дод 11   кап ремонт житло. " sheetId="14" state="hidden" r:id="rId14"/>
    <sheet name="дод 12 Святкові   " sheetId="15" state="hidden" r:id="rId15"/>
    <sheet name="дод 13 інша діяльність 6090" sheetId="16" state="hidden" r:id="rId16"/>
    <sheet name="дод 14   Вода  " sheetId="17" state="hidden" r:id="rId17"/>
    <sheet name="дод 15  финпидтримка  " sheetId="18" state="hidden" r:id="rId18"/>
    <sheet name="дод 16  цільовий фонд " sheetId="19" state="hidden" r:id="rId19"/>
    <sheet name="дод 17  Енргозбер. заходи" sheetId="20" state="hidden" r:id="rId20"/>
    <sheet name="дод 18 статут зміцн.мат.тех." sheetId="21" state="hidden" r:id="rId21"/>
    <sheet name="дод 19  Субв. Сироватк (Крас " sheetId="22" state="hidden" r:id="rId22"/>
    <sheet name="дод 20  паспорт дом  " sheetId="23" state="hidden" r:id="rId23"/>
    <sheet name="дод.21 Буд.реставр. та реконстр" sheetId="24" state="hidden" r:id="rId24"/>
    <sheet name="дод 22 Поверн  бюдж позичок" sheetId="25" state="hidden" r:id="rId25"/>
  </sheets>
  <definedNames>
    <definedName name="_xlnm.Print_Area" localSheetId="14">'дод 12 Святкові   '!$A$1:$K$61</definedName>
    <definedName name="_xlnm.Print_Area" localSheetId="15">'дод 13 інша діяльність 6090'!$A$1:$K$79</definedName>
    <definedName name="_xlnm.Print_Area" localSheetId="17">'дод 15  финпидтримка  '!$A$1:$K$53</definedName>
    <definedName name="_xlnm.Print_Area" localSheetId="18">'дод 16  цільовий фонд '!$A$1:$K$27</definedName>
    <definedName name="_xlnm.Print_Area" localSheetId="20">'дод 18 статут зміцн.мат.тех.'!$A$1:$J$139</definedName>
    <definedName name="_xlnm.Print_Area" localSheetId="5">'дод 25  Заборг в тариф '!$A$1:$H$27</definedName>
    <definedName name="_xlnm.Print_Area" localSheetId="4">'дод 3  Трансп.інфрастр.   '!$A$1:$H$59</definedName>
    <definedName name="_xlnm.Print_Area" localSheetId="7">'дод 5 озеленення  '!$A$1:$K$90</definedName>
    <definedName name="_xlnm.Print_Area" localSheetId="2">'дод. зміни 2021  '!$A$1:$G$34</definedName>
    <definedName name="_xlnm.Print_Area" localSheetId="23">'дод.21 Буд.реставр. та реконстр'!$A$1:$S$70</definedName>
  </definedNames>
  <calcPr fullCalcOnLoad="1"/>
</workbook>
</file>

<file path=xl/sharedStrings.xml><?xml version="1.0" encoding="utf-8"?>
<sst xmlns="http://schemas.openxmlformats.org/spreadsheetml/2006/main" count="2032" uniqueCount="710">
  <si>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</si>
  <si>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</si>
  <si>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</si>
  <si>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</si>
  <si>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</si>
  <si>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</si>
  <si>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</si>
  <si>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</si>
  <si>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</si>
  <si>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</si>
  <si>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</si>
  <si>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</si>
  <si>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</si>
  <si>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</si>
  <si>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</si>
  <si>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</si>
  <si>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</si>
  <si>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</si>
  <si>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</si>
  <si>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</si>
  <si>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</si>
  <si>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</si>
  <si>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</si>
  <si>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</si>
  <si>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</si>
  <si>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</si>
  <si>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</si>
  <si>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</si>
  <si>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</si>
  <si>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</si>
  <si>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</si>
  <si>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</si>
  <si>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</si>
  <si>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</si>
  <si>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</si>
  <si>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</si>
  <si>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</si>
  <si>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</si>
  <si>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</si>
  <si>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</si>
  <si>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</si>
  <si>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</si>
  <si>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</si>
  <si>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</si>
  <si>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</si>
  <si>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</si>
  <si>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</si>
  <si>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</si>
  <si>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</si>
  <si>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</si>
  <si>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</si>
  <si>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</si>
  <si>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</si>
  <si>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</si>
  <si>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</si>
  <si>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</si>
  <si>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</si>
  <si>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</si>
  <si>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</si>
  <si>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</si>
  <si>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</si>
  <si>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</si>
  <si>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</si>
  <si>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</si>
  <si>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</si>
  <si>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</si>
  <si>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</si>
  <si>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</si>
  <si>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</si>
  <si>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</si>
  <si>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</si>
  <si>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</si>
  <si>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</si>
  <si>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</si>
  <si>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</si>
  <si>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</si>
  <si>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</si>
  <si>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</si>
  <si>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</si>
  <si>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</si>
  <si>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</si>
  <si>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</si>
  <si>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</si>
  <si>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</si>
  <si>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</si>
  <si>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</si>
  <si>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</si>
  <si>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</si>
  <si>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</si>
  <si>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</si>
  <si>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</si>
  <si>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</si>
  <si>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</si>
  <si>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</si>
  <si>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</si>
  <si>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</si>
  <si>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</si>
  <si>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</si>
  <si>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</si>
  <si>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</si>
  <si>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</si>
  <si>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</si>
  <si>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</si>
  <si>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</si>
  <si>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</si>
  <si>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</si>
  <si>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</si>
  <si>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</si>
  <si>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</si>
  <si>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</si>
  <si>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</si>
  <si>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</si>
  <si>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</si>
  <si>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</si>
  <si>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</si>
  <si>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</si>
  <si>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</si>
  <si>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</si>
  <si>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</si>
  <si>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</si>
  <si>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</si>
  <si>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</si>
  <si>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</si>
  <si>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</si>
  <si>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</si>
  <si>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</si>
  <si>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</si>
  <si>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</si>
  <si>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</si>
  <si>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</si>
  <si>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</si>
  <si>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</si>
  <si>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</si>
  <si>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</si>
  <si>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</si>
  <si>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</si>
  <si>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</si>
  <si>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</si>
  <si>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</si>
  <si>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</si>
  <si>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</si>
  <si>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</si>
  <si>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</si>
  <si>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</si>
  <si>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</si>
  <si>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</si>
  <si>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</si>
  <si>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</si>
  <si>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</si>
  <si>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</si>
  <si>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</si>
  <si>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</si>
  <si>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</si>
  <si>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</si>
  <si>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</si>
  <si>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</si>
  <si>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</si>
  <si>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</si>
  <si>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</si>
  <si>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</si>
  <si>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</si>
  <si>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</si>
  <si>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</si>
  <si>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</si>
  <si>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</si>
  <si>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</si>
  <si>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</si>
  <si>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</si>
  <si>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</si>
  <si>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</si>
  <si>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</si>
  <si>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</si>
  <si>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</si>
  <si>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</si>
  <si>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</si>
  <si>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</si>
  <si>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</si>
  <si>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</si>
  <si>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</si>
  <si>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</si>
  <si>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</si>
  <si>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</si>
  <si>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</si>
  <si>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</si>
  <si>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</si>
  <si>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</si>
  <si>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</si>
  <si>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</si>
  <si>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</si>
  <si>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</si>
  <si>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</si>
  <si>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</si>
  <si>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</si>
  <si>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</si>
  <si>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</si>
  <si>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</si>
  <si>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</si>
  <si>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</si>
  <si>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</si>
  <si>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</si>
  <si>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</si>
  <si>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</si>
  <si>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</si>
  <si>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</si>
  <si>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</si>
  <si>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</si>
  <si>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</si>
  <si>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</si>
  <si>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</si>
  <si>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</si>
  <si>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</si>
  <si>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</si>
  <si>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</si>
  <si>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</si>
  <si>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</si>
  <si>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</si>
  <si>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</si>
  <si>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</si>
  <si>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</si>
  <si>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</si>
  <si>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</si>
  <si>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</si>
  <si>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</si>
  <si>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</si>
  <si>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</si>
  <si>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</si>
  <si>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</si>
  <si>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</si>
  <si>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</si>
  <si>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</si>
  <si>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</si>
  <si>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</si>
  <si>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</si>
  <si>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</si>
  <si>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</si>
  <si>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</si>
  <si>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</si>
  <si>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</si>
  <si>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</si>
  <si>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</si>
  <si>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</si>
  <si>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</si>
  <si>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</si>
  <si>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</si>
  <si>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</si>
  <si>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</si>
  <si>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</si>
  <si>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</si>
  <si>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</si>
  <si>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</si>
  <si>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</si>
  <si>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</si>
  <si>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</si>
  <si>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</si>
  <si>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</si>
  <si>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20</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</si>
  <si>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</si>
  <si>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</si>
  <si>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</si>
  <si>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</si>
  <si>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</si>
  <si>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</si>
  <si>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</si>
  <si>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</si>
  <si>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</si>
  <si>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</si>
  <si>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</si>
  <si>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</si>
  <si>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</si>
  <si>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</si>
  <si>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</si>
  <si>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</si>
  <si>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</si>
  <si>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</si>
  <si>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</si>
  <si>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</si>
  <si>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</si>
  <si>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</si>
  <si>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</si>
  <si>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</si>
  <si>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</si>
  <si>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</si>
  <si>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</si>
  <si>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</si>
  <si>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</si>
  <si>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</si>
  <si>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</si>
  <si>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</si>
  <si>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</si>
  <si>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</si>
  <si>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</si>
  <si>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</si>
  <si>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</si>
  <si>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</si>
  <si>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</si>
  <si>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</si>
  <si>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</si>
  <si>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</si>
  <si>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</si>
  <si>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</si>
  <si>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</si>
  <si>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</si>
  <si>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</si>
  <si>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</si>
  <si>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</si>
  <si>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</si>
  <si>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</si>
  <si>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</si>
  <si>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</si>
  <si>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</si>
  <si>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</si>
  <si>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</si>
  <si>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</si>
  <si>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</si>
  <si>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</si>
  <si>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</si>
  <si>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</si>
  <si>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</si>
  <si>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</si>
  <si>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</si>
  <si>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</si>
  <si>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</si>
  <si>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</si>
  <si>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</si>
  <si>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</si>
  <si>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</si>
  <si>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</si>
  <si>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</si>
  <si>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</si>
  <si>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</si>
  <si>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</si>
  <si>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</si>
  <si>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</si>
  <si>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</si>
  <si>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</si>
  <si>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</si>
  <si>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</si>
  <si>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</si>
  <si>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</si>
  <si>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</si>
  <si>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</si>
  <si>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</si>
  <si>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</si>
  <si>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</si>
  <si>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</si>
  <si>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</si>
  <si>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</si>
  <si>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</si>
  <si>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</si>
  <si>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</si>
  <si>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</si>
  <si>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</si>
  <si>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</si>
  <si>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</si>
  <si>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</si>
  <si>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</si>
  <si>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</si>
  <si>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</si>
  <si>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</si>
  <si>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</si>
  <si>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</si>
  <si>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</si>
  <si>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</si>
  <si>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</si>
  <si>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</si>
  <si>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</si>
  <si>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</si>
  <si>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</si>
  <si>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</si>
  <si>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</si>
  <si>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</si>
  <si>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</si>
  <si>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</si>
  <si>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</si>
  <si>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</si>
  <si>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</si>
  <si>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</si>
  <si>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</si>
  <si>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</si>
  <si>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</si>
  <si>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</si>
  <si>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</si>
  <si>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</si>
  <si>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</si>
  <si>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</si>
  <si>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</si>
  <si>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</si>
  <si>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</si>
  <si>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</si>
  <si>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</si>
  <si>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</si>
  <si>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</si>
  <si>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</si>
  <si>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</si>
  <si>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</si>
  <si>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</si>
  <si>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</si>
  <si>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</si>
  <si>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</si>
  <si>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</si>
  <si>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</si>
  <si>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</si>
  <si>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</si>
  <si>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</si>
  <si>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</si>
  <si>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</si>
  <si>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</si>
  <si>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</si>
  <si>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</si>
  <si>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</si>
  <si>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</si>
  <si>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</si>
  <si>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</si>
  <si>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</si>
  <si>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</si>
  <si>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</si>
  <si>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</si>
  <si>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</si>
  <si>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</si>
  <si>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</si>
  <si>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</si>
  <si>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</si>
  <si>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</si>
  <si>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</si>
  <si>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</si>
  <si>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</si>
  <si>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</si>
  <si>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</si>
  <si>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</si>
  <si>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</si>
  <si>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</si>
  <si>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</si>
  <si>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</si>
  <si>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</si>
  <si>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</si>
  <si>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</si>
  <si>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</si>
  <si>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</si>
  <si>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</si>
  <si>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</si>
  <si>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</si>
  <si>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</si>
  <si>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</si>
  <si>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</si>
  <si>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</si>
  <si>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</si>
  <si>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</si>
  <si>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</si>
  <si>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</si>
  <si>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</si>
  <si>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</si>
  <si>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</si>
  <si>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</si>
  <si>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</si>
  <si>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</si>
  <si>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</si>
  <si>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</si>
  <si>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</si>
  <si>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</si>
  <si>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</si>
  <si>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</si>
  <si>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</si>
  <si>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</si>
  <si>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</si>
  <si>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</si>
  <si>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</si>
  <si>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</si>
  <si>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</si>
  <si>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</si>
  <si>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</si>
  <si>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</si>
  <si>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</si>
  <si>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</si>
  <si>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</si>
  <si>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</si>
  <si>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</si>
  <si>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</si>
  <si>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</si>
  <si>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</si>
  <si>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</si>
  <si>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</si>
  <si>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</si>
  <si>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сприятливих умов для співіснування людей та тварин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</si>
  <si>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</si>
  <si>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</si>
  <si>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</si>
  <si>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</si>
  <si>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</si>
  <si>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</si>
  <si>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</si>
  <si>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</si>
  <si>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</si>
  <si>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</si>
  <si>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</si>
  <si>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</si>
  <si>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</si>
  <si>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</si>
  <si>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</si>
  <si>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</si>
  <si>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</si>
  <si>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</si>
  <si>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</si>
  <si>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</si>
  <si>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</si>
  <si>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</si>
  <si>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</si>
  <si>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</si>
  <si>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</si>
  <si>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</si>
  <si>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</si>
  <si>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</si>
  <si>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</si>
  <si>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</si>
  <si>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</si>
  <si>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</si>
  <si>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</si>
  <si>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</si>
  <si>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</si>
  <si>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</si>
  <si>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</si>
  <si>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</si>
  <si>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</si>
  <si>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</si>
  <si>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</si>
  <si>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</si>
  <si>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</si>
  <si>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</si>
  <si>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</si>
  <si>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</si>
  <si>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</si>
  <si>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</si>
  <si>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</si>
  <si>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</si>
  <si>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</si>
  <si>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</si>
  <si>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</si>
  <si>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</si>
  <si>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</si>
  <si>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</si>
  <si>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</si>
  <si>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</si>
  <si>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</si>
  <si>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</si>
  <si>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</si>
  <si>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</si>
  <si>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</si>
  <si>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</si>
  <si>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</si>
  <si>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</si>
  <si>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</si>
  <si>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</si>
  <si>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</si>
  <si>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</si>
  <si>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</si>
  <si>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</si>
  <si>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</si>
  <si>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</si>
  <si>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</si>
  <si>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</si>
  <si>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</si>
  <si>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</si>
  <si>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</si>
  <si>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</si>
  <si>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</si>
  <si>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</si>
  <si>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</si>
  <si>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</si>
  <si>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</si>
  <si>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</si>
  <si>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</si>
  <si>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</si>
  <si>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</si>
  <si>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</si>
  <si>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</si>
  <si>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</si>
  <si>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</si>
  <si>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</si>
  <si>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</si>
  <si>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</si>
  <si>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</si>
  <si>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</si>
  <si>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</si>
  <si>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</si>
  <si>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</si>
  <si>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</si>
  <si>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 xml:space="preserve">на 2021- 2023  роки, затвердженої рішенням  </t>
  </si>
  <si>
    <t>Сумської міської ради</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</si>
  <si>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</si>
  <si>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</si>
  <si>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</si>
  <si>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</si>
  <si>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</si>
  <si>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</si>
  <si>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</si>
  <si>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</si>
  <si>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</si>
  <si>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Забезпечення проведення поточного ремонту вулично-дорожньої мережі та штучних споруд за рахунок субвенції з державного бюджету</t>
  </si>
  <si>
    <t>4</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</si>
  <si>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</si>
  <si>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</si>
  <si>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</si>
  <si>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</si>
  <si>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</si>
  <si>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</si>
  <si>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КПКВК 1216013</t>
  </si>
  <si>
    <t>Директор  Департаменту</t>
  </si>
  <si>
    <t>Поточний ремонт стаціонарних туалетів на Ново-Центральному Баранівському кладовищі м.Суми</t>
  </si>
  <si>
    <t>сплату боргу за 2020 рік по орендній платі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</si>
  <si>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</si>
  <si>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</si>
  <si>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</si>
  <si>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</si>
  <si>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</si>
  <si>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</si>
  <si>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</si>
  <si>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Забезпечення функціонування мереж зовнішнього освітлення Сумської міської територіальної громади на 2021 - 2023 роки, в тому числі в приватному секторі</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</si>
  <si>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 в тому числі в приватному секторі</t>
  </si>
  <si>
    <t>Забезпечення санітарної очистки території Сумської міської територіальної громади на 2021 - 2023 роки, в тому числі в приватному секторі</t>
  </si>
  <si>
    <t>Інша діяльність у сфері житлово-комунального господарства на 2021 - 2023 роки, в тому числі в приватному секторі</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</si>
  <si>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</si>
  <si>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</si>
  <si>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</si>
  <si>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</si>
  <si>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</si>
  <si>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Фінансова підтримка  КП "Сумикомунінвест" СМР  в т.ч.</t>
  </si>
  <si>
    <t xml:space="preserve">Департамент інфраструктури міста СМР,  КП «Сумикомунінвест» СМР </t>
  </si>
  <si>
    <t xml:space="preserve">придбання кущоріза </t>
  </si>
  <si>
    <t>придбання мотокоси</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</si>
  <si>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</si>
  <si>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</si>
  <si>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</si>
  <si>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</si>
  <si>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</si>
  <si>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</si>
  <si>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</si>
  <si>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</si>
  <si>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</si>
  <si>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 xml:space="preserve">Капітальний ремонт об’єктів благоустрою </t>
  </si>
  <si>
    <t xml:space="preserve">Забезпечення проведення поточного ремонту вулично-дорожньої мережі та штучних споруд за рахунок субвенції з місцевого бюджету </t>
  </si>
  <si>
    <t>в тому числі кошти субвенції з державного бюджету місцевим бюджетам</t>
  </si>
  <si>
    <t>Реставрація пам'яток культури, історії та архітектури,</t>
  </si>
  <si>
    <t xml:space="preserve">Реконструкція інших об’єктів  </t>
  </si>
  <si>
    <t>Бюджет ТГ та державний бюджет</t>
  </si>
  <si>
    <t>Надання та повернення бюджетних позичок на поворотній основі</t>
  </si>
  <si>
    <t xml:space="preserve">Бюджет ТГ </t>
  </si>
  <si>
    <t>Надання та повернення бюджетних позичок на поворотній основі на 2021 - 2023 роки</t>
  </si>
  <si>
    <t>Надання бюджетних позичок на поворотній основі</t>
  </si>
  <si>
    <t xml:space="preserve">Забезпечення проведення поточного ремонту вулично-дорожньої мережі та штучних споруд за рахунок субвенції з інших бюджетів </t>
  </si>
  <si>
    <t>Інші бюджети</t>
  </si>
  <si>
    <t xml:space="preserve">від 29 вересня 2021 року № 1592 - МР </t>
  </si>
  <si>
    <t>Секретар Сумської міської ради</t>
  </si>
  <si>
    <t>Олег РЄЗНІК</t>
  </si>
  <si>
    <t>погашення податкового боргу з рентної плати</t>
  </si>
  <si>
    <t>погашення поточної заборгованості по електроенергії</t>
  </si>
  <si>
    <t>6.</t>
  </si>
  <si>
    <t>Фінансова підтримка  КП "Сумитеплоенергоцентраль" СМР  в т.ч.</t>
  </si>
  <si>
    <t>поточні видатки</t>
  </si>
  <si>
    <t xml:space="preserve">Департамент інфраструктури міста СМР,  КП «Сумитеплоенергоцентраль» СМР </t>
  </si>
  <si>
    <t>Поповнення статутного капіталу КП "Центр догляду за тваринами" СМР (придбання утилізатора термічного)</t>
  </si>
  <si>
    <t>Додаток 8</t>
  </si>
  <si>
    <t>в тому числі кошти субвенції з інших бюджетів</t>
  </si>
  <si>
    <t>Кошти інших бюджетів</t>
  </si>
  <si>
    <t>Капітальний ремонт об'єктів благоустрою</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</si>
  <si>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 (програма "Енергодім")</t>
  </si>
  <si>
    <t>дод 3</t>
  </si>
  <si>
    <t>КПКВК 1216030</t>
  </si>
  <si>
    <t>Капітальний ремонт сходів та підпірних стінок</t>
  </si>
  <si>
    <t>дод 4</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</si>
  <si>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</si>
  <si>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14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</si>
  <si>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r>
      <t>Поточний ремонт зовнішніх мереж водовідведення</t>
    </r>
    <r>
      <rPr>
        <sz val="11"/>
        <color indexed="10"/>
        <rFont val="Times New Roman"/>
        <family val="1"/>
      </rPr>
      <t xml:space="preserve"> </t>
    </r>
  </si>
  <si>
    <t>ж</t>
  </si>
  <si>
    <t xml:space="preserve">Порівняльна таблиця змін до  "Комплексної цільової програми реформування і розвитку житлово-комунального господарства Сумської міської територіальної громади                                                                                                                                                                 на  2021-2023 роки", затвердженої рішенням Сумської міської ради від 24 грудня 2020 року № 84-МР. </t>
  </si>
  <si>
    <t>Виконавець: Олександр ЖУРБА</t>
  </si>
  <si>
    <t>Олександр ЛИСЕНКО</t>
  </si>
  <si>
    <t>Додаток 15</t>
  </si>
  <si>
    <t>Додаток  16</t>
  </si>
  <si>
    <t>Додаток  17</t>
  </si>
  <si>
    <t>Додаток 19</t>
  </si>
  <si>
    <t>Олександр ЖУРБА</t>
  </si>
  <si>
    <t xml:space="preserve">додаток 10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</si>
  <si>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Управління капітального будівництва та дорожнього господарства СМР, Департамент інфраструктури міста СМР та ішні суб'єкти господарювання</t>
  </si>
  <si>
    <t>Департамент інфраструктури міста СМР,  Виконавчий комітет СМР,           КП "Сумижитло" СМР,                           КП "Міськводоканал" СМР,                          КП "Сумитеплоенергоцентраль" СМР</t>
  </si>
  <si>
    <t>Департамент інфраструктури міста СМР,  КП "Міськводоканал" СМР,                             КП "Сумитеплоенергоцентраль" СМР</t>
  </si>
  <si>
    <t>косіння та прибирання трави на території дитячого парку "Казка"</t>
  </si>
  <si>
    <r>
      <t>Поточний ремонт зовнішніх мереж водовідведення</t>
    </r>
    <r>
      <rPr>
        <sz val="14"/>
        <color indexed="10"/>
        <rFont val="Times New Roman"/>
        <family val="1"/>
      </rPr>
      <t xml:space="preserve"> </t>
    </r>
    <r>
      <rPr>
        <sz val="14"/>
        <rFont val="Times New Roman"/>
        <family val="1"/>
      </rPr>
      <t>(водопостачання), каналізаційних колодязів</t>
    </r>
  </si>
  <si>
    <t>Поточний ремонт зовнішніх мереж водовідведення (водопостачання), каналізаційних колодязів</t>
  </si>
  <si>
    <t>від   01 грудня  2021 року № 2535  - МР</t>
  </si>
  <si>
    <t>на сплату заборгованості за 2021 рік орендної плати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</si>
  <si>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від                грудня  2021 року №             - МР</t>
  </si>
  <si>
    <t xml:space="preserve">від                        2021 року №                 - МР </t>
  </si>
  <si>
    <t xml:space="preserve">дод 5 </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</si>
  <si>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тощо.)за рахунок субвенції з державного бюджету</t>
  </si>
  <si>
    <t>КПКВК 1217462</t>
  </si>
  <si>
    <t>Додаток  6</t>
  </si>
  <si>
    <t>від             грудня  2021 року №                - МР</t>
  </si>
  <si>
    <t>Додаток  8</t>
  </si>
  <si>
    <t xml:space="preserve">додаток 13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</si>
  <si>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КПКВК 1216090</t>
  </si>
  <si>
    <t>12</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</si>
  <si>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2021 рік»</t>
  </si>
  <si>
    <r>
      <t>П</t>
    </r>
    <r>
      <rPr>
        <sz val="11"/>
        <color indexed="8"/>
        <rFont val="Times New Roman"/>
        <family val="1"/>
      </rPr>
      <t xml:space="preserve">огашення заборгованості з різниці в тарифах, що підлягає урегулюванню згідно із </t>
    </r>
    <r>
      <rPr>
        <sz val="11"/>
        <rFont val="Times New Roman"/>
        <family val="1"/>
      </rPr>
      <t>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2021 рік»</t>
    </r>
  </si>
  <si>
    <t xml:space="preserve">додаток 25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</si>
  <si>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 17 грудня  2021 року №  2555  - МР</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</si>
  <si>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2021 рік</t>
  </si>
  <si>
    <t xml:space="preserve">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t>
  </si>
  <si>
    <t xml:space="preserve"> Департамент інфраструктури міста СМР,  Акціонерне товариство «Сумське машинобудівне науково-виробниче об’єднання»,  Сумський національний аграрний університет</t>
  </si>
  <si>
    <t>від 17 грудня  2021 року № 2555  - МР</t>
  </si>
  <si>
    <t>КПКВК 1216072</t>
  </si>
  <si>
    <t>дод4</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</si>
</sst>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 numFmtId="196" formatCode="_-* #,##0.0\ _₴_-;\-* #,##0.0\ _₴_-;_-* &quot;-&quot;?\ _₴_-;_-@_-"/>
    <numFmt numFmtId="197" formatCode="0.000"/>
    <numFmt numFmtId="198" formatCode="0.0000"/>
    <numFmt numFmtId="199" formatCode="_-* #,##0\ _₴_-;\-* #,##0\ _₴_-;_-* &quot;-&quot;?\ _₴_-;_-@_-"/>
  </numFmts>
  <fonts count="73">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4"/>
      <color indexed="10"/>
      <name val="Times New Roman"/>
      <family val="1"/>
    </font>
    <font>
      <sz val="11"/>
      <color indexed="10"/>
      <name val="Times New Roman"/>
      <family val="1"/>
    </font>
    <font>
      <b/>
      <sz val="18"/>
      <name val="Times New Roman"/>
      <family val="1"/>
    </font>
    <font>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0" borderId="0">
      <alignment/>
      <protection/>
    </xf>
    <xf numFmtId="0" fontId="5"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86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70"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70" fillId="37" borderId="10" xfId="0" applyFont="1" applyFill="1" applyBorder="1" applyAlignment="1">
      <alignment horizontal="left" wrapText="1"/>
    </xf>
    <xf numFmtId="0" fontId="70"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70"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4" fontId="71"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72"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71"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70"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70"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70" fillId="37" borderId="15" xfId="0" applyFont="1" applyFill="1" applyBorder="1" applyAlignment="1">
      <alignment horizontal="left" vertical="center" wrapText="1"/>
    </xf>
    <xf numFmtId="0" fontId="1" fillId="38" borderId="11" xfId="0" applyFont="1" applyFill="1" applyBorder="1" applyAlignment="1">
      <alignment wrapText="1"/>
    </xf>
    <xf numFmtId="0" fontId="72"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70"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71"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71"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71"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7" borderId="10" xfId="53" applyFont="1" applyFill="1" applyBorder="1" applyAlignment="1">
      <alignment horizontal="center" vertical="center" wrapText="1"/>
      <protection/>
    </xf>
    <xf numFmtId="49" fontId="6" fillId="7" borderId="10" xfId="53" applyNumberFormat="1" applyFont="1" applyFill="1" applyBorder="1" applyAlignment="1">
      <alignment horizontal="center" vertical="center" wrapText="1"/>
      <protection/>
    </xf>
    <xf numFmtId="2" fontId="6" fillId="7" borderId="10" xfId="53" applyNumberFormat="1" applyFont="1" applyFill="1" applyBorder="1" applyAlignment="1">
      <alignment horizontal="center" vertical="center" wrapText="1"/>
      <protection/>
    </xf>
    <xf numFmtId="0" fontId="0" fillId="7" borderId="0" xfId="53" applyFill="1">
      <alignment/>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4" fontId="1" fillId="0" borderId="12" xfId="53" applyNumberFormat="1" applyFont="1" applyBorder="1" applyAlignment="1">
      <alignment horizontal="center" vertical="center" wrapText="1"/>
      <protection/>
    </xf>
    <xf numFmtId="0" fontId="6" fillId="0" borderId="15" xfId="53" applyFont="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71" fillId="37" borderId="13" xfId="53" applyNumberFormat="1"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2" fontId="6" fillId="37" borderId="10" xfId="53" applyNumberFormat="1" applyFont="1" applyFill="1" applyBorder="1">
      <alignment/>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0" xfId="53" applyFont="1" applyFill="1" applyAlignment="1">
      <alignment horizontal="left"/>
      <protection/>
    </xf>
    <xf numFmtId="0" fontId="2" fillId="37" borderId="0" xfId="0" applyFont="1" applyFill="1" applyAlignment="1">
      <alignment horizontal="left" wrapText="1"/>
    </xf>
    <xf numFmtId="0" fontId="6" fillId="37" borderId="0" xfId="0" applyFont="1" applyFill="1" applyAlignment="1">
      <alignment/>
    </xf>
    <xf numFmtId="0" fontId="6" fillId="37" borderId="11" xfId="54" applyFont="1" applyFill="1" applyBorder="1" applyAlignment="1">
      <alignment horizontal="right" vertical="center" wrapText="1"/>
      <protection/>
    </xf>
    <xf numFmtId="0" fontId="1" fillId="37" borderId="10"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2" fillId="37" borderId="0" xfId="53" applyFont="1" applyFill="1" applyAlignment="1">
      <alignment horizontal="left"/>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vertical="center" wrapText="1"/>
      <protection/>
    </xf>
    <xf numFmtId="49" fontId="6" fillId="37" borderId="13" xfId="53" applyNumberFormat="1" applyFont="1" applyFill="1" applyBorder="1" applyAlignment="1">
      <alignment horizontal="right" vertical="center" wrapText="1"/>
      <protection/>
    </xf>
    <xf numFmtId="0" fontId="6" fillId="7" borderId="10" xfId="53" applyFont="1" applyFill="1" applyBorder="1" applyAlignment="1">
      <alignment horizontal="right" vertical="center" wrapText="1"/>
      <protection/>
    </xf>
    <xf numFmtId="49" fontId="2" fillId="0" borderId="10" xfId="53" applyNumberFormat="1" applyFont="1" applyBorder="1" applyAlignment="1">
      <alignment horizontal="center" vertical="center" wrapText="1"/>
      <protection/>
    </xf>
    <xf numFmtId="0" fontId="6" fillId="33" borderId="10" xfId="53" applyFont="1" applyFill="1" applyBorder="1" applyAlignment="1">
      <alignment horizontal="right" vertical="center" wrapText="1"/>
      <protection/>
    </xf>
    <xf numFmtId="0" fontId="1" fillId="0" borderId="0" xfId="53" applyFont="1" applyAlignment="1">
      <alignment/>
      <protection/>
    </xf>
    <xf numFmtId="178" fontId="1" fillId="0" borderId="12" xfId="0"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2" fillId="37" borderId="12" xfId="53" applyNumberFormat="1" applyFont="1" applyFill="1" applyBorder="1" applyAlignment="1">
      <alignment horizontal="right" vertical="center" wrapText="1"/>
      <protection/>
    </xf>
    <xf numFmtId="0" fontId="19" fillId="0" borderId="13" xfId="53" applyFont="1" applyBorder="1" applyAlignment="1">
      <alignment horizontal="left" vertical="center" wrapText="1"/>
      <protection/>
    </xf>
    <xf numFmtId="0" fontId="19" fillId="37" borderId="10" xfId="53" applyFont="1" applyFill="1" applyBorder="1" applyAlignment="1">
      <alignment horizontal="left" vertical="center" wrapText="1"/>
      <protection/>
    </xf>
    <xf numFmtId="0" fontId="1" fillId="0" borderId="0" xfId="53" applyFont="1" applyAlignment="1">
      <alignment wrapText="1"/>
      <protection/>
    </xf>
    <xf numFmtId="49" fontId="2" fillId="37" borderId="10" xfId="53" applyNumberFormat="1" applyFont="1" applyFill="1" applyBorder="1" applyAlignment="1">
      <alignment horizontal="right" vertical="center" wrapText="1"/>
      <protection/>
    </xf>
    <xf numFmtId="0" fontId="7" fillId="0" borderId="0" xfId="0" applyFont="1" applyAlignment="1">
      <alignment wrapText="1"/>
    </xf>
    <xf numFmtId="0" fontId="7" fillId="0" borderId="10" xfId="0" applyFont="1" applyBorder="1" applyAlignment="1">
      <alignment wrapText="1"/>
    </xf>
    <xf numFmtId="49" fontId="3" fillId="37" borderId="12" xfId="53" applyNumberFormat="1" applyFont="1" applyFill="1" applyBorder="1" applyAlignment="1">
      <alignment horizontal="right" vertical="center" wrapText="1"/>
      <protection/>
    </xf>
    <xf numFmtId="0" fontId="7" fillId="0" borderId="10" xfId="53" applyFont="1" applyBorder="1" applyAlignment="1">
      <alignment wrapText="1"/>
      <protection/>
    </xf>
    <xf numFmtId="0" fontId="6" fillId="37" borderId="11" xfId="53" applyFont="1" applyFill="1" applyBorder="1">
      <alignment/>
      <protection/>
    </xf>
    <xf numFmtId="49" fontId="19" fillId="37" borderId="12" xfId="53" applyNumberFormat="1" applyFont="1" applyFill="1" applyBorder="1" applyAlignment="1">
      <alignment horizontal="right" vertical="center" wrapText="1"/>
      <protection/>
    </xf>
    <xf numFmtId="49" fontId="7" fillId="37" borderId="10" xfId="53" applyNumberFormat="1" applyFont="1" applyFill="1" applyBorder="1" applyAlignment="1">
      <alignment horizontal="left" vertical="center" wrapText="1"/>
      <protection/>
    </xf>
    <xf numFmtId="49" fontId="7" fillId="37" borderId="12" xfId="53" applyNumberFormat="1" applyFont="1" applyFill="1" applyBorder="1" applyAlignment="1">
      <alignment horizontal="right" vertical="center" wrapText="1"/>
      <protection/>
    </xf>
    <xf numFmtId="194" fontId="19" fillId="37" borderId="10" xfId="53" applyNumberFormat="1" applyFont="1" applyFill="1" applyBorder="1" applyAlignment="1">
      <alignment horizontal="center" vertical="center" wrapText="1"/>
      <protection/>
    </xf>
    <xf numFmtId="194" fontId="7" fillId="37" borderId="12" xfId="62" applyNumberFormat="1" applyFont="1" applyFill="1" applyBorder="1" applyAlignment="1">
      <alignment horizontal="center" vertical="center" wrapText="1"/>
    </xf>
    <xf numFmtId="0" fontId="7" fillId="33" borderId="10" xfId="53" applyFont="1" applyFill="1" applyBorder="1" applyAlignment="1">
      <alignment wrapText="1"/>
      <protection/>
    </xf>
    <xf numFmtId="178" fontId="19" fillId="37" borderId="10" xfId="53" applyNumberFormat="1" applyFont="1" applyFill="1" applyBorder="1" applyAlignment="1">
      <alignment horizontal="right" vertical="center" wrapText="1"/>
      <protection/>
    </xf>
    <xf numFmtId="178" fontId="19" fillId="37" borderId="10" xfId="62" applyNumberFormat="1" applyFont="1" applyFill="1" applyBorder="1" applyAlignment="1">
      <alignment horizontal="right" vertical="center" wrapText="1"/>
    </xf>
    <xf numFmtId="0" fontId="19" fillId="0" borderId="10" xfId="53" applyFont="1" applyBorder="1" applyAlignment="1">
      <alignment horizontal="left" vertical="center" wrapText="1"/>
      <protection/>
    </xf>
    <xf numFmtId="0" fontId="19" fillId="37" borderId="10" xfId="53" applyFont="1" applyFill="1" applyBorder="1" applyAlignment="1">
      <alignment vertical="center" wrapText="1"/>
      <protection/>
    </xf>
    <xf numFmtId="178" fontId="7" fillId="0" borderId="10" xfId="0" applyNumberFormat="1" applyFont="1" applyBorder="1" applyAlignment="1">
      <alignment wrapText="1"/>
    </xf>
    <xf numFmtId="0" fontId="19" fillId="37" borderId="13" xfId="53" applyFont="1" applyFill="1" applyBorder="1" applyAlignment="1">
      <alignment vertical="center" wrapText="1"/>
      <protection/>
    </xf>
    <xf numFmtId="49" fontId="3" fillId="37" borderId="10" xfId="53" applyNumberFormat="1" applyFont="1" applyFill="1" applyBorder="1" applyAlignment="1">
      <alignment horizontal="right" vertical="center" wrapText="1"/>
      <protection/>
    </xf>
    <xf numFmtId="0" fontId="7" fillId="33" borderId="0" xfId="53" applyFont="1" applyFill="1" applyAlignment="1">
      <alignment wrapText="1"/>
      <protection/>
    </xf>
    <xf numFmtId="177" fontId="28" fillId="37" borderId="0" xfId="62" applyFont="1" applyFill="1" applyAlignment="1">
      <alignment/>
    </xf>
    <xf numFmtId="182"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2" fontId="7" fillId="33" borderId="10" xfId="53" applyNumberFormat="1" applyFont="1" applyFill="1" applyBorder="1" applyAlignment="1">
      <alignment wrapText="1"/>
      <protection/>
    </xf>
    <xf numFmtId="2" fontId="19" fillId="37" borderId="10" xfId="53" applyNumberFormat="1" applyFont="1" applyFill="1" applyBorder="1" applyAlignment="1">
      <alignment horizontal="right" vertical="center" wrapText="1"/>
      <protection/>
    </xf>
    <xf numFmtId="2" fontId="2" fillId="37" borderId="10" xfId="53" applyNumberFormat="1" applyFont="1" applyFill="1" applyBorder="1" applyAlignment="1">
      <alignment horizontal="right" vertical="center" wrapText="1"/>
      <protection/>
    </xf>
    <xf numFmtId="2" fontId="19" fillId="37" borderId="10" xfId="62" applyNumberFormat="1" applyFont="1" applyFill="1" applyBorder="1" applyAlignment="1">
      <alignment horizontal="right"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177" fontId="31" fillId="37" borderId="0" xfId="62" applyFont="1" applyFill="1" applyBorder="1" applyAlignment="1">
      <alignment horizontal="center" vertical="center" wrapText="1"/>
    </xf>
    <xf numFmtId="177" fontId="32" fillId="37" borderId="0" xfId="62" applyFont="1" applyFill="1" applyBorder="1" applyAlignment="1">
      <alignment horizontal="center" vertical="center" wrapText="1"/>
    </xf>
    <xf numFmtId="0" fontId="1" fillId="37" borderId="12" xfId="0" applyFont="1" applyFill="1" applyBorder="1" applyAlignment="1">
      <alignment horizontal="center" vertical="center" wrapText="1"/>
    </xf>
    <xf numFmtId="182" fontId="2" fillId="37" borderId="12" xfId="53" applyNumberFormat="1" applyFont="1" applyFill="1" applyBorder="1" applyAlignment="1">
      <alignment horizontal="center" vertical="center" wrapText="1"/>
      <protection/>
    </xf>
    <xf numFmtId="2" fontId="1" fillId="37" borderId="10" xfId="53" applyNumberFormat="1" applyFont="1" applyFill="1" applyBorder="1" applyAlignment="1">
      <alignment horizontal="center" vertical="center" wrapText="1"/>
      <protection/>
    </xf>
    <xf numFmtId="0" fontId="6" fillId="0" borderId="13" xfId="0" applyFont="1" applyBorder="1" applyAlignment="1">
      <alignment horizontal="center" vertical="top" wrapText="1"/>
    </xf>
    <xf numFmtId="2" fontId="7" fillId="37" borderId="12" xfId="62" applyNumberFormat="1" applyFont="1" applyFill="1" applyBorder="1" applyAlignment="1">
      <alignment horizontal="right" vertical="center" wrapText="1"/>
    </xf>
    <xf numFmtId="4" fontId="6" fillId="37" borderId="12" xfId="53" applyNumberFormat="1" applyFont="1" applyFill="1" applyBorder="1" applyAlignment="1">
      <alignment horizontal="center"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2" fontId="1" fillId="37" borderId="10" xfId="0" applyNumberFormat="1" applyFont="1" applyFill="1" applyBorder="1" applyAlignment="1">
      <alignment horizontal="center" vertical="center"/>
    </xf>
    <xf numFmtId="180" fontId="6" fillId="37" borderId="12" xfId="0" applyNumberFormat="1" applyFont="1" applyFill="1" applyBorder="1" applyAlignment="1">
      <alignment horizontal="center" vertical="center" wrapText="1"/>
    </xf>
    <xf numFmtId="0" fontId="2" fillId="37" borderId="0" xfId="53" applyFont="1" applyFill="1" applyAlignment="1">
      <alignment horizontal="left"/>
      <protection/>
    </xf>
    <xf numFmtId="49" fontId="19" fillId="37" borderId="12" xfId="53" applyNumberFormat="1" applyFont="1" applyFill="1" applyBorder="1" applyAlignment="1">
      <alignment horizontal="righ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194" fontId="19" fillId="37" borderId="13" xfId="53" applyNumberFormat="1" applyFont="1" applyFill="1" applyBorder="1" applyAlignment="1">
      <alignment horizontal="center" vertical="center" wrapText="1"/>
      <protection/>
    </xf>
    <xf numFmtId="2" fontId="19" fillId="37" borderId="21" xfId="62" applyNumberFormat="1" applyFont="1" applyFill="1" applyBorder="1" applyAlignment="1">
      <alignment horizontal="right" vertical="center" wrapText="1"/>
    </xf>
    <xf numFmtId="194" fontId="19" fillId="37" borderId="12" xfId="53" applyNumberFormat="1" applyFont="1" applyFill="1" applyBorder="1" applyAlignment="1">
      <alignment horizontal="center" vertical="center" wrapText="1"/>
      <protection/>
    </xf>
    <xf numFmtId="194" fontId="7" fillId="37" borderId="10" xfId="62" applyNumberFormat="1" applyFont="1" applyFill="1" applyBorder="1" applyAlignment="1">
      <alignment horizontal="center" vertical="center" wrapText="1"/>
    </xf>
    <xf numFmtId="49" fontId="19" fillId="37" borderId="10" xfId="53" applyNumberFormat="1" applyFont="1" applyFill="1" applyBorder="1" applyAlignment="1">
      <alignment horizontal="center" vertical="center" wrapText="1"/>
      <protection/>
    </xf>
    <xf numFmtId="0" fontId="19" fillId="37" borderId="13" xfId="53" applyFont="1" applyFill="1" applyBorder="1" applyAlignment="1">
      <alignment horizontal="left" vertical="center" wrapText="1"/>
      <protection/>
    </xf>
    <xf numFmtId="177" fontId="19" fillId="37" borderId="10" xfId="62" applyFont="1" applyFill="1" applyBorder="1" applyAlignment="1">
      <alignment horizontal="center" vertical="center" wrapText="1"/>
    </xf>
    <xf numFmtId="0" fontId="3" fillId="0" borderId="10" xfId="53" applyFont="1" applyBorder="1" applyAlignment="1">
      <alignment horizontal="left" vertical="center" wrapText="1"/>
      <protection/>
    </xf>
    <xf numFmtId="0" fontId="2" fillId="37" borderId="0" xfId="53" applyFont="1" applyFill="1" applyAlignment="1">
      <alignment horizontal="left"/>
      <protection/>
    </xf>
    <xf numFmtId="0" fontId="6"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1"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1" fillId="0" borderId="0" xfId="53" applyFont="1" applyAlignment="1">
      <alignment horizontal="center" vertical="center" wrapText="1"/>
      <protection/>
    </xf>
    <xf numFmtId="0" fontId="19" fillId="0" borderId="13" xfId="53" applyFont="1" applyBorder="1" applyAlignment="1">
      <alignment horizontal="center" vertical="center" wrapText="1"/>
      <protection/>
    </xf>
    <xf numFmtId="0" fontId="19" fillId="0" borderId="14" xfId="53" applyFont="1" applyBorder="1" applyAlignment="1">
      <alignment horizontal="center" vertical="center" wrapText="1"/>
      <protection/>
    </xf>
    <xf numFmtId="0" fontId="19" fillId="0" borderId="12" xfId="53" applyFont="1" applyBorder="1" applyAlignment="1">
      <alignment horizontal="center" vertical="center" wrapText="1"/>
      <protection/>
    </xf>
    <xf numFmtId="0" fontId="19" fillId="0" borderId="10" xfId="53" applyFont="1" applyBorder="1" applyAlignment="1">
      <alignment horizontal="center" vertical="center" wrapText="1"/>
      <protection/>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6" fillId="0" borderId="0" xfId="53" applyFont="1" applyBorder="1" applyAlignment="1">
      <alignment wrapText="1"/>
      <protection/>
    </xf>
    <xf numFmtId="0" fontId="27" fillId="37" borderId="0" xfId="53" applyFont="1" applyFill="1" applyAlignment="1">
      <alignment horizontal="center"/>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37" borderId="0" xfId="53" applyFont="1" applyFill="1" applyAlignment="1">
      <alignment horizontal="left"/>
      <protection/>
    </xf>
    <xf numFmtId="0" fontId="2" fillId="37" borderId="0" xfId="0" applyFont="1" applyFill="1" applyAlignment="1">
      <alignment horizontal="left" wrapText="1"/>
    </xf>
    <xf numFmtId="0" fontId="1" fillId="0" borderId="0" xfId="53" applyFont="1" applyAlignment="1">
      <alignment horizontal="center" wrapText="1"/>
      <protection/>
    </xf>
    <xf numFmtId="0" fontId="6" fillId="0" borderId="10"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2" xfId="53" applyFont="1" applyBorder="1" applyAlignment="1">
      <alignment horizontal="center" vertical="center" wrapText="1"/>
      <protection/>
    </xf>
    <xf numFmtId="0" fontId="2" fillId="0" borderId="0" xfId="0" applyFont="1" applyAlignment="1">
      <alignment horizontal="left" wrapText="1"/>
    </xf>
    <xf numFmtId="0" fontId="2" fillId="0" borderId="0" xfId="53" applyFont="1" applyAlignment="1">
      <alignment horizontal="left"/>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37" borderId="24"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27" fillId="0" borderId="0" xfId="0" applyFont="1" applyBorder="1" applyAlignment="1">
      <alignment horizontal="left"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xf>
    <xf numFmtId="0" fontId="1" fillId="37" borderId="10" xfId="0" applyFont="1" applyFill="1" applyBorder="1" applyAlignment="1">
      <alignment horizontal="left" vertical="center" wrapText="1"/>
    </xf>
    <xf numFmtId="0" fontId="6" fillId="37" borderId="13"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1" fillId="0" borderId="20" xfId="53" applyFont="1" applyBorder="1" applyAlignment="1">
      <alignment horizontal="center" vertical="center" wrapText="1"/>
      <protection/>
    </xf>
    <xf numFmtId="0" fontId="1" fillId="33"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0" fontId="1" fillId="0" borderId="0" xfId="0" applyFont="1" applyAlignment="1">
      <alignment horizontal="center" wrapText="1"/>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0" fontId="27" fillId="0" borderId="0" xfId="0" applyFont="1" applyBorder="1" applyAlignment="1">
      <alignment horizontal="left" vertical="center" wrapText="1"/>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1" fillId="0" borderId="23" xfId="53" applyFont="1" applyBorder="1" applyAlignment="1">
      <alignment horizontal="center" vertical="center" wrapText="1"/>
      <protection/>
    </xf>
    <xf numFmtId="4" fontId="1" fillId="37" borderId="13" xfId="53" applyNumberFormat="1" applyFont="1" applyFill="1" applyBorder="1" applyAlignment="1">
      <alignment horizontal="center" vertical="center"/>
      <protection/>
    </xf>
    <xf numFmtId="4" fontId="1" fillId="37" borderId="12" xfId="53" applyNumberFormat="1" applyFont="1" applyFill="1" applyBorder="1" applyAlignment="1">
      <alignment horizontal="center" vertical="center"/>
      <protection/>
    </xf>
    <xf numFmtId="182" fontId="6" fillId="0" borderId="13"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1" fillId="0" borderId="13" xfId="53" applyNumberFormat="1" applyFont="1" applyBorder="1" applyAlignment="1">
      <alignment horizontal="center" vertical="center" wrapText="1"/>
      <protection/>
    </xf>
    <xf numFmtId="182"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1" fillId="0" borderId="17" xfId="53" applyFont="1" applyBorder="1" applyAlignment="1">
      <alignment horizontal="center" vertical="center" wrapText="1"/>
      <protection/>
    </xf>
    <xf numFmtId="0" fontId="2" fillId="37" borderId="0" xfId="0" applyFont="1" applyFill="1" applyAlignment="1">
      <alignment horizontal="left"/>
    </xf>
    <xf numFmtId="0" fontId="6" fillId="0" borderId="14" xfId="0" applyFont="1" applyBorder="1" applyAlignment="1">
      <alignment horizontal="center" vertical="center" wrapText="1"/>
    </xf>
    <xf numFmtId="0" fontId="2" fillId="0" borderId="0" xfId="53" applyFont="1" applyBorder="1" applyAlignment="1">
      <alignment horizontal="left" vertical="center" wrapText="1"/>
      <protection/>
    </xf>
    <xf numFmtId="0" fontId="6" fillId="0" borderId="0" xfId="0" applyFont="1" applyFill="1" applyAlignment="1">
      <alignment horizontal="center" vertical="center" wrapText="1"/>
    </xf>
    <xf numFmtId="0" fontId="19" fillId="0" borderId="0" xfId="0" applyFont="1" applyAlignment="1">
      <alignment wrapText="1"/>
    </xf>
    <xf numFmtId="0" fontId="2" fillId="37" borderId="0" xfId="53" applyFont="1" applyFill="1" applyAlignment="1">
      <alignment horizontal="left" wrapText="1"/>
      <protection/>
    </xf>
    <xf numFmtId="0" fontId="6" fillId="0" borderId="0" xfId="53" applyFont="1" applyAlignment="1">
      <alignment horizontal="left" wrapText="1"/>
      <protection/>
    </xf>
    <xf numFmtId="0" fontId="6" fillId="0" borderId="0" xfId="53" applyFont="1" applyAlignment="1">
      <alignment horizontal="left"/>
      <protection/>
    </xf>
    <xf numFmtId="181" fontId="6" fillId="0" borderId="10" xfId="53" applyNumberFormat="1" applyFont="1" applyBorder="1" applyAlignment="1">
      <alignment horizontal="center" vertical="center" wrapText="1"/>
      <protection/>
    </xf>
    <xf numFmtId="0" fontId="70" fillId="37" borderId="0" xfId="53" applyFont="1" applyFill="1" applyBorder="1" applyAlignment="1">
      <alignmen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6">
      <selection activeCell="A4" sqref="A4:G26"/>
    </sheetView>
  </sheetViews>
  <sheetFormatPr defaultColWidth="9.140625" defaultRowHeight="12.75"/>
  <cols>
    <col min="1" max="1" width="8.7109375" style="242" customWidth="1"/>
    <col min="2" max="2" width="42.00390625" style="242" customWidth="1"/>
    <col min="3" max="3" width="17.140625" style="242" customWidth="1"/>
    <col min="4" max="5" width="15.7109375" style="242" customWidth="1"/>
    <col min="6" max="6" width="48.57421875" style="242" customWidth="1"/>
    <col min="7" max="7" width="65.57421875" style="242" customWidth="1"/>
    <col min="8" max="8" width="15.7109375" style="242" customWidth="1"/>
    <col min="9" max="9" width="16.00390625" style="242" customWidth="1"/>
    <col min="10" max="10" width="14.140625" style="242" customWidth="1"/>
    <col min="11" max="11" width="12.421875" style="242" hidden="1" customWidth="1"/>
    <col min="12" max="12" width="14.8515625" style="242" customWidth="1"/>
    <col min="13" max="13" width="14.28125" style="242" customWidth="1"/>
    <col min="14" max="14" width="27.7109375" style="242" customWidth="1"/>
    <col min="15" max="15" width="19.140625" style="242" customWidth="1"/>
    <col min="16" max="16" width="15.140625" style="242" customWidth="1"/>
    <col min="17" max="17" width="14.140625" style="242" customWidth="1"/>
    <col min="18" max="18" width="17.28125" style="242" customWidth="1"/>
    <col min="19" max="19" width="13.8515625" style="242" customWidth="1"/>
  </cols>
  <sheetData>
    <row r="1" spans="1:16" s="242" customFormat="1" ht="24.75" customHeight="1">
      <c r="A1" s="233"/>
      <c r="B1" s="233"/>
      <c r="C1" s="259"/>
      <c r="D1" s="243"/>
      <c r="E1" s="305"/>
      <c r="F1" s="258"/>
      <c r="G1" s="23"/>
      <c r="H1" s="23"/>
      <c r="I1" s="23"/>
      <c r="J1" s="260"/>
      <c r="K1" s="260"/>
      <c r="O1" s="246"/>
      <c r="P1" s="246"/>
    </row>
    <row r="2" spans="1:11" s="242" customFormat="1" ht="24.75" customHeight="1">
      <c r="A2" s="233"/>
      <c r="B2" s="233"/>
      <c r="C2" s="259"/>
      <c r="D2" s="243"/>
      <c r="E2" s="305"/>
      <c r="F2" s="258"/>
      <c r="G2" s="261"/>
      <c r="H2" s="258"/>
      <c r="I2" s="258"/>
      <c r="J2" s="258"/>
      <c r="K2" s="258"/>
    </row>
    <row r="3" spans="1:11" s="242" customFormat="1" ht="24.75" customHeight="1">
      <c r="A3" s="233"/>
      <c r="B3" s="233"/>
      <c r="C3" s="259"/>
      <c r="D3" s="243"/>
      <c r="E3" s="305"/>
      <c r="F3" s="258"/>
      <c r="G3" s="258"/>
      <c r="H3" s="258"/>
      <c r="I3" s="258"/>
      <c r="J3" s="258"/>
      <c r="K3" s="258"/>
    </row>
    <row r="4" spans="1:11" s="242" customFormat="1" ht="51.75" customHeight="1">
      <c r="A4" s="693" t="s">
        <v>590</v>
      </c>
      <c r="B4" s="693"/>
      <c r="C4" s="693"/>
      <c r="D4" s="693"/>
      <c r="E4" s="693"/>
      <c r="F4" s="693"/>
      <c r="G4" s="693"/>
      <c r="H4" s="258"/>
      <c r="I4" s="258"/>
      <c r="J4" s="258"/>
      <c r="K4" s="258"/>
    </row>
    <row r="5" spans="1:11" s="242" customFormat="1" ht="1.5" customHeight="1">
      <c r="A5" s="693"/>
      <c r="B5" s="693"/>
      <c r="C5" s="693"/>
      <c r="D5" s="693"/>
      <c r="E5" s="693"/>
      <c r="F5" s="693"/>
      <c r="G5" s="693"/>
      <c r="H5" s="258"/>
      <c r="I5" s="258"/>
      <c r="J5" s="258"/>
      <c r="K5" s="258"/>
    </row>
    <row r="6" spans="1:11" s="242" customFormat="1" ht="3" customHeight="1" hidden="1">
      <c r="A6" s="233"/>
      <c r="B6" s="233"/>
      <c r="C6" s="259"/>
      <c r="D6" s="233"/>
      <c r="E6" s="233"/>
      <c r="F6" s="258"/>
      <c r="G6" s="258"/>
      <c r="H6" s="258"/>
      <c r="I6" s="258"/>
      <c r="J6" s="258"/>
      <c r="K6" s="258"/>
    </row>
    <row r="7" spans="1:11" s="242" customFormat="1" ht="37.5" customHeight="1">
      <c r="A7" s="690" t="s">
        <v>5</v>
      </c>
      <c r="B7" s="690" t="s">
        <v>73</v>
      </c>
      <c r="C7" s="281" t="s">
        <v>179</v>
      </c>
      <c r="D7" s="262" t="s">
        <v>180</v>
      </c>
      <c r="E7" s="690" t="s">
        <v>231</v>
      </c>
      <c r="F7" s="701" t="s">
        <v>181</v>
      </c>
      <c r="G7" s="702"/>
      <c r="H7" s="258"/>
      <c r="I7" s="258"/>
      <c r="J7" s="258"/>
      <c r="K7" s="258"/>
    </row>
    <row r="8" spans="1:11" s="242" customFormat="1" ht="15" customHeight="1">
      <c r="A8" s="691"/>
      <c r="B8" s="691"/>
      <c r="C8" s="690">
        <v>2021</v>
      </c>
      <c r="D8" s="688">
        <v>2021</v>
      </c>
      <c r="E8" s="691"/>
      <c r="F8" s="703"/>
      <c r="G8" s="704"/>
      <c r="H8" s="258"/>
      <c r="I8" s="258"/>
      <c r="J8" s="258"/>
      <c r="K8" s="258"/>
    </row>
    <row r="9" spans="1:11" s="242" customFormat="1" ht="18" customHeight="1">
      <c r="A9" s="692"/>
      <c r="B9" s="692"/>
      <c r="C9" s="692"/>
      <c r="D9" s="689"/>
      <c r="E9" s="692"/>
      <c r="F9" s="705"/>
      <c r="G9" s="706"/>
      <c r="H9" s="258"/>
      <c r="I9" s="258"/>
      <c r="J9" s="258"/>
      <c r="K9" s="258"/>
    </row>
    <row r="10" spans="1:11" s="242" customFormat="1" ht="76.5" customHeight="1">
      <c r="A10" s="308">
        <v>1</v>
      </c>
      <c r="B10" s="308" t="s">
        <v>614</v>
      </c>
      <c r="C10" s="307">
        <v>414687</v>
      </c>
      <c r="D10" s="309">
        <v>411887</v>
      </c>
      <c r="E10" s="307">
        <f aca="true" t="shared" si="0" ref="E10:E22">D10-C10</f>
        <v>-2800</v>
      </c>
      <c r="F10" s="697" t="s">
        <v>620</v>
      </c>
      <c r="G10" s="697" t="s">
        <v>621</v>
      </c>
      <c r="H10" s="112"/>
      <c r="I10" s="112"/>
      <c r="J10" s="112"/>
      <c r="K10" s="112"/>
    </row>
    <row r="11" spans="1:11" s="242" customFormat="1" ht="57.75" customHeight="1">
      <c r="A11" s="310" t="s">
        <v>162</v>
      </c>
      <c r="B11" s="308" t="s">
        <v>575</v>
      </c>
      <c r="C11" s="581">
        <v>3500</v>
      </c>
      <c r="D11" s="309">
        <v>700</v>
      </c>
      <c r="E11" s="581">
        <f>D11-C11</f>
        <v>-2800</v>
      </c>
      <c r="F11" s="698"/>
      <c r="G11" s="698"/>
      <c r="H11" s="112"/>
      <c r="I11" s="112"/>
      <c r="J11" s="112"/>
      <c r="K11" s="112"/>
    </row>
    <row r="12" spans="1:11" s="242" customFormat="1" ht="70.5" customHeight="1">
      <c r="A12" s="558" t="s">
        <v>314</v>
      </c>
      <c r="B12" s="555" t="s">
        <v>483</v>
      </c>
      <c r="C12" s="556">
        <v>19786.7</v>
      </c>
      <c r="D12" s="309">
        <f>24786.7+2800</f>
        <v>27586.7</v>
      </c>
      <c r="E12" s="556">
        <f t="shared" si="0"/>
        <v>7800</v>
      </c>
      <c r="F12" s="697" t="s">
        <v>620</v>
      </c>
      <c r="G12" s="697" t="s">
        <v>599</v>
      </c>
      <c r="H12" s="112"/>
      <c r="I12" s="112"/>
      <c r="J12" s="112"/>
      <c r="K12" s="112"/>
    </row>
    <row r="13" spans="1:11" s="242" customFormat="1" ht="100.5" customHeight="1">
      <c r="A13" s="558" t="s">
        <v>208</v>
      </c>
      <c r="B13" s="555" t="s">
        <v>636</v>
      </c>
      <c r="C13" s="556">
        <v>0</v>
      </c>
      <c r="D13" s="309">
        <v>5000</v>
      </c>
      <c r="E13" s="556">
        <f t="shared" si="0"/>
        <v>5000</v>
      </c>
      <c r="F13" s="698"/>
      <c r="G13" s="698"/>
      <c r="H13" s="112"/>
      <c r="I13" s="112"/>
      <c r="J13" s="112"/>
      <c r="K13" s="112"/>
    </row>
    <row r="14" spans="1:11" s="242" customFormat="1" ht="43.5" customHeight="1">
      <c r="A14" s="558" t="s">
        <v>232</v>
      </c>
      <c r="B14" s="555" t="s">
        <v>637</v>
      </c>
      <c r="C14" s="591">
        <v>0</v>
      </c>
      <c r="D14" s="309">
        <v>2800</v>
      </c>
      <c r="E14" s="591">
        <f t="shared" si="0"/>
        <v>2800</v>
      </c>
      <c r="F14" s="590"/>
      <c r="G14" s="590"/>
      <c r="H14" s="112"/>
      <c r="I14" s="112"/>
      <c r="J14" s="112"/>
      <c r="K14" s="112"/>
    </row>
    <row r="15" spans="1:11" s="242" customFormat="1" ht="105" customHeight="1">
      <c r="A15" s="558" t="s">
        <v>300</v>
      </c>
      <c r="B15" s="555" t="s">
        <v>622</v>
      </c>
      <c r="C15" s="556">
        <v>36627</v>
      </c>
      <c r="D15" s="309">
        <v>36627</v>
      </c>
      <c r="E15" s="556">
        <f t="shared" si="0"/>
        <v>0</v>
      </c>
      <c r="F15" s="697" t="s">
        <v>604</v>
      </c>
      <c r="G15" s="697" t="s">
        <v>598</v>
      </c>
      <c r="H15" s="112"/>
      <c r="I15" s="112"/>
      <c r="J15" s="112"/>
      <c r="K15" s="112"/>
    </row>
    <row r="16" spans="1:11" s="242" customFormat="1" ht="58.5" customHeight="1">
      <c r="A16" s="558" t="s">
        <v>256</v>
      </c>
      <c r="B16" s="555" t="s">
        <v>433</v>
      </c>
      <c r="C16" s="562">
        <v>30</v>
      </c>
      <c r="D16" s="309">
        <v>0</v>
      </c>
      <c r="E16" s="562">
        <f t="shared" si="0"/>
        <v>-30</v>
      </c>
      <c r="F16" s="698"/>
      <c r="G16" s="698"/>
      <c r="H16" s="112"/>
      <c r="I16" s="112"/>
      <c r="J16" s="112"/>
      <c r="K16" s="112"/>
    </row>
    <row r="17" spans="1:11" s="242" customFormat="1" ht="58.5" customHeight="1">
      <c r="A17" s="558" t="s">
        <v>285</v>
      </c>
      <c r="B17" s="555" t="s">
        <v>623</v>
      </c>
      <c r="C17" s="562">
        <v>0</v>
      </c>
      <c r="D17" s="309">
        <v>30</v>
      </c>
      <c r="E17" s="562">
        <f t="shared" si="0"/>
        <v>30</v>
      </c>
      <c r="F17" s="699"/>
      <c r="G17" s="698"/>
      <c r="H17" s="112"/>
      <c r="I17" s="112"/>
      <c r="J17" s="112"/>
      <c r="K17" s="112"/>
    </row>
    <row r="18" spans="1:11" s="242" customFormat="1" ht="90" customHeight="1">
      <c r="A18" s="558" t="s">
        <v>597</v>
      </c>
      <c r="B18" s="555" t="s">
        <v>628</v>
      </c>
      <c r="C18" s="562">
        <v>6383.8</v>
      </c>
      <c r="D18" s="309">
        <v>6413.1</v>
      </c>
      <c r="E18" s="562">
        <f t="shared" si="0"/>
        <v>29.300000000000182</v>
      </c>
      <c r="F18" s="697" t="s">
        <v>629</v>
      </c>
      <c r="G18" s="698" t="s">
        <v>600</v>
      </c>
      <c r="H18" s="112"/>
      <c r="I18" s="112"/>
      <c r="J18" s="112"/>
      <c r="K18" s="112"/>
    </row>
    <row r="19" spans="1:11" s="242" customFormat="1" ht="51" customHeight="1">
      <c r="A19" s="558" t="s">
        <v>266</v>
      </c>
      <c r="B19" s="555" t="s">
        <v>631</v>
      </c>
      <c r="C19" s="566">
        <v>0</v>
      </c>
      <c r="D19" s="309">
        <v>18.7</v>
      </c>
      <c r="E19" s="566">
        <f t="shared" si="0"/>
        <v>18.7</v>
      </c>
      <c r="F19" s="698"/>
      <c r="G19" s="698"/>
      <c r="H19" s="112"/>
      <c r="I19" s="112"/>
      <c r="J19" s="112"/>
      <c r="K19" s="112"/>
    </row>
    <row r="20" spans="1:11" s="242" customFormat="1" ht="56.25" customHeight="1">
      <c r="A20" s="558" t="s">
        <v>328</v>
      </c>
      <c r="B20" s="555" t="s">
        <v>630</v>
      </c>
      <c r="C20" s="566">
        <v>0</v>
      </c>
      <c r="D20" s="309">
        <v>10.6</v>
      </c>
      <c r="E20" s="566">
        <f t="shared" si="0"/>
        <v>10.6</v>
      </c>
      <c r="F20" s="699"/>
      <c r="G20" s="699"/>
      <c r="H20" s="112"/>
      <c r="I20" s="112"/>
      <c r="J20" s="112"/>
      <c r="K20" s="112"/>
    </row>
    <row r="21" spans="1:11" s="242" customFormat="1" ht="48.75" customHeight="1">
      <c r="A21" s="558" t="s">
        <v>331</v>
      </c>
      <c r="B21" s="555" t="s">
        <v>342</v>
      </c>
      <c r="C21" s="566">
        <v>92350</v>
      </c>
      <c r="D21" s="309">
        <v>97350</v>
      </c>
      <c r="E21" s="566">
        <f t="shared" si="0"/>
        <v>5000</v>
      </c>
      <c r="F21" s="697" t="s">
        <v>632</v>
      </c>
      <c r="G21" s="697" t="s">
        <v>600</v>
      </c>
      <c r="H21" s="112"/>
      <c r="I21" s="112"/>
      <c r="J21" s="112"/>
      <c r="K21" s="112"/>
    </row>
    <row r="22" spans="1:11" s="242" customFormat="1" ht="84" customHeight="1">
      <c r="A22" s="558" t="s">
        <v>258</v>
      </c>
      <c r="B22" s="555" t="s">
        <v>635</v>
      </c>
      <c r="C22" s="566">
        <v>0</v>
      </c>
      <c r="D22" s="309">
        <v>5000</v>
      </c>
      <c r="E22" s="566">
        <f t="shared" si="0"/>
        <v>5000</v>
      </c>
      <c r="F22" s="699"/>
      <c r="G22" s="699"/>
      <c r="H22" s="112"/>
      <c r="I22" s="112"/>
      <c r="J22" s="112"/>
      <c r="K22" s="112"/>
    </row>
    <row r="23" spans="1:11" s="242" customFormat="1" ht="5.25" customHeight="1">
      <c r="A23" s="558"/>
      <c r="B23" s="555"/>
      <c r="C23" s="566"/>
      <c r="D23" s="309"/>
      <c r="E23" s="566"/>
      <c r="F23" s="566"/>
      <c r="G23" s="566"/>
      <c r="H23" s="112"/>
      <c r="I23" s="112"/>
      <c r="J23" s="112"/>
      <c r="K23" s="112"/>
    </row>
    <row r="24" spans="1:11" s="242" customFormat="1" ht="6" customHeight="1">
      <c r="A24" s="558"/>
      <c r="B24" s="555"/>
      <c r="C24" s="566"/>
      <c r="D24" s="309"/>
      <c r="E24" s="566"/>
      <c r="F24" s="566"/>
      <c r="G24" s="566"/>
      <c r="H24" s="112"/>
      <c r="I24" s="112"/>
      <c r="J24" s="112"/>
      <c r="K24" s="112"/>
    </row>
    <row r="25" spans="1:11" s="242" customFormat="1" ht="18.75" customHeight="1">
      <c r="A25" s="695" t="s">
        <v>4</v>
      </c>
      <c r="B25" s="696"/>
      <c r="C25" s="114">
        <f>C10+C12+C15+C18+C21</f>
        <v>569834.5</v>
      </c>
      <c r="D25" s="114">
        <f>D10+D12+D15+D18+D21</f>
        <v>579863.8</v>
      </c>
      <c r="E25" s="114">
        <f>E10+E12+E15+E18+E21</f>
        <v>10029.3</v>
      </c>
      <c r="F25" s="263"/>
      <c r="G25" s="263"/>
      <c r="H25" s="258"/>
      <c r="I25" s="258"/>
      <c r="J25" s="258"/>
      <c r="K25" s="258"/>
    </row>
    <row r="26" spans="1:11" s="242" customFormat="1" ht="18.75" customHeight="1">
      <c r="A26" s="694" t="s">
        <v>605</v>
      </c>
      <c r="B26" s="694"/>
      <c r="C26" s="694"/>
      <c r="D26" s="148"/>
      <c r="E26" s="148"/>
      <c r="F26" s="64"/>
      <c r="G26" s="185" t="s">
        <v>307</v>
      </c>
      <c r="H26" s="258"/>
      <c r="I26" s="258"/>
      <c r="J26" s="258"/>
      <c r="K26" s="258"/>
    </row>
    <row r="27" spans="1:11" s="242" customFormat="1" ht="18.75">
      <c r="A27" s="265"/>
      <c r="B27" s="265"/>
      <c r="C27" s="266"/>
      <c r="D27" s="119"/>
      <c r="E27" s="119"/>
      <c r="F27" s="238"/>
      <c r="G27" s="258"/>
      <c r="H27" s="258"/>
      <c r="I27" s="258"/>
      <c r="J27" s="258"/>
      <c r="K27" s="258"/>
    </row>
    <row r="28" spans="1:11" s="242" customFormat="1" ht="18.75">
      <c r="A28" s="700"/>
      <c r="B28" s="700"/>
      <c r="C28" s="140"/>
      <c r="D28" s="267"/>
      <c r="E28" s="267"/>
      <c r="F28" s="258"/>
      <c r="G28" s="258"/>
      <c r="H28" s="258"/>
      <c r="I28" s="258"/>
      <c r="J28" s="258"/>
      <c r="K28" s="258"/>
    </row>
    <row r="29" s="242" customFormat="1" ht="15">
      <c r="A29" s="250"/>
    </row>
    <row r="30" s="242" customFormat="1" ht="15">
      <c r="A30" s="250"/>
    </row>
    <row r="31" s="242" customFormat="1" ht="15">
      <c r="A31" s="250"/>
    </row>
    <row r="32" s="242" customFormat="1" ht="15">
      <c r="A32" s="250"/>
    </row>
    <row r="33" s="242" customFormat="1" ht="15">
      <c r="A33" s="250"/>
    </row>
    <row r="34" s="242" customFormat="1" ht="15">
      <c r="A34" s="250"/>
    </row>
    <row r="35" s="242" customFormat="1" ht="15">
      <c r="A35" s="250"/>
    </row>
    <row r="36" s="242" customFormat="1" ht="15">
      <c r="A36" s="250"/>
    </row>
    <row r="37" s="242" customFormat="1" ht="15">
      <c r="A37" s="250"/>
    </row>
    <row r="38" s="242" customFormat="1" ht="15"/>
  </sheetData>
  <sheetProtection/>
  <mergeCells count="20">
    <mergeCell ref="A28:B28"/>
    <mergeCell ref="A7:A9"/>
    <mergeCell ref="B7:B9"/>
    <mergeCell ref="F7:G9"/>
    <mergeCell ref="C8:C9"/>
    <mergeCell ref="F15:F17"/>
    <mergeCell ref="G15:G17"/>
    <mergeCell ref="F18:F20"/>
    <mergeCell ref="G18:G20"/>
    <mergeCell ref="F12:F13"/>
    <mergeCell ref="D8:D9"/>
    <mergeCell ref="E7:E9"/>
    <mergeCell ref="A4:G5"/>
    <mergeCell ref="A26:C26"/>
    <mergeCell ref="A25:B25"/>
    <mergeCell ref="G10:G11"/>
    <mergeCell ref="F10:F11"/>
    <mergeCell ref="G12:G13"/>
    <mergeCell ref="F21:F22"/>
    <mergeCell ref="G21:G2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O38"/>
  <sheetViews>
    <sheetView view="pageBreakPreview" zoomScaleSheetLayoutView="100" zoomScalePageLayoutView="0" workbookViewId="0" topLeftCell="A1">
      <selection activeCell="B11" sqref="B11:K11"/>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603</v>
      </c>
      <c r="K1" s="34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5"/>
      <c r="I8" s="12"/>
      <c r="J8" s="745" t="s">
        <v>591</v>
      </c>
      <c r="K8" s="745"/>
      <c r="L8" s="745"/>
      <c r="M8" s="745"/>
      <c r="N8" s="745"/>
      <c r="O8" s="745"/>
    </row>
    <row r="9" spans="2:12" ht="15.75">
      <c r="B9" s="15"/>
      <c r="C9" s="15"/>
      <c r="D9" s="15"/>
      <c r="E9" s="15"/>
      <c r="F9" s="15"/>
      <c r="G9" s="15"/>
      <c r="H9" s="15"/>
      <c r="I9" s="12"/>
      <c r="J9" s="673" t="s">
        <v>687</v>
      </c>
      <c r="K9" s="12"/>
      <c r="L9" s="12"/>
    </row>
    <row r="10" spans="2:12" ht="15.75">
      <c r="B10" s="15"/>
      <c r="C10" s="15"/>
      <c r="D10" s="15"/>
      <c r="E10" s="15"/>
      <c r="F10" s="15"/>
      <c r="G10" s="15"/>
      <c r="H10" s="15"/>
      <c r="I10" s="15"/>
      <c r="J10" s="15"/>
      <c r="K10" s="15"/>
      <c r="L10" s="15"/>
    </row>
    <row r="11" spans="2:12" ht="36.75" customHeight="1">
      <c r="B11" s="735" t="s">
        <v>617</v>
      </c>
      <c r="C11" s="735"/>
      <c r="D11" s="735"/>
      <c r="E11" s="735"/>
      <c r="F11" s="735"/>
      <c r="G11" s="735"/>
      <c r="H11" s="735"/>
      <c r="I11" s="735"/>
      <c r="J11" s="735"/>
      <c r="K11" s="735"/>
      <c r="L11" s="15"/>
    </row>
    <row r="12" spans="2:12" ht="15.75">
      <c r="B12" s="15"/>
      <c r="C12" s="15"/>
      <c r="D12" s="743"/>
      <c r="E12" s="743"/>
      <c r="F12" s="743"/>
      <c r="G12" s="743"/>
      <c r="H12" s="743"/>
      <c r="I12" s="15"/>
      <c r="J12" s="15"/>
      <c r="K12" s="34" t="s">
        <v>249</v>
      </c>
      <c r="L12" s="15"/>
    </row>
    <row r="13" spans="1:12" ht="15.75" customHeight="1">
      <c r="A13" s="747" t="s">
        <v>26</v>
      </c>
      <c r="B13" s="729" t="s">
        <v>10</v>
      </c>
      <c r="C13" s="729" t="s">
        <v>11</v>
      </c>
      <c r="D13" s="729" t="s">
        <v>235</v>
      </c>
      <c r="E13" s="744" t="s">
        <v>7</v>
      </c>
      <c r="F13" s="744"/>
      <c r="G13" s="744"/>
      <c r="H13" s="744"/>
      <c r="I13" s="744"/>
      <c r="J13" s="786"/>
      <c r="K13" s="732" t="s">
        <v>13</v>
      </c>
      <c r="L13" s="15"/>
    </row>
    <row r="14" spans="1:12" ht="15.75">
      <c r="A14" s="784"/>
      <c r="B14" s="730"/>
      <c r="C14" s="730"/>
      <c r="D14" s="730"/>
      <c r="E14" s="729">
        <v>2021</v>
      </c>
      <c r="F14" s="729">
        <v>2022</v>
      </c>
      <c r="G14" s="729" t="s">
        <v>22</v>
      </c>
      <c r="H14" s="729" t="s">
        <v>23</v>
      </c>
      <c r="I14" s="729" t="s">
        <v>24</v>
      </c>
      <c r="J14" s="732">
        <v>2023</v>
      </c>
      <c r="K14" s="732"/>
      <c r="L14" s="15"/>
    </row>
    <row r="15" spans="1:12" ht="21" customHeight="1">
      <c r="A15" s="748"/>
      <c r="B15" s="731"/>
      <c r="C15" s="731"/>
      <c r="D15" s="731"/>
      <c r="E15" s="731"/>
      <c r="F15" s="731"/>
      <c r="G15" s="731"/>
      <c r="H15" s="731"/>
      <c r="I15" s="731"/>
      <c r="J15" s="732"/>
      <c r="K15" s="732"/>
      <c r="L15" s="15"/>
    </row>
    <row r="16" spans="1:12" ht="121.5" customHeight="1">
      <c r="A16" s="181">
        <v>1</v>
      </c>
      <c r="B16" s="324" t="s">
        <v>442</v>
      </c>
      <c r="C16" s="35" t="s">
        <v>340</v>
      </c>
      <c r="D16" s="58">
        <f aca="true" t="shared" si="0" ref="D16:D26">E16+F16+J16</f>
        <v>4190.5</v>
      </c>
      <c r="E16" s="656">
        <f>1548-760</f>
        <v>788</v>
      </c>
      <c r="F16" s="511">
        <v>1651.7</v>
      </c>
      <c r="G16" s="511"/>
      <c r="H16" s="511"/>
      <c r="I16" s="511"/>
      <c r="J16" s="511">
        <v>1750.8</v>
      </c>
      <c r="K16" s="181" t="s">
        <v>161</v>
      </c>
      <c r="L16" s="15"/>
    </row>
    <row r="17" spans="1:14" ht="77.25" customHeight="1">
      <c r="A17" s="181">
        <v>2</v>
      </c>
      <c r="B17" s="510" t="s">
        <v>222</v>
      </c>
      <c r="C17" s="35" t="s">
        <v>340</v>
      </c>
      <c r="D17" s="58">
        <f t="shared" si="0"/>
        <v>17039.9</v>
      </c>
      <c r="E17" s="656">
        <f>6110-2500</f>
        <v>3610</v>
      </c>
      <c r="F17" s="511">
        <v>6519.4</v>
      </c>
      <c r="G17" s="511"/>
      <c r="H17" s="511"/>
      <c r="I17" s="511"/>
      <c r="J17" s="511">
        <v>6910.5</v>
      </c>
      <c r="K17" s="181" t="s">
        <v>161</v>
      </c>
      <c r="L17" s="15"/>
      <c r="N17" s="52"/>
    </row>
    <row r="18" spans="1:14" ht="60.75" customHeight="1">
      <c r="A18" s="181">
        <v>3</v>
      </c>
      <c r="B18" s="506" t="s">
        <v>571</v>
      </c>
      <c r="C18" s="35" t="s">
        <v>340</v>
      </c>
      <c r="D18" s="58">
        <f t="shared" si="0"/>
        <v>900</v>
      </c>
      <c r="E18" s="656">
        <v>300</v>
      </c>
      <c r="F18" s="511">
        <v>300</v>
      </c>
      <c r="G18" s="511">
        <v>100</v>
      </c>
      <c r="H18" s="511">
        <v>100</v>
      </c>
      <c r="I18" s="511">
        <v>100</v>
      </c>
      <c r="J18" s="511">
        <v>300</v>
      </c>
      <c r="K18" s="181" t="s">
        <v>161</v>
      </c>
      <c r="L18" s="15"/>
      <c r="N18" s="52"/>
    </row>
    <row r="19" spans="1:14" ht="75.75" customHeight="1">
      <c r="A19" s="181">
        <v>4</v>
      </c>
      <c r="B19" s="506" t="s">
        <v>498</v>
      </c>
      <c r="C19" s="35" t="s">
        <v>340</v>
      </c>
      <c r="D19" s="58">
        <f t="shared" si="0"/>
        <v>963.5</v>
      </c>
      <c r="E19" s="656">
        <f>200+213.5</f>
        <v>413.5</v>
      </c>
      <c r="F19" s="511">
        <v>250</v>
      </c>
      <c r="G19" s="511"/>
      <c r="H19" s="511"/>
      <c r="I19" s="511"/>
      <c r="J19" s="511">
        <v>300</v>
      </c>
      <c r="K19" s="181" t="s">
        <v>161</v>
      </c>
      <c r="L19" s="15"/>
      <c r="N19" s="52"/>
    </row>
    <row r="20" spans="1:14" ht="73.5" customHeight="1">
      <c r="A20" s="181">
        <v>5</v>
      </c>
      <c r="B20" s="506" t="s">
        <v>443</v>
      </c>
      <c r="C20" s="35" t="s">
        <v>340</v>
      </c>
      <c r="D20" s="58">
        <f t="shared" si="0"/>
        <v>4500</v>
      </c>
      <c r="E20" s="669">
        <f>1000+500</f>
        <v>1500</v>
      </c>
      <c r="F20" s="511">
        <v>1500</v>
      </c>
      <c r="G20" s="511"/>
      <c r="H20" s="511"/>
      <c r="I20" s="511"/>
      <c r="J20" s="511">
        <v>1500</v>
      </c>
      <c r="K20" s="737" t="s">
        <v>161</v>
      </c>
      <c r="L20" s="15"/>
      <c r="N20" s="52"/>
    </row>
    <row r="21" spans="1:14" ht="29.25" customHeight="1" hidden="1">
      <c r="A21" s="515" t="s">
        <v>258</v>
      </c>
      <c r="B21" s="383" t="s">
        <v>534</v>
      </c>
      <c r="C21" s="740" t="s">
        <v>340</v>
      </c>
      <c r="D21" s="522">
        <f>E21+F21+J21</f>
        <v>225</v>
      </c>
      <c r="E21" s="139">
        <v>70</v>
      </c>
      <c r="F21" s="139">
        <v>75</v>
      </c>
      <c r="G21" s="139"/>
      <c r="H21" s="139"/>
      <c r="I21" s="139"/>
      <c r="J21" s="139">
        <v>80</v>
      </c>
      <c r="K21" s="738"/>
      <c r="L21" s="15"/>
      <c r="N21" s="52"/>
    </row>
    <row r="22" spans="1:14" ht="25.5" customHeight="1" hidden="1">
      <c r="A22" s="515" t="s">
        <v>278</v>
      </c>
      <c r="B22" s="383" t="s">
        <v>535</v>
      </c>
      <c r="C22" s="741"/>
      <c r="D22" s="522">
        <f t="shared" si="0"/>
        <v>161</v>
      </c>
      <c r="E22" s="139">
        <v>50</v>
      </c>
      <c r="F22" s="139">
        <v>54</v>
      </c>
      <c r="G22" s="139"/>
      <c r="H22" s="139"/>
      <c r="I22" s="139"/>
      <c r="J22" s="139">
        <v>57</v>
      </c>
      <c r="K22" s="738"/>
      <c r="L22" s="15"/>
      <c r="N22" s="52"/>
    </row>
    <row r="23" spans="1:14" ht="24.75" customHeight="1" hidden="1">
      <c r="A23" s="515" t="s">
        <v>286</v>
      </c>
      <c r="B23" s="383" t="s">
        <v>536</v>
      </c>
      <c r="C23" s="741"/>
      <c r="D23" s="522">
        <f t="shared" si="0"/>
        <v>192</v>
      </c>
      <c r="E23" s="139">
        <v>60</v>
      </c>
      <c r="F23" s="139">
        <v>64</v>
      </c>
      <c r="G23" s="139"/>
      <c r="H23" s="139"/>
      <c r="I23" s="139"/>
      <c r="J23" s="139">
        <v>68</v>
      </c>
      <c r="K23" s="738"/>
      <c r="L23" s="15"/>
      <c r="N23" s="52"/>
    </row>
    <row r="24" spans="1:14" ht="24" customHeight="1" hidden="1">
      <c r="A24" s="515" t="s">
        <v>470</v>
      </c>
      <c r="B24" s="383" t="s">
        <v>537</v>
      </c>
      <c r="C24" s="742"/>
      <c r="D24" s="522">
        <f t="shared" si="0"/>
        <v>129</v>
      </c>
      <c r="E24" s="139">
        <v>40</v>
      </c>
      <c r="F24" s="139">
        <v>43</v>
      </c>
      <c r="G24" s="139"/>
      <c r="H24" s="139"/>
      <c r="I24" s="139"/>
      <c r="J24" s="139">
        <v>46</v>
      </c>
      <c r="K24" s="739"/>
      <c r="L24" s="15"/>
      <c r="N24" s="52"/>
    </row>
    <row r="25" spans="1:14" ht="54.75" customHeight="1">
      <c r="A25" s="181">
        <v>6</v>
      </c>
      <c r="B25" s="506" t="s">
        <v>499</v>
      </c>
      <c r="C25" s="35" t="s">
        <v>340</v>
      </c>
      <c r="D25" s="58">
        <f t="shared" si="0"/>
        <v>2000</v>
      </c>
      <c r="E25" s="656">
        <f>650-250</f>
        <v>400</v>
      </c>
      <c r="F25" s="511">
        <v>750</v>
      </c>
      <c r="G25" s="511"/>
      <c r="H25" s="511"/>
      <c r="I25" s="511"/>
      <c r="J25" s="511">
        <v>850</v>
      </c>
      <c r="K25" s="181" t="s">
        <v>161</v>
      </c>
      <c r="L25" s="15"/>
      <c r="N25" s="52"/>
    </row>
    <row r="26" spans="1:12" ht="32.25" customHeight="1">
      <c r="A26" s="76"/>
      <c r="B26" s="56" t="s">
        <v>4</v>
      </c>
      <c r="C26" s="512"/>
      <c r="D26" s="58">
        <f t="shared" si="0"/>
        <v>29593.899999999998</v>
      </c>
      <c r="E26" s="58">
        <f aca="true" t="shared" si="1" ref="E26:J26">E16+E17+E18+E19+E20+E25</f>
        <v>7011.5</v>
      </c>
      <c r="F26" s="58">
        <f t="shared" si="1"/>
        <v>10971.099999999999</v>
      </c>
      <c r="G26" s="58">
        <f t="shared" si="1"/>
        <v>100</v>
      </c>
      <c r="H26" s="58">
        <f t="shared" si="1"/>
        <v>100</v>
      </c>
      <c r="I26" s="58">
        <f t="shared" si="1"/>
        <v>100</v>
      </c>
      <c r="J26" s="58">
        <f t="shared" si="1"/>
        <v>11611.3</v>
      </c>
      <c r="K26" s="35"/>
      <c r="L26" s="15"/>
    </row>
    <row r="27" spans="2:12" ht="15.75">
      <c r="B27" s="18"/>
      <c r="C27" s="140"/>
      <c r="D27" s="19"/>
      <c r="E27" s="19"/>
      <c r="F27" s="19"/>
      <c r="G27" s="19"/>
      <c r="H27" s="19"/>
      <c r="I27" s="19"/>
      <c r="J27" s="19"/>
      <c r="K27" s="141"/>
      <c r="L27" s="15"/>
    </row>
    <row r="28" spans="2:12" ht="15.75" hidden="1">
      <c r="B28" s="18"/>
      <c r="C28" s="18"/>
      <c r="D28" s="19"/>
      <c r="E28" s="19"/>
      <c r="F28" s="19"/>
      <c r="G28" s="19"/>
      <c r="H28" s="19"/>
      <c r="I28" s="19"/>
      <c r="J28" s="19"/>
      <c r="K28" s="20"/>
      <c r="L28" s="15"/>
    </row>
    <row r="29" spans="2:12" ht="18.75">
      <c r="B29" s="50"/>
      <c r="C29" s="51"/>
      <c r="E29" s="19"/>
      <c r="F29" s="19"/>
      <c r="G29" s="19"/>
      <c r="H29" s="19"/>
      <c r="I29" s="19"/>
      <c r="J29" s="19"/>
      <c r="K29" s="51"/>
      <c r="L29" s="15"/>
    </row>
    <row r="30" spans="2:12" ht="21.75" customHeight="1">
      <c r="B30" s="785" t="s">
        <v>303</v>
      </c>
      <c r="C30" s="785"/>
      <c r="D30" s="264"/>
      <c r="E30" s="22"/>
      <c r="F30" s="22"/>
      <c r="G30" s="16"/>
      <c r="H30" s="16"/>
      <c r="I30" s="16"/>
      <c r="J30" s="23"/>
      <c r="K30" s="185" t="s">
        <v>674</v>
      </c>
      <c r="L30" s="23"/>
    </row>
    <row r="31" spans="2:12" ht="6.75" customHeight="1">
      <c r="B31" s="264"/>
      <c r="C31" s="264"/>
      <c r="D31" s="264"/>
      <c r="E31" s="22"/>
      <c r="F31" s="22"/>
      <c r="G31" s="16"/>
      <c r="H31" s="16"/>
      <c r="I31" s="16"/>
      <c r="J31" s="23"/>
      <c r="K31" s="23"/>
      <c r="L31" s="23"/>
    </row>
    <row r="32" spans="2:11" ht="18.75">
      <c r="B32" s="694" t="s">
        <v>673</v>
      </c>
      <c r="C32" s="694"/>
      <c r="D32" s="25"/>
      <c r="E32" s="26"/>
      <c r="F32" s="26"/>
      <c r="G32" s="26"/>
      <c r="H32" s="26"/>
      <c r="I32" s="26"/>
      <c r="J32" s="15"/>
      <c r="K32" s="15"/>
    </row>
    <row r="33" spans="2:13" ht="15.75">
      <c r="B33" s="27"/>
      <c r="C33" s="27"/>
      <c r="D33" s="26"/>
      <c r="E33" s="26"/>
      <c r="F33" s="26"/>
      <c r="G33" s="26"/>
      <c r="H33" s="26"/>
      <c r="I33" s="26"/>
      <c r="J33" s="15"/>
      <c r="K33" s="15"/>
      <c r="M33" s="12"/>
    </row>
    <row r="34" spans="2:11" ht="15.75">
      <c r="B34" s="28"/>
      <c r="C34" s="29"/>
      <c r="D34" s="30"/>
      <c r="E34" s="26"/>
      <c r="F34" s="26"/>
      <c r="G34" s="26"/>
      <c r="H34" s="26"/>
      <c r="I34" s="26"/>
      <c r="J34" s="15"/>
      <c r="K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19">
    <mergeCell ref="B32:C32"/>
    <mergeCell ref="K13:K15"/>
    <mergeCell ref="E14:E15"/>
    <mergeCell ref="F14:F15"/>
    <mergeCell ref="G14:G15"/>
    <mergeCell ref="H14:H15"/>
    <mergeCell ref="C13:C15"/>
    <mergeCell ref="D13:D15"/>
    <mergeCell ref="E13:J13"/>
    <mergeCell ref="I14:I15"/>
    <mergeCell ref="J8:O8"/>
    <mergeCell ref="A13:A15"/>
    <mergeCell ref="B13:B15"/>
    <mergeCell ref="B30:C30"/>
    <mergeCell ref="J14:J15"/>
    <mergeCell ref="B11:K11"/>
    <mergeCell ref="D12:H12"/>
    <mergeCell ref="C21:C24"/>
    <mergeCell ref="K20:K24"/>
  </mergeCells>
  <printOptions horizontalCentered="1"/>
  <pageMargins left="0.3937007874015748" right="0.3937007874015748" top="1.1811023622047245" bottom="0.3937007874015748" header="0" footer="0"/>
  <pageSetup fitToHeight="0"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tabColor theme="0"/>
  </sheetPr>
  <dimension ref="A1:CI131"/>
  <sheetViews>
    <sheetView view="pageBreakPreview" zoomScale="74" zoomScaleSheetLayoutView="74" zoomScalePageLayoutView="0" workbookViewId="0" topLeftCell="A1">
      <selection activeCell="I9" sqref="I9"/>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659</v>
      </c>
      <c r="J1" s="12"/>
    </row>
    <row r="2" spans="9:12" ht="15.75">
      <c r="I2" s="12" t="s">
        <v>9</v>
      </c>
      <c r="J2" s="12"/>
      <c r="K2" s="12"/>
      <c r="L2" s="12"/>
    </row>
    <row r="3" spans="9:14" ht="15.75">
      <c r="I3" s="12" t="s">
        <v>301</v>
      </c>
      <c r="J3" s="12"/>
      <c r="K3" s="15"/>
      <c r="L3" s="12"/>
      <c r="M3" s="12"/>
      <c r="N3" s="12"/>
    </row>
    <row r="4" spans="9:14" ht="15.75">
      <c r="I4" s="17" t="s">
        <v>302</v>
      </c>
      <c r="J4" s="17"/>
      <c r="K4" s="15"/>
      <c r="L4" s="12"/>
      <c r="M4" s="12"/>
      <c r="N4" s="12"/>
    </row>
    <row r="5" spans="9:14" ht="15.75">
      <c r="I5" s="17" t="s">
        <v>564</v>
      </c>
      <c r="J5" s="17"/>
      <c r="K5" s="15"/>
      <c r="L5" s="12"/>
      <c r="M5" s="12"/>
      <c r="N5" s="12"/>
    </row>
    <row r="6" spans="2:14" ht="15.75">
      <c r="B6" s="15"/>
      <c r="C6" s="15"/>
      <c r="D6" s="15"/>
      <c r="I6" s="17" t="s">
        <v>582</v>
      </c>
      <c r="J6" s="17"/>
      <c r="K6" s="245"/>
      <c r="L6" s="12"/>
      <c r="M6" s="12"/>
      <c r="N6" s="12"/>
    </row>
    <row r="7" spans="2:14" ht="15.75">
      <c r="B7" s="15"/>
      <c r="C7" s="15"/>
      <c r="D7" s="15"/>
      <c r="I7" s="17" t="s">
        <v>583</v>
      </c>
      <c r="J7" s="17"/>
      <c r="K7" s="245"/>
      <c r="L7" s="12"/>
      <c r="M7" s="12"/>
      <c r="N7" s="12"/>
    </row>
    <row r="8" spans="2:14" ht="15.75" customHeight="1">
      <c r="B8" s="15"/>
      <c r="C8" s="15"/>
      <c r="D8" s="15"/>
      <c r="I8" s="745" t="s">
        <v>588</v>
      </c>
      <c r="J8" s="745"/>
      <c r="K8" s="745"/>
      <c r="L8" s="745"/>
      <c r="M8" s="745"/>
      <c r="N8" s="745"/>
    </row>
    <row r="9" spans="2:14" ht="15.75" customHeight="1">
      <c r="B9" s="15"/>
      <c r="C9" s="15"/>
      <c r="D9" s="15"/>
      <c r="I9" s="673" t="s">
        <v>687</v>
      </c>
      <c r="J9" s="553"/>
      <c r="K9" s="553"/>
      <c r="L9" s="553"/>
      <c r="M9" s="553"/>
      <c r="N9" s="553"/>
    </row>
    <row r="10" spans="2:9" ht="20.25" customHeight="1">
      <c r="B10" s="15"/>
      <c r="C10" s="15"/>
      <c r="D10" s="15"/>
      <c r="E10" s="15"/>
      <c r="F10" s="486"/>
      <c r="G10" s="15"/>
      <c r="H10" s="15"/>
      <c r="I10" s="12"/>
    </row>
    <row r="11" spans="2:9" ht="17.25" customHeight="1">
      <c r="B11" s="787" t="s">
        <v>448</v>
      </c>
      <c r="C11" s="787"/>
      <c r="D11" s="787"/>
      <c r="E11" s="787"/>
      <c r="F11" s="787"/>
      <c r="G11" s="787"/>
      <c r="H11" s="787"/>
      <c r="I11" s="787"/>
    </row>
    <row r="12" spans="2:9" ht="16.5" customHeight="1">
      <c r="B12" s="33"/>
      <c r="C12" s="33"/>
      <c r="D12" s="33"/>
      <c r="E12" s="33"/>
      <c r="F12" s="487"/>
      <c r="G12" s="33"/>
      <c r="H12" s="33"/>
      <c r="I12" s="295" t="s">
        <v>249</v>
      </c>
    </row>
    <row r="13" spans="1:9" ht="19.5" customHeight="1">
      <c r="A13" s="729" t="s">
        <v>26</v>
      </c>
      <c r="B13" s="729" t="s">
        <v>10</v>
      </c>
      <c r="C13" s="729" t="s">
        <v>11</v>
      </c>
      <c r="D13" s="729" t="s">
        <v>239</v>
      </c>
      <c r="E13" s="732" t="s">
        <v>7</v>
      </c>
      <c r="F13" s="732"/>
      <c r="G13" s="732"/>
      <c r="H13" s="732"/>
      <c r="I13" s="732" t="s">
        <v>13</v>
      </c>
    </row>
    <row r="14" spans="1:9" ht="15.75" customHeight="1">
      <c r="A14" s="730"/>
      <c r="B14" s="730"/>
      <c r="C14" s="730"/>
      <c r="D14" s="730"/>
      <c r="E14" s="690">
        <v>2021</v>
      </c>
      <c r="F14" s="488"/>
      <c r="G14" s="690">
        <v>2022</v>
      </c>
      <c r="H14" s="690">
        <v>2023</v>
      </c>
      <c r="I14" s="732"/>
    </row>
    <row r="15" spans="1:9" ht="29.25" customHeight="1">
      <c r="A15" s="731"/>
      <c r="B15" s="731"/>
      <c r="C15" s="731"/>
      <c r="D15" s="731"/>
      <c r="E15" s="692"/>
      <c r="F15" s="491"/>
      <c r="G15" s="692"/>
      <c r="H15" s="692"/>
      <c r="I15" s="732"/>
    </row>
    <row r="16" spans="1:9" ht="33.75" customHeight="1" hidden="1">
      <c r="A16" s="62">
        <v>1</v>
      </c>
      <c r="B16" s="57" t="s">
        <v>27</v>
      </c>
      <c r="C16" s="35" t="s">
        <v>14</v>
      </c>
      <c r="D16" s="68" t="e">
        <f>#REF!+E16+G16+H16</f>
        <v>#REF!</v>
      </c>
      <c r="E16" s="94"/>
      <c r="F16" s="485"/>
      <c r="G16" s="94"/>
      <c r="H16" s="94"/>
      <c r="I16" s="35" t="s">
        <v>28</v>
      </c>
    </row>
    <row r="17" spans="1:9" ht="54" customHeight="1">
      <c r="A17" s="375">
        <v>1</v>
      </c>
      <c r="B17" s="378" t="s">
        <v>124</v>
      </c>
      <c r="C17" s="182" t="s">
        <v>340</v>
      </c>
      <c r="D17" s="188">
        <f aca="true" t="shared" si="0" ref="D17:D27">E17+G17+H17</f>
        <v>2140.3</v>
      </c>
      <c r="E17" s="189">
        <f>525.3+152.1-127.4</f>
        <v>550</v>
      </c>
      <c r="F17" s="485" t="s">
        <v>524</v>
      </c>
      <c r="G17" s="189">
        <f>593+162.3</f>
        <v>755.3</v>
      </c>
      <c r="H17" s="189">
        <f>663+172</f>
        <v>835</v>
      </c>
      <c r="I17" s="375" t="s">
        <v>161</v>
      </c>
    </row>
    <row r="18" spans="1:9" ht="68.25" customHeight="1">
      <c r="A18" s="375">
        <v>2</v>
      </c>
      <c r="B18" s="378" t="s">
        <v>449</v>
      </c>
      <c r="C18" s="182" t="s">
        <v>340</v>
      </c>
      <c r="D18" s="188">
        <f t="shared" si="0"/>
        <v>329.3</v>
      </c>
      <c r="E18" s="189">
        <f>150-58.3</f>
        <v>91.7</v>
      </c>
      <c r="F18" s="485" t="s">
        <v>522</v>
      </c>
      <c r="G18" s="189">
        <v>115.3</v>
      </c>
      <c r="H18" s="189">
        <v>122.3</v>
      </c>
      <c r="I18" s="375" t="s">
        <v>161</v>
      </c>
    </row>
    <row r="19" spans="1:9" ht="50.25" customHeight="1">
      <c r="A19" s="375">
        <v>3</v>
      </c>
      <c r="B19" s="378" t="s">
        <v>589</v>
      </c>
      <c r="C19" s="182" t="s">
        <v>340</v>
      </c>
      <c r="D19" s="188">
        <f t="shared" si="0"/>
        <v>273.6</v>
      </c>
      <c r="E19" s="189">
        <f>74.4+35.6</f>
        <v>110</v>
      </c>
      <c r="F19" s="485" t="s">
        <v>523</v>
      </c>
      <c r="G19" s="189">
        <v>79.4</v>
      </c>
      <c r="H19" s="189">
        <v>84.2</v>
      </c>
      <c r="I19" s="375" t="s">
        <v>161</v>
      </c>
    </row>
    <row r="20" spans="1:87" ht="48" customHeight="1">
      <c r="A20" s="181">
        <v>4</v>
      </c>
      <c r="B20" s="378" t="s">
        <v>125</v>
      </c>
      <c r="C20" s="182" t="s">
        <v>340</v>
      </c>
      <c r="D20" s="188">
        <f t="shared" si="0"/>
        <v>10784.2</v>
      </c>
      <c r="E20" s="189">
        <f>234+223.7+330+35.1+86.5+400+347.2+58.4+850+335.1</f>
        <v>2900.0000000000005</v>
      </c>
      <c r="F20" s="485" t="s">
        <v>529</v>
      </c>
      <c r="G20" s="189">
        <f>693.6+124.8+62.4+1106.6+199.2+174.6+249.7+37.5+238.7+400+92.3+370.4+62.3</f>
        <v>3812.1</v>
      </c>
      <c r="H20" s="189">
        <f>735.2+132.3+66.2+1168.1+222.7+183.8+264.7+39.7+253+450+97.8+392.6+66</f>
        <v>4072.1</v>
      </c>
      <c r="I20" s="375" t="s">
        <v>161</v>
      </c>
      <c r="J20" s="14" t="s">
        <v>562</v>
      </c>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row>
    <row r="21" spans="1:9" ht="38.25" customHeight="1">
      <c r="A21" s="181">
        <v>5</v>
      </c>
      <c r="B21" s="378" t="s">
        <v>37</v>
      </c>
      <c r="C21" s="182" t="s">
        <v>340</v>
      </c>
      <c r="D21" s="188">
        <f t="shared" si="0"/>
        <v>6106.099999999999</v>
      </c>
      <c r="E21" s="189">
        <f>280+134.6+189.2+138.3+174.3+58.9+1000+30+30+60+35+10-540.3</f>
        <v>1599.9999999999998</v>
      </c>
      <c r="F21" s="485" t="s">
        <v>520</v>
      </c>
      <c r="G21" s="189">
        <f>298.8+143.6+201.9+147.5+186+62.9+32+32+64+37+10.7+1000</f>
        <v>2216.4</v>
      </c>
      <c r="H21" s="189">
        <f>316.7+152.2+214+156.4+197.2+66.6+33.9+33.9+67.9+39.6+11.3+1000</f>
        <v>2289.7</v>
      </c>
      <c r="I21" s="375" t="s">
        <v>161</v>
      </c>
    </row>
    <row r="22" spans="1:9" ht="43.5" customHeight="1">
      <c r="A22" s="181">
        <v>6</v>
      </c>
      <c r="B22" s="378" t="s">
        <v>38</v>
      </c>
      <c r="C22" s="182" t="s">
        <v>340</v>
      </c>
      <c r="D22" s="188">
        <f t="shared" si="0"/>
        <v>1650</v>
      </c>
      <c r="E22" s="189">
        <v>500</v>
      </c>
      <c r="F22" s="485" t="s">
        <v>525</v>
      </c>
      <c r="G22" s="189">
        <v>550</v>
      </c>
      <c r="H22" s="189">
        <v>600</v>
      </c>
      <c r="I22" s="375" t="s">
        <v>161</v>
      </c>
    </row>
    <row r="23" spans="1:9" ht="47.25" customHeight="1">
      <c r="A23" s="181">
        <v>7</v>
      </c>
      <c r="B23" s="439" t="s">
        <v>500</v>
      </c>
      <c r="C23" s="182" t="s">
        <v>340</v>
      </c>
      <c r="D23" s="188">
        <f t="shared" si="0"/>
        <v>13191.800000000001</v>
      </c>
      <c r="E23" s="189">
        <f>2271.1+300+3579+2049.9</f>
        <v>8200</v>
      </c>
      <c r="F23" s="485" t="s">
        <v>521</v>
      </c>
      <c r="G23" s="189">
        <v>2423.2</v>
      </c>
      <c r="H23" s="189">
        <v>2568.6</v>
      </c>
      <c r="I23" s="375" t="s">
        <v>161</v>
      </c>
    </row>
    <row r="24" spans="1:9" ht="44.25" customHeight="1">
      <c r="A24" s="35">
        <v>8</v>
      </c>
      <c r="B24" s="143" t="s">
        <v>527</v>
      </c>
      <c r="C24" s="182" t="s">
        <v>340</v>
      </c>
      <c r="D24" s="188">
        <f t="shared" si="0"/>
        <v>963</v>
      </c>
      <c r="E24" s="189">
        <f>350-87</f>
        <v>263</v>
      </c>
      <c r="F24" s="189">
        <v>350</v>
      </c>
      <c r="G24" s="189">
        <v>350</v>
      </c>
      <c r="H24" s="189">
        <v>350</v>
      </c>
      <c r="I24" s="375" t="s">
        <v>161</v>
      </c>
    </row>
    <row r="25" spans="1:9" ht="1.5" customHeight="1">
      <c r="A25" s="181"/>
      <c r="B25" s="143"/>
      <c r="C25" s="182"/>
      <c r="D25" s="188"/>
      <c r="E25" s="189"/>
      <c r="F25" s="485"/>
      <c r="G25" s="189"/>
      <c r="H25" s="189"/>
      <c r="I25" s="436"/>
    </row>
    <row r="26" spans="1:9" ht="44.25" customHeight="1">
      <c r="A26" s="181">
        <v>9</v>
      </c>
      <c r="B26" s="143" t="s">
        <v>71</v>
      </c>
      <c r="C26" s="182" t="s">
        <v>340</v>
      </c>
      <c r="D26" s="188">
        <f t="shared" si="0"/>
        <v>1408.2</v>
      </c>
      <c r="E26" s="189">
        <f>447.1-107.9</f>
        <v>339.20000000000005</v>
      </c>
      <c r="F26" s="485" t="s">
        <v>519</v>
      </c>
      <c r="G26" s="189">
        <v>504.7</v>
      </c>
      <c r="H26" s="189">
        <v>564.3</v>
      </c>
      <c r="I26" s="436" t="s">
        <v>161</v>
      </c>
    </row>
    <row r="27" spans="1:10" ht="44.25" customHeight="1">
      <c r="A27" s="181">
        <v>10</v>
      </c>
      <c r="B27" s="143" t="s">
        <v>560</v>
      </c>
      <c r="C27" s="182" t="s">
        <v>340</v>
      </c>
      <c r="D27" s="188">
        <f t="shared" si="0"/>
        <v>341.7</v>
      </c>
      <c r="E27" s="189">
        <f>165.2+176.5</f>
        <v>341.7</v>
      </c>
      <c r="F27" s="485" t="s">
        <v>530</v>
      </c>
      <c r="G27" s="189"/>
      <c r="H27" s="189"/>
      <c r="I27" s="436" t="s">
        <v>161</v>
      </c>
      <c r="J27" s="14" t="s">
        <v>528</v>
      </c>
    </row>
    <row r="28" spans="1:9" ht="44.25" customHeight="1">
      <c r="A28" s="181">
        <v>11</v>
      </c>
      <c r="B28" s="143" t="s">
        <v>336</v>
      </c>
      <c r="C28" s="493" t="s">
        <v>340</v>
      </c>
      <c r="D28" s="188">
        <f>E28+G28+H28</f>
        <v>0</v>
      </c>
      <c r="E28" s="189">
        <f>800-800</f>
        <v>0</v>
      </c>
      <c r="F28" s="485"/>
      <c r="G28" s="189"/>
      <c r="H28" s="189"/>
      <c r="I28" s="523" t="s">
        <v>161</v>
      </c>
    </row>
    <row r="29" spans="1:9" ht="18.75">
      <c r="A29" s="70"/>
      <c r="B29" s="71" t="s">
        <v>4</v>
      </c>
      <c r="C29" s="71"/>
      <c r="D29" s="92">
        <f>E29+G29+H29</f>
        <v>37188.200000000004</v>
      </c>
      <c r="E29" s="92">
        <f>E17+E18+E19+E20+E21+E22+E23+E24+E25+E26+E27+E28</f>
        <v>14895.600000000002</v>
      </c>
      <c r="F29" s="92" t="e">
        <f>F17+F18+F19+F20+F21+F22+F23+F24+F25+F26+F27+F28</f>
        <v>#VALUE!</v>
      </c>
      <c r="G29" s="92">
        <f>G17+G18+G19+G20+G21+G22+G23+G24+G25+G26+G27+G28</f>
        <v>10806.400000000001</v>
      </c>
      <c r="H29" s="92">
        <f>H17+H18+H19+H20+H21+H22+H23+H24+H25+H26+H27+H28</f>
        <v>11486.199999999999</v>
      </c>
      <c r="I29" s="67"/>
    </row>
    <row r="30" spans="2:9" ht="36" customHeight="1">
      <c r="B30" s="191"/>
      <c r="C30" s="15"/>
      <c r="D30" s="15"/>
      <c r="E30" s="15"/>
      <c r="F30" s="486"/>
      <c r="G30" s="15"/>
      <c r="H30" s="15"/>
      <c r="I30" s="15"/>
    </row>
    <row r="31" spans="2:10" ht="22.5" customHeight="1">
      <c r="B31" s="785" t="s">
        <v>15</v>
      </c>
      <c r="C31" s="785"/>
      <c r="D31" s="264"/>
      <c r="E31" s="22"/>
      <c r="F31" s="489"/>
      <c r="G31" s="22"/>
      <c r="H31" s="16"/>
      <c r="I31" s="185" t="s">
        <v>674</v>
      </c>
      <c r="J31" s="24"/>
    </row>
    <row r="32" spans="2:10" ht="12.75" customHeight="1">
      <c r="B32" s="264"/>
      <c r="C32" s="264"/>
      <c r="D32" s="264"/>
      <c r="E32" s="22"/>
      <c r="F32" s="489"/>
      <c r="G32" s="22"/>
      <c r="H32" s="16"/>
      <c r="I32" s="185"/>
      <c r="J32" s="24"/>
    </row>
    <row r="33" spans="2:10" ht="18.75">
      <c r="B33" s="694" t="s">
        <v>673</v>
      </c>
      <c r="C33" s="694"/>
      <c r="D33" s="25"/>
      <c r="E33" s="26"/>
      <c r="F33" s="490"/>
      <c r="G33" s="26"/>
      <c r="H33" s="26"/>
      <c r="I33" s="26"/>
      <c r="J33" s="15"/>
    </row>
    <row r="34" spans="2:10" ht="15.75">
      <c r="B34" s="27"/>
      <c r="C34" s="27"/>
      <c r="D34" s="26"/>
      <c r="E34" s="26"/>
      <c r="F34" s="490"/>
      <c r="G34" s="26"/>
      <c r="H34" s="26"/>
      <c r="I34" s="26"/>
      <c r="J34" s="15"/>
    </row>
    <row r="35" spans="2:9" ht="15.75">
      <c r="B35" s="15"/>
      <c r="C35" s="15"/>
      <c r="D35" s="15"/>
      <c r="E35" s="15"/>
      <c r="F35" s="486"/>
      <c r="G35" s="15"/>
      <c r="H35" s="15"/>
      <c r="I35" s="15"/>
    </row>
    <row r="36" spans="2:9" ht="15.75">
      <c r="B36" s="15"/>
      <c r="C36" s="15"/>
      <c r="D36" s="15"/>
      <c r="E36" s="15"/>
      <c r="F36" s="486"/>
      <c r="G36" s="15"/>
      <c r="H36" s="15"/>
      <c r="I36" s="15"/>
    </row>
    <row r="37" spans="2:9" ht="15.75">
      <c r="B37" s="15"/>
      <c r="C37" s="15"/>
      <c r="D37" s="15"/>
      <c r="E37" s="15"/>
      <c r="F37" s="486"/>
      <c r="G37" s="15"/>
      <c r="H37" s="15"/>
      <c r="I37" s="15"/>
    </row>
    <row r="38" spans="2:9" ht="15.75">
      <c r="B38" s="15"/>
      <c r="C38" s="15"/>
      <c r="D38" s="15"/>
      <c r="E38" s="15"/>
      <c r="F38" s="486"/>
      <c r="G38" s="15"/>
      <c r="H38" s="15"/>
      <c r="I38" s="15"/>
    </row>
    <row r="39" spans="2:9" ht="15.75">
      <c r="B39" s="15"/>
      <c r="C39" s="15"/>
      <c r="D39" s="15"/>
      <c r="E39" s="15"/>
      <c r="F39" s="486"/>
      <c r="G39" s="15"/>
      <c r="H39" s="15"/>
      <c r="I39" s="15"/>
    </row>
    <row r="40" spans="2:9" ht="15.75">
      <c r="B40" s="15"/>
      <c r="C40" s="15"/>
      <c r="D40" s="15"/>
      <c r="E40" s="15"/>
      <c r="F40" s="486"/>
      <c r="G40" s="15"/>
      <c r="H40" s="15"/>
      <c r="I40" s="15"/>
    </row>
    <row r="41" spans="2:9" ht="15.75">
      <c r="B41" s="15"/>
      <c r="C41" s="15"/>
      <c r="D41" s="15"/>
      <c r="E41" s="15"/>
      <c r="F41" s="486"/>
      <c r="G41" s="15"/>
      <c r="H41" s="15"/>
      <c r="I41" s="15"/>
    </row>
    <row r="42" spans="2:9" ht="15.75">
      <c r="B42" s="15"/>
      <c r="C42" s="15"/>
      <c r="D42" s="15"/>
      <c r="E42" s="15"/>
      <c r="F42" s="486"/>
      <c r="G42" s="15"/>
      <c r="H42" s="15"/>
      <c r="I42" s="15"/>
    </row>
    <row r="43" spans="2:9" ht="15.75">
      <c r="B43" s="15"/>
      <c r="C43" s="15"/>
      <c r="D43" s="15"/>
      <c r="E43" s="15"/>
      <c r="F43" s="486"/>
      <c r="G43" s="15"/>
      <c r="H43" s="15"/>
      <c r="I43" s="15"/>
    </row>
    <row r="44" spans="2:9" ht="15.75">
      <c r="B44" s="15"/>
      <c r="C44" s="15"/>
      <c r="D44" s="15"/>
      <c r="E44" s="15"/>
      <c r="F44" s="486"/>
      <c r="G44" s="15"/>
      <c r="H44" s="15"/>
      <c r="I44" s="15"/>
    </row>
    <row r="45" spans="2:9" ht="15.75">
      <c r="B45" s="15"/>
      <c r="C45" s="15"/>
      <c r="D45" s="15"/>
      <c r="E45" s="15"/>
      <c r="F45" s="486"/>
      <c r="G45" s="15"/>
      <c r="H45" s="15"/>
      <c r="I45" s="15"/>
    </row>
    <row r="46" spans="2:9" ht="15.75">
      <c r="B46" s="15"/>
      <c r="C46" s="15"/>
      <c r="D46" s="15"/>
      <c r="E46" s="15"/>
      <c r="F46" s="486"/>
      <c r="G46" s="15"/>
      <c r="H46" s="15"/>
      <c r="I46" s="15"/>
    </row>
    <row r="47" spans="2:9" ht="15.75">
      <c r="B47" s="15"/>
      <c r="C47" s="15"/>
      <c r="D47" s="15"/>
      <c r="E47" s="15"/>
      <c r="F47" s="486"/>
      <c r="G47" s="15"/>
      <c r="H47" s="15"/>
      <c r="I47" s="15"/>
    </row>
    <row r="48" spans="2:9" ht="15.75">
      <c r="B48" s="15"/>
      <c r="C48" s="15"/>
      <c r="D48" s="15"/>
      <c r="E48" s="15"/>
      <c r="F48" s="486"/>
      <c r="G48" s="15"/>
      <c r="H48" s="15"/>
      <c r="I48" s="15"/>
    </row>
    <row r="49" spans="2:9" ht="15.75">
      <c r="B49" s="15"/>
      <c r="C49" s="15"/>
      <c r="D49" s="15"/>
      <c r="E49" s="15"/>
      <c r="F49" s="486"/>
      <c r="G49" s="15"/>
      <c r="H49" s="15"/>
      <c r="I49" s="15"/>
    </row>
    <row r="50" spans="2:9" ht="15.75">
      <c r="B50" s="15"/>
      <c r="C50" s="15"/>
      <c r="D50" s="15"/>
      <c r="E50" s="15"/>
      <c r="F50" s="486"/>
      <c r="G50" s="15"/>
      <c r="H50" s="15"/>
      <c r="I50" s="15"/>
    </row>
    <row r="51" spans="2:9" ht="15.75">
      <c r="B51" s="15"/>
      <c r="C51" s="15"/>
      <c r="D51" s="15"/>
      <c r="E51" s="15"/>
      <c r="F51" s="486"/>
      <c r="G51" s="15"/>
      <c r="H51" s="15"/>
      <c r="I51" s="15"/>
    </row>
    <row r="52" spans="2:9" ht="15.75">
      <c r="B52" s="15"/>
      <c r="C52" s="15"/>
      <c r="D52" s="15"/>
      <c r="E52" s="15"/>
      <c r="F52" s="486"/>
      <c r="G52" s="15"/>
      <c r="H52" s="15"/>
      <c r="I52" s="15"/>
    </row>
    <row r="53" spans="2:9" ht="15.75">
      <c r="B53" s="15"/>
      <c r="C53" s="15"/>
      <c r="D53" s="15"/>
      <c r="E53" s="15"/>
      <c r="F53" s="486"/>
      <c r="G53" s="15"/>
      <c r="H53" s="15"/>
      <c r="I53" s="15"/>
    </row>
    <row r="54" spans="2:9" ht="15.75">
      <c r="B54" s="15"/>
      <c r="C54" s="15"/>
      <c r="D54" s="15"/>
      <c r="E54" s="15"/>
      <c r="F54" s="486"/>
      <c r="G54" s="15"/>
      <c r="H54" s="15"/>
      <c r="I54" s="15"/>
    </row>
    <row r="55" spans="2:9" ht="15.75">
      <c r="B55" s="15"/>
      <c r="C55" s="15"/>
      <c r="D55" s="15"/>
      <c r="E55" s="15"/>
      <c r="F55" s="486"/>
      <c r="G55" s="15"/>
      <c r="H55" s="15"/>
      <c r="I55" s="15"/>
    </row>
    <row r="56" spans="2:9" ht="15.75">
      <c r="B56" s="15"/>
      <c r="C56" s="15"/>
      <c r="D56" s="15"/>
      <c r="E56" s="15"/>
      <c r="F56" s="486"/>
      <c r="G56" s="15"/>
      <c r="H56" s="15"/>
      <c r="I56" s="15"/>
    </row>
    <row r="57" spans="2:9" ht="15.75">
      <c r="B57" s="15"/>
      <c r="C57" s="15"/>
      <c r="D57" s="15"/>
      <c r="E57" s="15"/>
      <c r="F57" s="486"/>
      <c r="G57" s="15"/>
      <c r="H57" s="15"/>
      <c r="I57" s="15"/>
    </row>
    <row r="58" spans="2:9" ht="15.75">
      <c r="B58" s="15"/>
      <c r="C58" s="15"/>
      <c r="D58" s="15"/>
      <c r="E58" s="15"/>
      <c r="F58" s="486"/>
      <c r="G58" s="15"/>
      <c r="H58" s="15"/>
      <c r="I58" s="15"/>
    </row>
    <row r="59" spans="2:9" ht="15.75">
      <c r="B59" s="15"/>
      <c r="C59" s="15"/>
      <c r="D59" s="15"/>
      <c r="E59" s="15"/>
      <c r="F59" s="486"/>
      <c r="G59" s="15"/>
      <c r="H59" s="15"/>
      <c r="I59" s="15"/>
    </row>
    <row r="60" spans="2:9" ht="15.75">
      <c r="B60" s="15"/>
      <c r="C60" s="15"/>
      <c r="D60" s="15"/>
      <c r="E60" s="15"/>
      <c r="F60" s="486"/>
      <c r="G60" s="15"/>
      <c r="H60" s="15"/>
      <c r="I60" s="15"/>
    </row>
    <row r="61" spans="2:9" ht="15.75">
      <c r="B61" s="15"/>
      <c r="C61" s="15"/>
      <c r="D61" s="15"/>
      <c r="E61" s="15"/>
      <c r="F61" s="486"/>
      <c r="G61" s="15"/>
      <c r="H61" s="15"/>
      <c r="I61" s="15"/>
    </row>
    <row r="62" spans="2:9" ht="15.75">
      <c r="B62" s="15"/>
      <c r="C62" s="15"/>
      <c r="D62" s="15"/>
      <c r="E62" s="15"/>
      <c r="F62" s="486"/>
      <c r="G62" s="15"/>
      <c r="H62" s="15"/>
      <c r="I62" s="15"/>
    </row>
    <row r="63" spans="2:9" ht="15.75">
      <c r="B63" s="15"/>
      <c r="C63" s="15"/>
      <c r="D63" s="15"/>
      <c r="E63" s="15"/>
      <c r="F63" s="486"/>
      <c r="G63" s="15"/>
      <c r="H63" s="15"/>
      <c r="I63" s="15"/>
    </row>
    <row r="64" spans="2:9" ht="15.75">
      <c r="B64" s="15"/>
      <c r="C64" s="15"/>
      <c r="D64" s="15"/>
      <c r="E64" s="15"/>
      <c r="F64" s="486"/>
      <c r="G64" s="15"/>
      <c r="H64" s="15"/>
      <c r="I64" s="15"/>
    </row>
    <row r="65" spans="2:9" ht="15.75">
      <c r="B65" s="15"/>
      <c r="C65" s="15"/>
      <c r="D65" s="15"/>
      <c r="E65" s="15"/>
      <c r="F65" s="486"/>
      <c r="G65" s="15"/>
      <c r="H65" s="15"/>
      <c r="I65" s="15"/>
    </row>
    <row r="66" spans="2:9" ht="15.75">
      <c r="B66" s="15"/>
      <c r="C66" s="15"/>
      <c r="D66" s="15"/>
      <c r="E66" s="15"/>
      <c r="F66" s="486"/>
      <c r="G66" s="15"/>
      <c r="H66" s="15"/>
      <c r="I66" s="15"/>
    </row>
    <row r="67" spans="2:9" ht="15.75">
      <c r="B67" s="15"/>
      <c r="C67" s="15"/>
      <c r="D67" s="15"/>
      <c r="E67" s="15"/>
      <c r="F67" s="486"/>
      <c r="G67" s="15"/>
      <c r="H67" s="15"/>
      <c r="I67" s="15"/>
    </row>
    <row r="68" spans="2:9" ht="15.75">
      <c r="B68" s="15"/>
      <c r="C68" s="15"/>
      <c r="D68" s="15"/>
      <c r="E68" s="15"/>
      <c r="F68" s="486"/>
      <c r="G68" s="15"/>
      <c r="H68" s="15"/>
      <c r="I68" s="15"/>
    </row>
    <row r="69" spans="2:9" ht="15.75">
      <c r="B69" s="15"/>
      <c r="C69" s="15"/>
      <c r="D69" s="15"/>
      <c r="E69" s="15"/>
      <c r="F69" s="486"/>
      <c r="G69" s="15"/>
      <c r="H69" s="15"/>
      <c r="I69" s="15"/>
    </row>
    <row r="70" spans="2:9" ht="15.75">
      <c r="B70" s="15"/>
      <c r="C70" s="15"/>
      <c r="D70" s="15"/>
      <c r="E70" s="15"/>
      <c r="F70" s="486"/>
      <c r="G70" s="15"/>
      <c r="H70" s="15"/>
      <c r="I70" s="15"/>
    </row>
    <row r="71" spans="2:9" ht="15.75">
      <c r="B71" s="15"/>
      <c r="C71" s="15"/>
      <c r="D71" s="15"/>
      <c r="E71" s="15"/>
      <c r="F71" s="486"/>
      <c r="G71" s="15"/>
      <c r="H71" s="15"/>
      <c r="I71" s="15"/>
    </row>
    <row r="72" spans="2:9" ht="15.75">
      <c r="B72" s="15"/>
      <c r="C72" s="15"/>
      <c r="D72" s="15"/>
      <c r="E72" s="15"/>
      <c r="F72" s="486"/>
      <c r="G72" s="15"/>
      <c r="H72" s="15"/>
      <c r="I72" s="15"/>
    </row>
    <row r="73" spans="2:9" ht="15.75">
      <c r="B73" s="15"/>
      <c r="C73" s="15"/>
      <c r="D73" s="15"/>
      <c r="E73" s="15"/>
      <c r="F73" s="486"/>
      <c r="G73" s="15"/>
      <c r="H73" s="15"/>
      <c r="I73" s="15"/>
    </row>
    <row r="74" spans="2:9" ht="15.75">
      <c r="B74" s="15"/>
      <c r="C74" s="15"/>
      <c r="D74" s="15"/>
      <c r="E74" s="15"/>
      <c r="F74" s="486"/>
      <c r="G74" s="15"/>
      <c r="H74" s="15"/>
      <c r="I74" s="15"/>
    </row>
    <row r="75" spans="2:9" ht="15.75">
      <c r="B75" s="15"/>
      <c r="C75" s="15"/>
      <c r="D75" s="15"/>
      <c r="E75" s="15"/>
      <c r="F75" s="486"/>
      <c r="G75" s="15"/>
      <c r="H75" s="15"/>
      <c r="I75" s="15"/>
    </row>
    <row r="76" spans="2:9" ht="15.75">
      <c r="B76" s="15"/>
      <c r="C76" s="15"/>
      <c r="D76" s="15"/>
      <c r="E76" s="15"/>
      <c r="F76" s="486"/>
      <c r="G76" s="15"/>
      <c r="H76" s="15"/>
      <c r="I76" s="15"/>
    </row>
    <row r="77" spans="2:9" ht="15.75">
      <c r="B77" s="15"/>
      <c r="C77" s="15"/>
      <c r="D77" s="15"/>
      <c r="E77" s="15"/>
      <c r="F77" s="486"/>
      <c r="G77" s="15"/>
      <c r="H77" s="15"/>
      <c r="I77" s="15"/>
    </row>
    <row r="78" spans="2:9" ht="15.75">
      <c r="B78" s="15"/>
      <c r="C78" s="15"/>
      <c r="D78" s="15"/>
      <c r="E78" s="15"/>
      <c r="F78" s="486"/>
      <c r="G78" s="15"/>
      <c r="H78" s="15"/>
      <c r="I78" s="15"/>
    </row>
    <row r="79" spans="2:9" ht="15.75">
      <c r="B79" s="15"/>
      <c r="C79" s="15"/>
      <c r="D79" s="15"/>
      <c r="E79" s="15"/>
      <c r="F79" s="486"/>
      <c r="G79" s="15"/>
      <c r="H79" s="15"/>
      <c r="I79" s="15"/>
    </row>
    <row r="80" spans="2:9" ht="15.75">
      <c r="B80" s="15"/>
      <c r="C80" s="15"/>
      <c r="D80" s="15"/>
      <c r="E80" s="15"/>
      <c r="F80" s="486"/>
      <c r="G80" s="15"/>
      <c r="H80" s="15"/>
      <c r="I80" s="15"/>
    </row>
    <row r="81" spans="2:9" ht="15.75">
      <c r="B81" s="15"/>
      <c r="C81" s="15"/>
      <c r="D81" s="15"/>
      <c r="E81" s="15"/>
      <c r="F81" s="486"/>
      <c r="G81" s="15"/>
      <c r="H81" s="15"/>
      <c r="I81" s="15"/>
    </row>
    <row r="82" spans="2:9" ht="15.75">
      <c r="B82" s="15"/>
      <c r="C82" s="15"/>
      <c r="D82" s="15"/>
      <c r="E82" s="15"/>
      <c r="F82" s="486"/>
      <c r="G82" s="15"/>
      <c r="H82" s="15"/>
      <c r="I82" s="15"/>
    </row>
    <row r="83" spans="2:9" ht="15.75">
      <c r="B83" s="15"/>
      <c r="C83" s="15"/>
      <c r="D83" s="15"/>
      <c r="E83" s="15"/>
      <c r="F83" s="486"/>
      <c r="G83" s="15"/>
      <c r="H83" s="15"/>
      <c r="I83" s="15"/>
    </row>
    <row r="84" spans="2:9" ht="15.75">
      <c r="B84" s="15"/>
      <c r="C84" s="15"/>
      <c r="D84" s="15"/>
      <c r="E84" s="15"/>
      <c r="F84" s="486"/>
      <c r="G84" s="15"/>
      <c r="H84" s="15"/>
      <c r="I84" s="15"/>
    </row>
    <row r="85" spans="2:9" ht="15.75">
      <c r="B85" s="15"/>
      <c r="C85" s="15"/>
      <c r="D85" s="15"/>
      <c r="E85" s="15"/>
      <c r="F85" s="486"/>
      <c r="G85" s="15"/>
      <c r="H85" s="15"/>
      <c r="I85" s="15"/>
    </row>
    <row r="86" spans="2:9" ht="15.75">
      <c r="B86" s="15"/>
      <c r="C86" s="15"/>
      <c r="D86" s="15"/>
      <c r="E86" s="15"/>
      <c r="F86" s="486"/>
      <c r="G86" s="15"/>
      <c r="H86" s="15"/>
      <c r="I86" s="15"/>
    </row>
    <row r="87" spans="2:9" ht="15.75">
      <c r="B87" s="15"/>
      <c r="C87" s="15"/>
      <c r="D87" s="15"/>
      <c r="E87" s="15"/>
      <c r="F87" s="486"/>
      <c r="G87" s="15"/>
      <c r="H87" s="15"/>
      <c r="I87" s="15"/>
    </row>
    <row r="88" spans="2:9" ht="15.75">
      <c r="B88" s="15"/>
      <c r="C88" s="15"/>
      <c r="D88" s="15"/>
      <c r="E88" s="15"/>
      <c r="F88" s="486"/>
      <c r="G88" s="15"/>
      <c r="H88" s="15"/>
      <c r="I88" s="15"/>
    </row>
    <row r="89" spans="2:9" ht="15.75">
      <c r="B89" s="15"/>
      <c r="C89" s="15"/>
      <c r="D89" s="15"/>
      <c r="E89" s="15"/>
      <c r="F89" s="486"/>
      <c r="G89" s="15"/>
      <c r="H89" s="15"/>
      <c r="I89" s="15"/>
    </row>
    <row r="90" spans="2:9" ht="15.75">
      <c r="B90" s="15"/>
      <c r="C90" s="15"/>
      <c r="D90" s="15"/>
      <c r="E90" s="15"/>
      <c r="F90" s="486"/>
      <c r="G90" s="15"/>
      <c r="H90" s="15"/>
      <c r="I90" s="15"/>
    </row>
    <row r="91" spans="2:9" ht="15.75">
      <c r="B91" s="15"/>
      <c r="C91" s="15"/>
      <c r="D91" s="15"/>
      <c r="E91" s="15"/>
      <c r="F91" s="486"/>
      <c r="G91" s="15"/>
      <c r="H91" s="15"/>
      <c r="I91" s="15"/>
    </row>
    <row r="92" spans="2:9" ht="15.75">
      <c r="B92" s="15"/>
      <c r="C92" s="15"/>
      <c r="D92" s="15"/>
      <c r="E92" s="15"/>
      <c r="F92" s="486"/>
      <c r="G92" s="15"/>
      <c r="H92" s="15"/>
      <c r="I92" s="15"/>
    </row>
    <row r="93" spans="2:9" ht="15.75">
      <c r="B93" s="15"/>
      <c r="C93" s="15"/>
      <c r="D93" s="15"/>
      <c r="E93" s="15"/>
      <c r="F93" s="486"/>
      <c r="G93" s="15"/>
      <c r="H93" s="15"/>
      <c r="I93" s="15"/>
    </row>
    <row r="94" spans="2:9" ht="15.75">
      <c r="B94" s="15"/>
      <c r="C94" s="15"/>
      <c r="D94" s="15"/>
      <c r="E94" s="15"/>
      <c r="F94" s="486"/>
      <c r="G94" s="15"/>
      <c r="H94" s="15"/>
      <c r="I94" s="15"/>
    </row>
    <row r="95" spans="2:9" ht="15.75">
      <c r="B95" s="15"/>
      <c r="C95" s="15"/>
      <c r="D95" s="15"/>
      <c r="E95" s="15"/>
      <c r="F95" s="486"/>
      <c r="G95" s="15"/>
      <c r="H95" s="15"/>
      <c r="I95" s="15"/>
    </row>
    <row r="96" spans="2:9" ht="15.75">
      <c r="B96" s="15"/>
      <c r="C96" s="15"/>
      <c r="D96" s="15"/>
      <c r="E96" s="15"/>
      <c r="F96" s="486"/>
      <c r="G96" s="15"/>
      <c r="H96" s="15"/>
      <c r="I96" s="15"/>
    </row>
    <row r="97" spans="2:9" ht="15.75">
      <c r="B97" s="15"/>
      <c r="C97" s="15"/>
      <c r="D97" s="15"/>
      <c r="E97" s="15"/>
      <c r="F97" s="486"/>
      <c r="G97" s="15"/>
      <c r="H97" s="15"/>
      <c r="I97" s="15"/>
    </row>
    <row r="98" spans="2:9" ht="15.75">
      <c r="B98" s="15"/>
      <c r="C98" s="15"/>
      <c r="D98" s="15"/>
      <c r="E98" s="15"/>
      <c r="F98" s="486"/>
      <c r="G98" s="15"/>
      <c r="H98" s="15"/>
      <c r="I98" s="15"/>
    </row>
    <row r="99" spans="2:9" ht="15.75">
      <c r="B99" s="15"/>
      <c r="C99" s="15"/>
      <c r="D99" s="15"/>
      <c r="E99" s="15"/>
      <c r="F99" s="486"/>
      <c r="G99" s="15"/>
      <c r="H99" s="15"/>
      <c r="I99" s="15"/>
    </row>
    <row r="100" spans="2:9" ht="15.75">
      <c r="B100" s="15"/>
      <c r="C100" s="15"/>
      <c r="D100" s="15"/>
      <c r="E100" s="15"/>
      <c r="F100" s="486"/>
      <c r="G100" s="15"/>
      <c r="H100" s="15"/>
      <c r="I100" s="15"/>
    </row>
    <row r="101" spans="2:9" ht="15.75">
      <c r="B101" s="15"/>
      <c r="C101" s="15"/>
      <c r="D101" s="15"/>
      <c r="E101" s="15"/>
      <c r="F101" s="486"/>
      <c r="G101" s="15"/>
      <c r="H101" s="15"/>
      <c r="I101" s="15"/>
    </row>
    <row r="102" spans="2:9" ht="15.75">
      <c r="B102" s="15"/>
      <c r="C102" s="15"/>
      <c r="D102" s="15"/>
      <c r="E102" s="15"/>
      <c r="F102" s="486"/>
      <c r="G102" s="15"/>
      <c r="H102" s="15"/>
      <c r="I102" s="15"/>
    </row>
    <row r="103" spans="2:9" ht="15.75">
      <c r="B103" s="15"/>
      <c r="C103" s="15"/>
      <c r="D103" s="15"/>
      <c r="E103" s="15"/>
      <c r="F103" s="486"/>
      <c r="G103" s="15"/>
      <c r="H103" s="15"/>
      <c r="I103" s="15"/>
    </row>
    <row r="104" spans="2:9" ht="15.75">
      <c r="B104" s="15"/>
      <c r="C104" s="15"/>
      <c r="D104" s="15"/>
      <c r="E104" s="15"/>
      <c r="F104" s="486"/>
      <c r="G104" s="15"/>
      <c r="H104" s="15"/>
      <c r="I104" s="15"/>
    </row>
    <row r="105" spans="2:9" ht="15.75">
      <c r="B105" s="15"/>
      <c r="C105" s="15"/>
      <c r="D105" s="15"/>
      <c r="E105" s="15"/>
      <c r="F105" s="486"/>
      <c r="G105" s="15"/>
      <c r="H105" s="15"/>
      <c r="I105" s="15"/>
    </row>
    <row r="106" spans="2:9" ht="15.75">
      <c r="B106" s="15"/>
      <c r="C106" s="15"/>
      <c r="D106" s="15"/>
      <c r="E106" s="15"/>
      <c r="F106" s="486"/>
      <c r="G106" s="15"/>
      <c r="H106" s="15"/>
      <c r="I106" s="15"/>
    </row>
    <row r="107" spans="2:9" ht="15.75">
      <c r="B107" s="15"/>
      <c r="C107" s="15"/>
      <c r="D107" s="15"/>
      <c r="E107" s="15"/>
      <c r="F107" s="486"/>
      <c r="G107" s="15"/>
      <c r="H107" s="15"/>
      <c r="I107" s="15"/>
    </row>
    <row r="108" spans="2:9" ht="15.75">
      <c r="B108" s="15"/>
      <c r="C108" s="15"/>
      <c r="D108" s="15"/>
      <c r="E108" s="15"/>
      <c r="F108" s="486"/>
      <c r="G108" s="15"/>
      <c r="H108" s="15"/>
      <c r="I108" s="15"/>
    </row>
    <row r="109" spans="2:9" ht="15.75">
      <c r="B109" s="15"/>
      <c r="C109" s="15"/>
      <c r="D109" s="15"/>
      <c r="E109" s="15"/>
      <c r="F109" s="486"/>
      <c r="G109" s="15"/>
      <c r="H109" s="15"/>
      <c r="I109" s="15"/>
    </row>
    <row r="110" spans="2:9" ht="15.75">
      <c r="B110" s="15"/>
      <c r="C110" s="15"/>
      <c r="D110" s="15"/>
      <c r="E110" s="15"/>
      <c r="F110" s="486"/>
      <c r="G110" s="15"/>
      <c r="H110" s="15"/>
      <c r="I110" s="15"/>
    </row>
    <row r="111" spans="2:9" ht="15.75">
      <c r="B111" s="15"/>
      <c r="C111" s="15"/>
      <c r="D111" s="15"/>
      <c r="E111" s="15"/>
      <c r="F111" s="486"/>
      <c r="G111" s="15"/>
      <c r="H111" s="15"/>
      <c r="I111" s="15"/>
    </row>
    <row r="112" spans="2:9" ht="15.75">
      <c r="B112" s="15"/>
      <c r="C112" s="15"/>
      <c r="D112" s="15"/>
      <c r="E112" s="15"/>
      <c r="F112" s="486"/>
      <c r="G112" s="15"/>
      <c r="H112" s="15"/>
      <c r="I112" s="15"/>
    </row>
    <row r="113" spans="2:9" ht="15.75">
      <c r="B113" s="15"/>
      <c r="C113" s="15"/>
      <c r="D113" s="15"/>
      <c r="E113" s="15"/>
      <c r="F113" s="486"/>
      <c r="G113" s="15"/>
      <c r="H113" s="15"/>
      <c r="I113" s="15"/>
    </row>
    <row r="114" spans="2:9" ht="15.75">
      <c r="B114" s="15"/>
      <c r="C114" s="15"/>
      <c r="D114" s="15"/>
      <c r="E114" s="15"/>
      <c r="F114" s="486"/>
      <c r="G114" s="15"/>
      <c r="H114" s="15"/>
      <c r="I114" s="15"/>
    </row>
    <row r="115" spans="2:9" ht="15.75">
      <c r="B115" s="15"/>
      <c r="C115" s="15"/>
      <c r="D115" s="15"/>
      <c r="E115" s="15"/>
      <c r="F115" s="486"/>
      <c r="G115" s="15"/>
      <c r="H115" s="15"/>
      <c r="I115" s="15"/>
    </row>
    <row r="116" spans="2:9" ht="15.75">
      <c r="B116" s="15"/>
      <c r="C116" s="15"/>
      <c r="D116" s="15"/>
      <c r="E116" s="15"/>
      <c r="F116" s="486"/>
      <c r="G116" s="15"/>
      <c r="H116" s="15"/>
      <c r="I116" s="15"/>
    </row>
    <row r="117" spans="2:9" ht="15.75">
      <c r="B117" s="15"/>
      <c r="C117" s="15"/>
      <c r="D117" s="15"/>
      <c r="E117" s="15"/>
      <c r="F117" s="486"/>
      <c r="G117" s="15"/>
      <c r="H117" s="15"/>
      <c r="I117" s="15"/>
    </row>
    <row r="118" spans="2:9" ht="15.75">
      <c r="B118" s="15"/>
      <c r="C118" s="15"/>
      <c r="D118" s="15"/>
      <c r="E118" s="15"/>
      <c r="F118" s="486"/>
      <c r="G118" s="15"/>
      <c r="H118" s="15"/>
      <c r="I118" s="15"/>
    </row>
    <row r="119" spans="2:9" ht="15.75">
      <c r="B119" s="15"/>
      <c r="C119" s="15"/>
      <c r="D119" s="15"/>
      <c r="E119" s="15"/>
      <c r="F119" s="486"/>
      <c r="G119" s="15"/>
      <c r="H119" s="15"/>
      <c r="I119" s="15"/>
    </row>
    <row r="120" spans="2:9" ht="15.75">
      <c r="B120" s="15"/>
      <c r="C120" s="15"/>
      <c r="D120" s="15"/>
      <c r="E120" s="15"/>
      <c r="F120" s="486"/>
      <c r="G120" s="15"/>
      <c r="H120" s="15"/>
      <c r="I120" s="15"/>
    </row>
    <row r="121" spans="2:9" ht="15.75">
      <c r="B121" s="15"/>
      <c r="C121" s="15"/>
      <c r="D121" s="15"/>
      <c r="E121" s="15"/>
      <c r="F121" s="486"/>
      <c r="G121" s="15"/>
      <c r="H121" s="15"/>
      <c r="I121" s="15"/>
    </row>
    <row r="122" spans="2:9" ht="15.75">
      <c r="B122" s="15"/>
      <c r="C122" s="15"/>
      <c r="D122" s="15"/>
      <c r="E122" s="15"/>
      <c r="F122" s="486"/>
      <c r="G122" s="15"/>
      <c r="H122" s="15"/>
      <c r="I122" s="15"/>
    </row>
    <row r="123" spans="2:9" ht="15.75">
      <c r="B123" s="15"/>
      <c r="C123" s="15"/>
      <c r="D123" s="15"/>
      <c r="E123" s="15"/>
      <c r="F123" s="486"/>
      <c r="G123" s="15"/>
      <c r="H123" s="15"/>
      <c r="I123" s="15"/>
    </row>
    <row r="124" spans="2:9" ht="15.75">
      <c r="B124" s="15"/>
      <c r="C124" s="15"/>
      <c r="D124" s="15"/>
      <c r="E124" s="15"/>
      <c r="F124" s="486"/>
      <c r="G124" s="15"/>
      <c r="H124" s="15"/>
      <c r="I124" s="15"/>
    </row>
    <row r="125" spans="2:9" ht="15.75">
      <c r="B125" s="15"/>
      <c r="C125" s="15"/>
      <c r="D125" s="15"/>
      <c r="E125" s="15"/>
      <c r="F125" s="486"/>
      <c r="G125" s="15"/>
      <c r="H125" s="15"/>
      <c r="I125" s="15"/>
    </row>
    <row r="126" spans="2:9" ht="15.75">
      <c r="B126" s="15"/>
      <c r="C126" s="15"/>
      <c r="D126" s="15"/>
      <c r="E126" s="15"/>
      <c r="F126" s="486"/>
      <c r="G126" s="15"/>
      <c r="H126" s="15"/>
      <c r="I126" s="15"/>
    </row>
    <row r="127" spans="2:9" ht="15.75">
      <c r="B127" s="15"/>
      <c r="C127" s="15"/>
      <c r="D127" s="15"/>
      <c r="E127" s="15"/>
      <c r="F127" s="486"/>
      <c r="G127" s="15"/>
      <c r="H127" s="15"/>
      <c r="I127" s="15"/>
    </row>
    <row r="128" spans="2:9" ht="15.75">
      <c r="B128" s="15"/>
      <c r="C128" s="15"/>
      <c r="D128" s="15"/>
      <c r="E128" s="15"/>
      <c r="F128" s="486"/>
      <c r="G128" s="15"/>
      <c r="H128" s="15"/>
      <c r="I128" s="15"/>
    </row>
    <row r="129" spans="2:9" ht="15.75">
      <c r="B129" s="15"/>
      <c r="C129" s="15"/>
      <c r="D129" s="15"/>
      <c r="E129" s="15"/>
      <c r="F129" s="486"/>
      <c r="G129" s="15"/>
      <c r="H129" s="15"/>
      <c r="I129" s="15"/>
    </row>
    <row r="130" spans="2:9" ht="15.75">
      <c r="B130" s="15"/>
      <c r="C130" s="15"/>
      <c r="D130" s="15"/>
      <c r="E130" s="15"/>
      <c r="F130" s="486"/>
      <c r="G130" s="15"/>
      <c r="H130" s="15"/>
      <c r="I130" s="15"/>
    </row>
    <row r="131" spans="2:9" ht="15.75">
      <c r="B131" s="15"/>
      <c r="C131" s="15"/>
      <c r="D131" s="15"/>
      <c r="E131" s="15"/>
      <c r="F131" s="486"/>
      <c r="G131" s="15"/>
      <c r="H131" s="15"/>
      <c r="I131" s="15"/>
    </row>
  </sheetData>
  <sheetProtection/>
  <mergeCells count="13">
    <mergeCell ref="E14:E15"/>
    <mergeCell ref="G14:G15"/>
    <mergeCell ref="H14:H15"/>
    <mergeCell ref="B31:C31"/>
    <mergeCell ref="B33:C33"/>
    <mergeCell ref="B11:I11"/>
    <mergeCell ref="I8:N8"/>
    <mergeCell ref="A13:A15"/>
    <mergeCell ref="B13:B15"/>
    <mergeCell ref="C13:C15"/>
    <mergeCell ref="D13:D15"/>
    <mergeCell ref="E13:H13"/>
    <mergeCell ref="I13:I15"/>
  </mergeCells>
  <printOptions horizontalCentered="1"/>
  <pageMargins left="0" right="0" top="1.1811023622047245" bottom="0" header="0" footer="0"/>
  <pageSetup fitToHeight="2"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tabColor theme="0"/>
    <pageSetUpPr fitToPage="1"/>
  </sheetPr>
  <dimension ref="A1:O29"/>
  <sheetViews>
    <sheetView view="pageBreakPreview" zoomScale="82" zoomScaleSheetLayoutView="82" zoomScalePageLayoutView="0" workbookViewId="0" topLeftCell="A1">
      <selection activeCell="J9" sqref="J9:K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437</v>
      </c>
      <c r="K1" s="344"/>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301</v>
      </c>
      <c r="K3" s="12"/>
      <c r="L3" s="15"/>
      <c r="M3" s="12"/>
      <c r="N3" s="12"/>
      <c r="O3" s="12"/>
    </row>
    <row r="4" spans="2:15" ht="15.75">
      <c r="B4" s="1"/>
      <c r="C4" s="1"/>
      <c r="D4" s="1"/>
      <c r="E4" s="1"/>
      <c r="F4" s="1"/>
      <c r="G4" s="1"/>
      <c r="H4" s="1"/>
      <c r="I4" s="3" t="s">
        <v>17</v>
      </c>
      <c r="J4" s="17" t="s">
        <v>302</v>
      </c>
      <c r="K4" s="17"/>
      <c r="L4" s="15"/>
      <c r="M4" s="12"/>
      <c r="N4" s="12"/>
      <c r="O4" s="12"/>
    </row>
    <row r="5" spans="2:15" ht="15.75">
      <c r="B5" s="1"/>
      <c r="C5" s="1"/>
      <c r="D5" s="1"/>
      <c r="E5" s="1"/>
      <c r="F5" s="1"/>
      <c r="G5" s="1"/>
      <c r="H5" s="1"/>
      <c r="I5" s="3" t="s">
        <v>18</v>
      </c>
      <c r="J5" s="17" t="s">
        <v>564</v>
      </c>
      <c r="K5" s="17"/>
      <c r="L5" s="15"/>
      <c r="M5" s="12"/>
      <c r="N5" s="12"/>
      <c r="O5" s="12"/>
    </row>
    <row r="6" spans="2:15" ht="15.75">
      <c r="B6" s="1"/>
      <c r="C6" s="1"/>
      <c r="D6" s="1"/>
      <c r="E6" s="1"/>
      <c r="F6" s="1"/>
      <c r="G6" s="1"/>
      <c r="H6" s="1"/>
      <c r="I6" s="3"/>
      <c r="J6" s="17" t="s">
        <v>582</v>
      </c>
      <c r="K6" s="17"/>
      <c r="L6" s="245"/>
      <c r="M6" s="12"/>
      <c r="N6" s="12"/>
      <c r="O6" s="12"/>
    </row>
    <row r="7" spans="2:15" ht="15.75" customHeight="1">
      <c r="B7" s="1"/>
      <c r="C7" s="1"/>
      <c r="D7" s="1"/>
      <c r="E7" s="1"/>
      <c r="F7" s="1"/>
      <c r="G7" s="1"/>
      <c r="H7" s="9"/>
      <c r="I7" s="3" t="s">
        <v>19</v>
      </c>
      <c r="J7" s="17" t="s">
        <v>583</v>
      </c>
      <c r="K7" s="17"/>
      <c r="L7" s="245"/>
      <c r="M7" s="12"/>
      <c r="N7" s="12"/>
      <c r="O7" s="12"/>
    </row>
    <row r="8" spans="2:15" ht="15.75">
      <c r="B8" s="1"/>
      <c r="C8" s="1"/>
      <c r="D8" s="1"/>
      <c r="E8" s="1"/>
      <c r="F8" s="1"/>
      <c r="G8" s="1"/>
      <c r="H8" s="9"/>
      <c r="I8" s="3"/>
      <c r="J8" s="745" t="s">
        <v>577</v>
      </c>
      <c r="K8" s="745"/>
      <c r="L8" s="745"/>
      <c r="M8" s="745"/>
      <c r="N8" s="745"/>
      <c r="O8" s="745"/>
    </row>
    <row r="9" spans="2:15" ht="16.5" customHeight="1">
      <c r="B9" s="1"/>
      <c r="C9" s="1"/>
      <c r="D9" s="1"/>
      <c r="E9" s="1"/>
      <c r="F9" s="1"/>
      <c r="G9" s="1"/>
      <c r="H9" s="1"/>
      <c r="I9" s="1"/>
      <c r="J9" s="745" t="s">
        <v>687</v>
      </c>
      <c r="K9" s="745"/>
      <c r="L9" s="553"/>
      <c r="M9" s="553"/>
      <c r="N9" s="553"/>
      <c r="O9" s="553"/>
    </row>
    <row r="10" spans="2:12" ht="35.25" customHeight="1">
      <c r="B10" s="693" t="s">
        <v>482</v>
      </c>
      <c r="C10" s="693"/>
      <c r="D10" s="693"/>
      <c r="E10" s="693"/>
      <c r="F10" s="693"/>
      <c r="G10" s="693"/>
      <c r="H10" s="693"/>
      <c r="I10" s="693"/>
      <c r="J10" s="693"/>
      <c r="K10" s="693"/>
      <c r="L10" s="1"/>
    </row>
    <row r="11" spans="2:12" ht="15.75">
      <c r="B11" s="1"/>
      <c r="C11" s="1"/>
      <c r="D11" s="793"/>
      <c r="E11" s="793"/>
      <c r="F11" s="793"/>
      <c r="G11" s="793"/>
      <c r="H11" s="793"/>
      <c r="I11" s="1"/>
      <c r="J11" s="1"/>
      <c r="K11" s="44" t="s">
        <v>250</v>
      </c>
      <c r="L11" s="1"/>
    </row>
    <row r="12" spans="1:12" ht="25.5" customHeight="1">
      <c r="A12" s="788" t="s">
        <v>26</v>
      </c>
      <c r="B12" s="788" t="s">
        <v>10</v>
      </c>
      <c r="C12" s="788" t="s">
        <v>11</v>
      </c>
      <c r="D12" s="788" t="s">
        <v>239</v>
      </c>
      <c r="E12" s="791" t="s">
        <v>7</v>
      </c>
      <c r="F12" s="791"/>
      <c r="G12" s="791"/>
      <c r="H12" s="791"/>
      <c r="I12" s="791"/>
      <c r="J12" s="792"/>
      <c r="K12" s="765" t="s">
        <v>13</v>
      </c>
      <c r="L12" s="1"/>
    </row>
    <row r="13" spans="1:12" ht="15.75">
      <c r="A13" s="789"/>
      <c r="B13" s="789"/>
      <c r="C13" s="789"/>
      <c r="D13" s="789"/>
      <c r="E13" s="788">
        <v>2021</v>
      </c>
      <c r="F13" s="788">
        <v>2022</v>
      </c>
      <c r="G13" s="788" t="s">
        <v>22</v>
      </c>
      <c r="H13" s="788" t="s">
        <v>23</v>
      </c>
      <c r="I13" s="788" t="s">
        <v>24</v>
      </c>
      <c r="J13" s="765">
        <v>2023</v>
      </c>
      <c r="K13" s="765"/>
      <c r="L13" s="1"/>
    </row>
    <row r="14" spans="1:12" ht="15.75">
      <c r="A14" s="790"/>
      <c r="B14" s="790"/>
      <c r="C14" s="790"/>
      <c r="D14" s="790"/>
      <c r="E14" s="790"/>
      <c r="F14" s="790"/>
      <c r="G14" s="790"/>
      <c r="H14" s="790"/>
      <c r="I14" s="790"/>
      <c r="J14" s="765"/>
      <c r="K14" s="765"/>
      <c r="L14" s="1"/>
    </row>
    <row r="15" spans="1:12" ht="70.5" customHeight="1">
      <c r="A15" s="312">
        <v>1</v>
      </c>
      <c r="B15" s="447" t="s">
        <v>146</v>
      </c>
      <c r="C15" s="184" t="s">
        <v>340</v>
      </c>
      <c r="D15" s="386">
        <f>E15+F15+J15</f>
        <v>5064.200000000001</v>
      </c>
      <c r="E15" s="672">
        <f>1775.3-613.3</f>
        <v>1162</v>
      </c>
      <c r="F15" s="387">
        <v>1894.3</v>
      </c>
      <c r="G15" s="388"/>
      <c r="H15" s="388"/>
      <c r="I15" s="388"/>
      <c r="J15" s="388">
        <v>2007.9</v>
      </c>
      <c r="K15" s="312" t="s">
        <v>161</v>
      </c>
      <c r="L15" s="1"/>
    </row>
    <row r="16" spans="1:12" ht="32.25" customHeight="1">
      <c r="A16" s="75"/>
      <c r="B16" s="54" t="s">
        <v>4</v>
      </c>
      <c r="C16" s="55"/>
      <c r="D16" s="386">
        <f>E16+F16+J16</f>
        <v>5064.200000000001</v>
      </c>
      <c r="E16" s="386">
        <f aca="true" t="shared" si="0" ref="E16:J16">E15</f>
        <v>1162</v>
      </c>
      <c r="F16" s="386">
        <f t="shared" si="0"/>
        <v>1894.3</v>
      </c>
      <c r="G16" s="386">
        <f t="shared" si="0"/>
        <v>0</v>
      </c>
      <c r="H16" s="386">
        <f t="shared" si="0"/>
        <v>0</v>
      </c>
      <c r="I16" s="386">
        <f t="shared" si="0"/>
        <v>0</v>
      </c>
      <c r="J16" s="386">
        <f t="shared" si="0"/>
        <v>2007.9</v>
      </c>
      <c r="K16" s="74"/>
      <c r="L16" s="1"/>
    </row>
    <row r="17" spans="2:12" ht="15.75">
      <c r="B17" s="4"/>
      <c r="C17" s="4"/>
      <c r="D17" s="6"/>
      <c r="E17" s="6"/>
      <c r="F17" s="6"/>
      <c r="G17" s="6"/>
      <c r="H17" s="6"/>
      <c r="I17" s="6"/>
      <c r="J17" s="6"/>
      <c r="K17" s="40"/>
      <c r="L17" s="1"/>
    </row>
    <row r="18" spans="2:12" ht="15.75" hidden="1">
      <c r="B18" s="4"/>
      <c r="C18" s="4"/>
      <c r="D18" s="6"/>
      <c r="E18" s="6"/>
      <c r="F18" s="6"/>
      <c r="G18" s="6"/>
      <c r="H18" s="6"/>
      <c r="I18" s="6"/>
      <c r="J18" s="6"/>
      <c r="K18" s="40"/>
      <c r="L18" s="1"/>
    </row>
    <row r="19" spans="2:12" ht="18.75">
      <c r="B19" s="129"/>
      <c r="C19" s="130"/>
      <c r="E19" s="6"/>
      <c r="F19" s="6"/>
      <c r="G19" s="6"/>
      <c r="H19" s="6"/>
      <c r="I19" s="6"/>
      <c r="J19" s="6"/>
      <c r="K19" s="130"/>
      <c r="L19" s="1"/>
    </row>
    <row r="20" spans="2:12" ht="48" customHeight="1">
      <c r="B20" s="725" t="s">
        <v>290</v>
      </c>
      <c r="C20" s="725"/>
      <c r="D20" s="273"/>
      <c r="E20" s="8"/>
      <c r="F20" s="8"/>
      <c r="G20" s="9"/>
      <c r="H20" s="9"/>
      <c r="I20" s="9"/>
      <c r="J20" s="46"/>
      <c r="K20" s="185" t="s">
        <v>674</v>
      </c>
      <c r="L20" s="46"/>
    </row>
    <row r="21" spans="2:12" ht="9.75" customHeight="1">
      <c r="B21" s="125"/>
      <c r="C21" s="125"/>
      <c r="D21" s="11"/>
      <c r="E21" s="8"/>
      <c r="F21" s="8"/>
      <c r="J21" s="46"/>
      <c r="K21" s="146"/>
      <c r="L21" s="46"/>
    </row>
    <row r="22" spans="2:12" ht="12.75" customHeight="1">
      <c r="B22" s="125"/>
      <c r="C22" s="125"/>
      <c r="D22" s="11"/>
      <c r="E22" s="8"/>
      <c r="F22" s="8"/>
      <c r="J22" s="46"/>
      <c r="K22" s="146"/>
      <c r="L22" s="46"/>
    </row>
    <row r="23" spans="2:11" ht="18.75">
      <c r="B23" s="694" t="s">
        <v>673</v>
      </c>
      <c r="C23" s="694"/>
      <c r="D23" s="47"/>
      <c r="E23" s="7"/>
      <c r="F23" s="7"/>
      <c r="G23" s="7"/>
      <c r="H23" s="7"/>
      <c r="I23" s="7"/>
      <c r="J23" s="1"/>
      <c r="K23" s="1"/>
    </row>
    <row r="24" spans="2:13" ht="15.75">
      <c r="B24" s="48"/>
      <c r="C24" s="48"/>
      <c r="D24" s="7"/>
      <c r="E24" s="7"/>
      <c r="F24" s="7"/>
      <c r="G24" s="7"/>
      <c r="H24" s="7"/>
      <c r="I24" s="7"/>
      <c r="J24" s="1"/>
      <c r="K24" s="1"/>
      <c r="M24" s="3"/>
    </row>
    <row r="25" spans="2:11" ht="15.75">
      <c r="B25" s="41"/>
      <c r="C25" s="10"/>
      <c r="D25" s="42"/>
      <c r="E25" s="7"/>
      <c r="F25" s="7"/>
      <c r="G25" s="7"/>
      <c r="H25" s="7"/>
      <c r="I25" s="7"/>
      <c r="J25" s="1"/>
      <c r="K25" s="1"/>
    </row>
    <row r="26" spans="3:10" ht="15.75">
      <c r="C26" s="42"/>
      <c r="D26" s="7"/>
      <c r="E26" s="7"/>
      <c r="F26" s="7"/>
      <c r="G26" s="7"/>
      <c r="H26" s="7"/>
      <c r="I26" s="7"/>
      <c r="J26" s="7"/>
    </row>
    <row r="27" spans="3:10" ht="15.75">
      <c r="C27" s="43"/>
      <c r="D27" s="7"/>
      <c r="E27" s="7"/>
      <c r="F27" s="7"/>
      <c r="G27" s="7"/>
      <c r="H27" s="7"/>
      <c r="I27" s="7"/>
      <c r="J27" s="7"/>
    </row>
    <row r="29" ht="12.75">
      <c r="H29" s="5"/>
    </row>
  </sheetData>
  <sheetProtection/>
  <mergeCells count="18">
    <mergeCell ref="B20:C20"/>
    <mergeCell ref="B23:C23"/>
    <mergeCell ref="K12:K14"/>
    <mergeCell ref="E13:E14"/>
    <mergeCell ref="F13:F14"/>
    <mergeCell ref="G13:G14"/>
    <mergeCell ref="H13:H14"/>
    <mergeCell ref="D12:D14"/>
    <mergeCell ref="J8:O8"/>
    <mergeCell ref="A12:A14"/>
    <mergeCell ref="B12:B14"/>
    <mergeCell ref="E12:J12"/>
    <mergeCell ref="J13:J14"/>
    <mergeCell ref="B10:K10"/>
    <mergeCell ref="D11:H11"/>
    <mergeCell ref="I13:I14"/>
    <mergeCell ref="C12:C14"/>
    <mergeCell ref="J9:K9"/>
  </mergeCells>
  <printOptions horizontalCentered="1"/>
  <pageMargins left="0.3937007874015748" right="0.3937007874015748" top="1.1811023622047245" bottom="0.3937007874015748" header="0" footer="0"/>
  <pageSetup fitToHeight="1" fitToWidth="1" horizontalDpi="600" verticalDpi="600" orientation="landscape" paperSize="9" scale="87"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O29"/>
  <sheetViews>
    <sheetView view="pageBreakPreview" zoomScale="78" zoomScaleSheetLayoutView="78" zoomScalePageLayoutView="0" workbookViewId="0" topLeftCell="A1">
      <selection activeCell="F17" sqref="F17"/>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417</v>
      </c>
      <c r="K1" s="344"/>
    </row>
    <row r="2" spans="2:12" ht="15.75">
      <c r="B2" s="15"/>
      <c r="C2" s="15"/>
      <c r="D2" s="15"/>
      <c r="E2" s="15"/>
      <c r="F2" s="15"/>
      <c r="G2" s="15"/>
      <c r="H2" s="15"/>
      <c r="I2" s="12" t="s">
        <v>9</v>
      </c>
      <c r="J2" s="12" t="s">
        <v>9</v>
      </c>
      <c r="K2" s="12"/>
      <c r="L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ustomHeight="1">
      <c r="B7" s="15"/>
      <c r="C7" s="15"/>
      <c r="D7" s="15"/>
      <c r="E7" s="15"/>
      <c r="F7" s="15"/>
      <c r="G7" s="15"/>
      <c r="H7" s="15"/>
      <c r="I7" s="12"/>
      <c r="J7" s="17" t="s">
        <v>583</v>
      </c>
      <c r="K7" s="17"/>
      <c r="L7" s="245"/>
      <c r="M7" s="12"/>
      <c r="N7" s="12"/>
      <c r="O7" s="12"/>
    </row>
    <row r="8" spans="2:15" ht="15.75">
      <c r="B8" s="15"/>
      <c r="C8" s="15"/>
      <c r="D8" s="15"/>
      <c r="E8" s="15"/>
      <c r="F8" s="15"/>
      <c r="G8" s="15"/>
      <c r="H8" s="16"/>
      <c r="I8" s="12" t="s">
        <v>19</v>
      </c>
      <c r="J8" s="745" t="s">
        <v>588</v>
      </c>
      <c r="K8" s="745"/>
      <c r="L8" s="745"/>
      <c r="M8" s="745"/>
      <c r="N8" s="745"/>
      <c r="O8" s="745"/>
    </row>
    <row r="9" spans="2:15" ht="15.75" customHeight="1">
      <c r="B9" s="15"/>
      <c r="C9" s="15"/>
      <c r="D9" s="15"/>
      <c r="E9" s="15"/>
      <c r="F9" s="15"/>
      <c r="G9" s="15"/>
      <c r="H9" s="15"/>
      <c r="I9" s="15"/>
      <c r="J9" s="745" t="s">
        <v>689</v>
      </c>
      <c r="K9" s="745"/>
      <c r="L9" s="745"/>
      <c r="M9" s="745"/>
      <c r="N9" s="745"/>
      <c r="O9" s="745"/>
    </row>
    <row r="10" spans="2:11" ht="42" customHeight="1">
      <c r="B10" s="735" t="s">
        <v>483</v>
      </c>
      <c r="C10" s="735"/>
      <c r="D10" s="735"/>
      <c r="E10" s="735"/>
      <c r="F10" s="735"/>
      <c r="G10" s="735"/>
      <c r="H10" s="735"/>
      <c r="I10" s="735"/>
      <c r="J10" s="735"/>
      <c r="K10" s="735"/>
    </row>
    <row r="11" spans="2:11" ht="37.5" customHeight="1">
      <c r="B11" s="15"/>
      <c r="C11" s="15"/>
      <c r="D11" s="743"/>
      <c r="E11" s="743"/>
      <c r="F11" s="743"/>
      <c r="G11" s="743"/>
      <c r="H11" s="743"/>
      <c r="I11" s="15"/>
      <c r="J11" s="15"/>
      <c r="K11" s="302" t="s">
        <v>249</v>
      </c>
    </row>
    <row r="12" spans="1:11" ht="15.75" customHeight="1">
      <c r="A12" s="729" t="s">
        <v>5</v>
      </c>
      <c r="B12" s="729" t="s">
        <v>10</v>
      </c>
      <c r="C12" s="729" t="s">
        <v>11</v>
      </c>
      <c r="D12" s="729" t="s">
        <v>239</v>
      </c>
      <c r="E12" s="744" t="s">
        <v>7</v>
      </c>
      <c r="F12" s="744"/>
      <c r="G12" s="744"/>
      <c r="H12" s="744"/>
      <c r="I12" s="744"/>
      <c r="J12" s="786"/>
      <c r="K12" s="732" t="s">
        <v>13</v>
      </c>
    </row>
    <row r="13" spans="1:11" ht="12.75">
      <c r="A13" s="730"/>
      <c r="B13" s="730"/>
      <c r="C13" s="730"/>
      <c r="D13" s="730"/>
      <c r="E13" s="729">
        <v>2021</v>
      </c>
      <c r="F13" s="729">
        <v>2022</v>
      </c>
      <c r="G13" s="729" t="s">
        <v>22</v>
      </c>
      <c r="H13" s="729" t="s">
        <v>23</v>
      </c>
      <c r="I13" s="729" t="s">
        <v>24</v>
      </c>
      <c r="J13" s="732">
        <v>2023</v>
      </c>
      <c r="K13" s="732"/>
    </row>
    <row r="14" spans="1:11" ht="21.75" customHeight="1">
      <c r="A14" s="731"/>
      <c r="B14" s="731"/>
      <c r="C14" s="731"/>
      <c r="D14" s="731"/>
      <c r="E14" s="731"/>
      <c r="F14" s="731"/>
      <c r="G14" s="731"/>
      <c r="H14" s="731"/>
      <c r="I14" s="731"/>
      <c r="J14" s="732"/>
      <c r="K14" s="732"/>
    </row>
    <row r="15" spans="1:12" ht="60" customHeight="1">
      <c r="A15" s="35">
        <v>1</v>
      </c>
      <c r="B15" s="57" t="s">
        <v>563</v>
      </c>
      <c r="C15" s="187" t="s">
        <v>340</v>
      </c>
      <c r="D15" s="58">
        <f>SUM(E15:J15)</f>
        <v>47491.5</v>
      </c>
      <c r="E15" s="669">
        <f>526.7+3000+1700+300+2000+7100+1800+300+100+2960-15786.7</f>
        <v>4000</v>
      </c>
      <c r="F15" s="60">
        <v>21112.4</v>
      </c>
      <c r="G15" s="59"/>
      <c r="H15" s="59"/>
      <c r="I15" s="59"/>
      <c r="J15" s="111">
        <v>22379.1</v>
      </c>
      <c r="K15" s="181" t="s">
        <v>161</v>
      </c>
      <c r="L15" s="14" t="s">
        <v>531</v>
      </c>
    </row>
    <row r="16" spans="1:11" ht="96" customHeight="1">
      <c r="A16" s="35">
        <v>2</v>
      </c>
      <c r="B16" s="57" t="s">
        <v>636</v>
      </c>
      <c r="C16" s="187" t="s">
        <v>36</v>
      </c>
      <c r="D16" s="58">
        <f>SUM(E16:J16)</f>
        <v>7655</v>
      </c>
      <c r="E16" s="669">
        <f>1500+3500+2655</f>
        <v>7655</v>
      </c>
      <c r="F16" s="60"/>
      <c r="G16" s="59"/>
      <c r="H16" s="59"/>
      <c r="I16" s="59"/>
      <c r="J16" s="586"/>
      <c r="K16" s="181" t="s">
        <v>161</v>
      </c>
    </row>
    <row r="17" spans="1:11" ht="41.25" customHeight="1">
      <c r="A17" s="35">
        <v>3</v>
      </c>
      <c r="B17" s="57" t="s">
        <v>662</v>
      </c>
      <c r="C17" s="187" t="s">
        <v>340</v>
      </c>
      <c r="D17" s="58">
        <f>SUM(E17:J17)</f>
        <v>3400</v>
      </c>
      <c r="E17" s="669">
        <f>0+2800+600</f>
        <v>3400</v>
      </c>
      <c r="F17" s="60"/>
      <c r="G17" s="59"/>
      <c r="H17" s="59"/>
      <c r="I17" s="59"/>
      <c r="J17" s="592"/>
      <c r="K17" s="181" t="s">
        <v>161</v>
      </c>
    </row>
    <row r="18" spans="1:11" ht="27.75" customHeight="1">
      <c r="A18" s="65"/>
      <c r="B18" s="56" t="s">
        <v>4</v>
      </c>
      <c r="C18" s="66"/>
      <c r="D18" s="58">
        <f>E18+F18+J18</f>
        <v>58546.5</v>
      </c>
      <c r="E18" s="58">
        <f aca="true" t="shared" si="0" ref="E18:J18">E15+E16+E17</f>
        <v>15055</v>
      </c>
      <c r="F18" s="58">
        <f t="shared" si="0"/>
        <v>21112.4</v>
      </c>
      <c r="G18" s="58">
        <f t="shared" si="0"/>
        <v>0</v>
      </c>
      <c r="H18" s="58">
        <f t="shared" si="0"/>
        <v>0</v>
      </c>
      <c r="I18" s="58">
        <f t="shared" si="0"/>
        <v>0</v>
      </c>
      <c r="J18" s="58">
        <f t="shared" si="0"/>
        <v>22379.1</v>
      </c>
      <c r="K18" s="67"/>
    </row>
    <row r="19" spans="1:11" ht="17.25" customHeight="1">
      <c r="A19" s="37"/>
      <c r="B19" s="18"/>
      <c r="C19" s="18"/>
      <c r="D19" s="38"/>
      <c r="E19" s="38"/>
      <c r="F19" s="38"/>
      <c r="G19" s="38"/>
      <c r="H19" s="38"/>
      <c r="I19" s="38"/>
      <c r="J19" s="38"/>
      <c r="K19" s="20"/>
    </row>
    <row r="20" spans="1:11" ht="53.25" customHeight="1">
      <c r="A20" s="37"/>
      <c r="C20" s="18"/>
      <c r="D20" s="19"/>
      <c r="E20" s="19"/>
      <c r="F20" s="19"/>
      <c r="G20" s="19"/>
      <c r="H20" s="19"/>
      <c r="I20" s="19"/>
      <c r="J20" s="19"/>
      <c r="K20" s="20"/>
    </row>
    <row r="21" spans="2:11" s="430" customFormat="1" ht="36.75" customHeight="1">
      <c r="B21" s="417" t="s">
        <v>15</v>
      </c>
      <c r="C21" s="417"/>
      <c r="D21" s="417"/>
      <c r="E21" s="419"/>
      <c r="F21" s="419"/>
      <c r="J21" s="431"/>
      <c r="K21" s="185" t="s">
        <v>674</v>
      </c>
    </row>
    <row r="22" spans="2:11" ht="15" customHeight="1">
      <c r="B22" s="21"/>
      <c r="C22" s="21"/>
      <c r="D22" s="21"/>
      <c r="E22" s="22"/>
      <c r="F22" s="22"/>
      <c r="J22" s="23"/>
      <c r="K22" s="24"/>
    </row>
    <row r="23" spans="2:11" ht="18.75">
      <c r="B23" s="694" t="s">
        <v>673</v>
      </c>
      <c r="C23" s="694"/>
      <c r="D23" s="25"/>
      <c r="E23" s="26"/>
      <c r="F23" s="26"/>
      <c r="G23" s="26"/>
      <c r="H23" s="26"/>
      <c r="I23" s="26"/>
      <c r="J23" s="15"/>
      <c r="K23" s="15"/>
    </row>
    <row r="24" spans="2:11" ht="15.75">
      <c r="B24" s="27"/>
      <c r="C24" s="27"/>
      <c r="D24" s="26"/>
      <c r="E24" s="26"/>
      <c r="F24" s="26"/>
      <c r="G24" s="26"/>
      <c r="H24" s="26"/>
      <c r="I24" s="26"/>
      <c r="J24" s="15"/>
      <c r="K24" s="15"/>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7">
    <mergeCell ref="D11:H11"/>
    <mergeCell ref="J9:O9"/>
    <mergeCell ref="B23:C23"/>
    <mergeCell ref="B10:K10"/>
    <mergeCell ref="K12:K14"/>
    <mergeCell ref="E13:E14"/>
    <mergeCell ref="F13:F14"/>
    <mergeCell ref="A12:A14"/>
    <mergeCell ref="B12:B14"/>
    <mergeCell ref="C12:C14"/>
    <mergeCell ref="D12:D14"/>
    <mergeCell ref="E12:J12"/>
    <mergeCell ref="J8:O8"/>
    <mergeCell ref="H13:H14"/>
    <mergeCell ref="I13:I14"/>
    <mergeCell ref="J13:J14"/>
    <mergeCell ref="G13:G14"/>
  </mergeCells>
  <printOptions horizontalCentered="1"/>
  <pageMargins left="0.3937007874015748" right="0.3937007874015748" top="1.1811023622047245" bottom="0.3937007874015748" header="0" footer="0"/>
  <pageSetup fitToHeight="1" fitToWidth="1"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sheetPr>
    <tabColor theme="0"/>
    <pageSetUpPr fitToPage="1"/>
  </sheetPr>
  <dimension ref="A1:O45"/>
  <sheetViews>
    <sheetView view="pageBreakPreview" zoomScale="82" zoomScaleSheetLayoutView="82" zoomScalePageLayoutView="0" workbookViewId="0" topLeftCell="A1">
      <selection activeCell="J9" sqref="J9:K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254</v>
      </c>
      <c r="K1" s="344"/>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ustomHeight="1">
      <c r="B7" s="15"/>
      <c r="C7" s="15"/>
      <c r="D7" s="15"/>
      <c r="E7" s="15"/>
      <c r="F7" s="15"/>
      <c r="G7" s="15"/>
      <c r="H7" s="15"/>
      <c r="I7" s="12"/>
      <c r="J7" s="17" t="s">
        <v>583</v>
      </c>
      <c r="K7" s="17"/>
      <c r="L7" s="245"/>
      <c r="M7" s="12"/>
      <c r="N7" s="12"/>
      <c r="O7" s="12"/>
    </row>
    <row r="8" spans="2:15" ht="15.75">
      <c r="B8" s="15"/>
      <c r="C8" s="15"/>
      <c r="D8" s="15"/>
      <c r="E8" s="15"/>
      <c r="F8" s="15"/>
      <c r="G8" s="15"/>
      <c r="H8" s="16"/>
      <c r="I8" s="12" t="s">
        <v>19</v>
      </c>
      <c r="J8" s="745" t="s">
        <v>577</v>
      </c>
      <c r="K8" s="745"/>
      <c r="L8" s="745"/>
      <c r="M8" s="745"/>
      <c r="N8" s="745"/>
      <c r="O8" s="745"/>
    </row>
    <row r="9" spans="2:15" ht="15.75">
      <c r="B9" s="15"/>
      <c r="C9" s="15"/>
      <c r="D9" s="15"/>
      <c r="E9" s="15"/>
      <c r="F9" s="15"/>
      <c r="G9" s="15"/>
      <c r="H9" s="15"/>
      <c r="I9" s="15"/>
      <c r="J9" s="745" t="s">
        <v>687</v>
      </c>
      <c r="K9" s="745"/>
      <c r="L9" s="553"/>
      <c r="M9" s="553"/>
      <c r="N9" s="553"/>
      <c r="O9" s="553"/>
    </row>
    <row r="10" spans="2:15" ht="15.75">
      <c r="B10" s="15"/>
      <c r="C10" s="15"/>
      <c r="D10" s="15"/>
      <c r="E10" s="15"/>
      <c r="F10" s="15"/>
      <c r="G10" s="15"/>
      <c r="H10" s="15"/>
      <c r="I10" s="15"/>
      <c r="J10" s="553"/>
      <c r="K10" s="553"/>
      <c r="L10" s="553"/>
      <c r="M10" s="553"/>
      <c r="N10" s="553"/>
      <c r="O10" s="553"/>
    </row>
    <row r="11" spans="2:11" ht="18.75">
      <c r="B11" s="735" t="s">
        <v>484</v>
      </c>
      <c r="C11" s="735"/>
      <c r="D11" s="735"/>
      <c r="E11" s="735"/>
      <c r="F11" s="735"/>
      <c r="G11" s="735"/>
      <c r="H11" s="735"/>
      <c r="I11" s="735"/>
      <c r="J11" s="735"/>
      <c r="K11" s="735"/>
    </row>
    <row r="12" spans="2:11" ht="18.75">
      <c r="B12" s="15"/>
      <c r="C12" s="15"/>
      <c r="D12" s="743"/>
      <c r="E12" s="743"/>
      <c r="F12" s="743"/>
      <c r="G12" s="743"/>
      <c r="H12" s="743"/>
      <c r="I12" s="15"/>
      <c r="J12" s="15"/>
      <c r="K12" s="302" t="s">
        <v>249</v>
      </c>
    </row>
    <row r="13" spans="1:11" ht="18.75">
      <c r="A13" s="794" t="s">
        <v>5</v>
      </c>
      <c r="B13" s="729" t="s">
        <v>10</v>
      </c>
      <c r="C13" s="729" t="s">
        <v>11</v>
      </c>
      <c r="D13" s="729" t="s">
        <v>251</v>
      </c>
      <c r="E13" s="744" t="s">
        <v>7</v>
      </c>
      <c r="F13" s="744"/>
      <c r="G13" s="744"/>
      <c r="H13" s="744"/>
      <c r="I13" s="744"/>
      <c r="J13" s="786"/>
      <c r="K13" s="732" t="s">
        <v>13</v>
      </c>
    </row>
    <row r="14" spans="1:11" ht="17.25" customHeight="1">
      <c r="A14" s="795"/>
      <c r="B14" s="730"/>
      <c r="C14" s="730"/>
      <c r="D14" s="730"/>
      <c r="E14" s="729">
        <v>2021</v>
      </c>
      <c r="F14" s="729">
        <v>2022</v>
      </c>
      <c r="G14" s="729" t="s">
        <v>22</v>
      </c>
      <c r="H14" s="729" t="s">
        <v>23</v>
      </c>
      <c r="I14" s="729" t="s">
        <v>24</v>
      </c>
      <c r="J14" s="732">
        <v>2023</v>
      </c>
      <c r="K14" s="732"/>
    </row>
    <row r="15" spans="1:11" ht="27" customHeight="1">
      <c r="A15" s="796"/>
      <c r="B15" s="731"/>
      <c r="C15" s="731"/>
      <c r="D15" s="731"/>
      <c r="E15" s="731"/>
      <c r="F15" s="731"/>
      <c r="G15" s="731"/>
      <c r="H15" s="731"/>
      <c r="I15" s="731"/>
      <c r="J15" s="732"/>
      <c r="K15" s="732"/>
    </row>
    <row r="16" spans="1:11" s="16" customFormat="1" ht="65.25" customHeight="1">
      <c r="A16" s="224">
        <v>1</v>
      </c>
      <c r="B16" s="315" t="s">
        <v>415</v>
      </c>
      <c r="C16" s="182" t="s">
        <v>340</v>
      </c>
      <c r="D16" s="59">
        <f>SUM(E16:J16)</f>
        <v>36231.2</v>
      </c>
      <c r="E16" s="669">
        <f>13435.3-6735</f>
        <v>6700.299999999999</v>
      </c>
      <c r="F16" s="59">
        <v>14335.4</v>
      </c>
      <c r="G16" s="59"/>
      <c r="H16" s="59"/>
      <c r="I16" s="59"/>
      <c r="J16" s="59">
        <v>15195.5</v>
      </c>
      <c r="K16" s="338" t="s">
        <v>161</v>
      </c>
    </row>
    <row r="17" spans="1:11" ht="52.5" customHeight="1">
      <c r="A17" s="341" t="s">
        <v>314</v>
      </c>
      <c r="B17" s="340" t="s">
        <v>416</v>
      </c>
      <c r="C17" s="182" t="s">
        <v>340</v>
      </c>
      <c r="D17" s="345">
        <f>E17+F17+J17</f>
        <v>13990.1</v>
      </c>
      <c r="E17" s="669">
        <f>5000-2000</f>
        <v>3000</v>
      </c>
      <c r="F17" s="345">
        <v>5335</v>
      </c>
      <c r="G17" s="345"/>
      <c r="H17" s="345"/>
      <c r="I17" s="345"/>
      <c r="J17" s="345">
        <v>5655.1</v>
      </c>
      <c r="K17" s="338" t="s">
        <v>161</v>
      </c>
    </row>
    <row r="18" spans="1:11" ht="75" hidden="1">
      <c r="A18" s="257" t="s">
        <v>169</v>
      </c>
      <c r="B18" s="228" t="s">
        <v>175</v>
      </c>
      <c r="C18" s="182" t="s">
        <v>36</v>
      </c>
      <c r="D18" s="343">
        <f aca="true" t="shared" si="0" ref="D18:D30">E18+F18+J18</f>
        <v>160</v>
      </c>
      <c r="E18" s="345">
        <f>160</f>
        <v>160</v>
      </c>
      <c r="F18" s="345">
        <v>0</v>
      </c>
      <c r="G18" s="345"/>
      <c r="H18" s="345"/>
      <c r="I18" s="345"/>
      <c r="J18" s="345">
        <v>0</v>
      </c>
      <c r="K18" s="227" t="s">
        <v>29</v>
      </c>
    </row>
    <row r="19" spans="1:11" ht="51.75" customHeight="1" hidden="1">
      <c r="A19" s="797" t="s">
        <v>170</v>
      </c>
      <c r="B19" s="799" t="s">
        <v>176</v>
      </c>
      <c r="C19" s="182" t="s">
        <v>36</v>
      </c>
      <c r="D19" s="343">
        <f t="shared" si="0"/>
        <v>548</v>
      </c>
      <c r="E19" s="345">
        <v>548</v>
      </c>
      <c r="F19" s="345">
        <v>0</v>
      </c>
      <c r="G19" s="345"/>
      <c r="H19" s="345"/>
      <c r="I19" s="345"/>
      <c r="J19" s="345">
        <v>0</v>
      </c>
      <c r="K19" s="801" t="s">
        <v>29</v>
      </c>
    </row>
    <row r="20" spans="1:11" ht="24" customHeight="1" hidden="1">
      <c r="A20" s="798"/>
      <c r="B20" s="800"/>
      <c r="C20" s="182" t="s">
        <v>14</v>
      </c>
      <c r="D20" s="343">
        <f t="shared" si="0"/>
        <v>16.5</v>
      </c>
      <c r="E20" s="345">
        <v>16.5</v>
      </c>
      <c r="F20" s="345">
        <v>0</v>
      </c>
      <c r="G20" s="345"/>
      <c r="H20" s="345"/>
      <c r="I20" s="345"/>
      <c r="J20" s="345">
        <v>0</v>
      </c>
      <c r="K20" s="802"/>
    </row>
    <row r="21" spans="1:11" ht="34.5" customHeight="1" hidden="1">
      <c r="A21" s="797" t="s">
        <v>171</v>
      </c>
      <c r="B21" s="803" t="s">
        <v>178</v>
      </c>
      <c r="C21" s="182" t="s">
        <v>36</v>
      </c>
      <c r="D21" s="343">
        <f t="shared" si="0"/>
        <v>389.2</v>
      </c>
      <c r="E21" s="345">
        <v>344</v>
      </c>
      <c r="F21" s="345">
        <v>45.2</v>
      </c>
      <c r="G21" s="345"/>
      <c r="H21" s="345"/>
      <c r="I21" s="345"/>
      <c r="J21" s="345">
        <v>0</v>
      </c>
      <c r="K21" s="801" t="s">
        <v>29</v>
      </c>
    </row>
    <row r="22" spans="1:11" ht="20.25" customHeight="1" hidden="1">
      <c r="A22" s="798"/>
      <c r="B22" s="804"/>
      <c r="C22" s="182" t="s">
        <v>14</v>
      </c>
      <c r="D22" s="343">
        <f t="shared" si="0"/>
        <v>233.9</v>
      </c>
      <c r="E22" s="345">
        <v>210.3</v>
      </c>
      <c r="F22" s="345">
        <v>23.6</v>
      </c>
      <c r="G22" s="345"/>
      <c r="H22" s="345"/>
      <c r="I22" s="345"/>
      <c r="J22" s="345">
        <v>0</v>
      </c>
      <c r="K22" s="802"/>
    </row>
    <row r="23" spans="1:11" ht="47.25" customHeight="1" hidden="1">
      <c r="A23" s="797" t="s">
        <v>172</v>
      </c>
      <c r="B23" s="803" t="s">
        <v>177</v>
      </c>
      <c r="C23" s="182" t="s">
        <v>36</v>
      </c>
      <c r="D23" s="343">
        <f t="shared" si="0"/>
        <v>1251.1</v>
      </c>
      <c r="E23" s="345">
        <v>630</v>
      </c>
      <c r="F23" s="345">
        <v>621.1</v>
      </c>
      <c r="G23" s="345"/>
      <c r="H23" s="345"/>
      <c r="I23" s="345"/>
      <c r="J23" s="345">
        <v>0</v>
      </c>
      <c r="K23" s="801" t="s">
        <v>29</v>
      </c>
    </row>
    <row r="24" spans="1:11" ht="24.75" customHeight="1" hidden="1">
      <c r="A24" s="798"/>
      <c r="B24" s="804"/>
      <c r="C24" s="182" t="s">
        <v>14</v>
      </c>
      <c r="D24" s="343">
        <f t="shared" si="0"/>
        <v>37.5</v>
      </c>
      <c r="E24" s="345">
        <v>18.9</v>
      </c>
      <c r="F24" s="345">
        <v>18.6</v>
      </c>
      <c r="G24" s="345"/>
      <c r="H24" s="345"/>
      <c r="I24" s="345"/>
      <c r="J24" s="345">
        <v>0</v>
      </c>
      <c r="K24" s="802"/>
    </row>
    <row r="25" spans="1:11" ht="44.25" customHeight="1" hidden="1">
      <c r="A25" s="797" t="s">
        <v>173</v>
      </c>
      <c r="B25" s="803" t="s">
        <v>216</v>
      </c>
      <c r="C25" s="182" t="s">
        <v>36</v>
      </c>
      <c r="D25" s="343">
        <f>E25+F25+J25</f>
        <v>23614.899999999998</v>
      </c>
      <c r="E25" s="345">
        <f>0+8354</f>
        <v>8354</v>
      </c>
      <c r="F25" s="345">
        <f>4673+4663.3+4487+990+295</f>
        <v>15108.3</v>
      </c>
      <c r="G25" s="345"/>
      <c r="H25" s="345"/>
      <c r="I25" s="345"/>
      <c r="J25" s="345">
        <v>152.6</v>
      </c>
      <c r="K25" s="801" t="s">
        <v>29</v>
      </c>
    </row>
    <row r="26" spans="1:11" ht="33" customHeight="1" hidden="1">
      <c r="A26" s="798"/>
      <c r="B26" s="804"/>
      <c r="C26" s="182" t="s">
        <v>14</v>
      </c>
      <c r="D26" s="343">
        <f t="shared" si="0"/>
        <v>826.4</v>
      </c>
      <c r="E26" s="345">
        <f>0+675.6</f>
        <v>675.6</v>
      </c>
      <c r="F26" s="345">
        <v>150</v>
      </c>
      <c r="G26" s="345"/>
      <c r="H26" s="345"/>
      <c r="I26" s="345"/>
      <c r="J26" s="345">
        <v>0.8</v>
      </c>
      <c r="K26" s="802"/>
    </row>
    <row r="27" spans="1:11" ht="31.5" customHeight="1" hidden="1">
      <c r="A27" s="797">
        <v>2</v>
      </c>
      <c r="B27" s="801" t="s">
        <v>163</v>
      </c>
      <c r="C27" s="182" t="s">
        <v>14</v>
      </c>
      <c r="D27" s="343">
        <f t="shared" si="0"/>
        <v>29000</v>
      </c>
      <c r="E27" s="345">
        <v>15000</v>
      </c>
      <c r="F27" s="345">
        <v>14000</v>
      </c>
      <c r="G27" s="345"/>
      <c r="H27" s="345"/>
      <c r="I27" s="345"/>
      <c r="J27" s="345"/>
      <c r="K27" s="801" t="s">
        <v>29</v>
      </c>
    </row>
    <row r="28" spans="1:11" ht="18.75" hidden="1">
      <c r="A28" s="798"/>
      <c r="B28" s="802"/>
      <c r="C28" s="182" t="s">
        <v>296</v>
      </c>
      <c r="D28" s="343">
        <f t="shared" si="0"/>
        <v>13000</v>
      </c>
      <c r="E28" s="345"/>
      <c r="F28" s="345"/>
      <c r="G28" s="345"/>
      <c r="H28" s="345"/>
      <c r="I28" s="345"/>
      <c r="J28" s="345">
        <v>13000</v>
      </c>
      <c r="K28" s="802"/>
    </row>
    <row r="29" spans="1:11" ht="24.75" customHeight="1" hidden="1">
      <c r="A29" s="797">
        <v>3</v>
      </c>
      <c r="B29" s="805" t="s">
        <v>338</v>
      </c>
      <c r="C29" s="182" t="s">
        <v>14</v>
      </c>
      <c r="D29" s="343">
        <f t="shared" si="0"/>
        <v>11000</v>
      </c>
      <c r="E29" s="345">
        <v>5000</v>
      </c>
      <c r="F29" s="345">
        <v>6000</v>
      </c>
      <c r="G29" s="345"/>
      <c r="H29" s="345"/>
      <c r="I29" s="345"/>
      <c r="J29" s="345"/>
      <c r="K29" s="801" t="s">
        <v>40</v>
      </c>
    </row>
    <row r="30" spans="1:11" ht="18.75" hidden="1">
      <c r="A30" s="798"/>
      <c r="B30" s="806"/>
      <c r="C30" s="182" t="s">
        <v>296</v>
      </c>
      <c r="D30" s="343">
        <f t="shared" si="0"/>
        <v>7000</v>
      </c>
      <c r="E30" s="345"/>
      <c r="F30" s="345"/>
      <c r="G30" s="345"/>
      <c r="H30" s="345"/>
      <c r="I30" s="345"/>
      <c r="J30" s="345">
        <v>7000</v>
      </c>
      <c r="K30" s="802"/>
    </row>
    <row r="31" spans="1:11" ht="5.25" customHeight="1" hidden="1">
      <c r="A31" s="342"/>
      <c r="B31" s="322"/>
      <c r="C31" s="182"/>
      <c r="D31" s="343"/>
      <c r="E31" s="345"/>
      <c r="F31" s="345"/>
      <c r="G31" s="345"/>
      <c r="H31" s="345"/>
      <c r="I31" s="345"/>
      <c r="J31" s="345"/>
      <c r="K31" s="190"/>
    </row>
    <row r="32" spans="1:11" ht="18.75">
      <c r="A32" s="70"/>
      <c r="B32" s="56" t="s">
        <v>4</v>
      </c>
      <c r="C32" s="56"/>
      <c r="D32" s="58">
        <f>D17+D16</f>
        <v>50221.299999999996</v>
      </c>
      <c r="E32" s="58">
        <f aca="true" t="shared" si="1" ref="E32:J32">E16+E17</f>
        <v>9700.3</v>
      </c>
      <c r="F32" s="58">
        <f t="shared" si="1"/>
        <v>19670.4</v>
      </c>
      <c r="G32" s="58">
        <f t="shared" si="1"/>
        <v>0</v>
      </c>
      <c r="H32" s="58">
        <f t="shared" si="1"/>
        <v>0</v>
      </c>
      <c r="I32" s="58">
        <f t="shared" si="1"/>
        <v>0</v>
      </c>
      <c r="J32" s="58">
        <f t="shared" si="1"/>
        <v>20850.6</v>
      </c>
      <c r="K32" s="190"/>
    </row>
    <row r="33" spans="1:11" ht="18.75">
      <c r="A33" s="82"/>
      <c r="B33" s="123"/>
      <c r="C33" s="18"/>
      <c r="D33" s="19"/>
      <c r="E33" s="19"/>
      <c r="F33" s="19"/>
      <c r="G33" s="19"/>
      <c r="H33" s="19"/>
      <c r="I33" s="19"/>
      <c r="J33" s="19"/>
      <c r="K33" s="85"/>
    </row>
    <row r="34" spans="1:11" ht="0.75" customHeight="1">
      <c r="A34" s="82"/>
      <c r="B34" s="18"/>
      <c r="C34" s="18"/>
      <c r="D34" s="19"/>
      <c r="E34" s="19"/>
      <c r="F34" s="19"/>
      <c r="G34" s="19"/>
      <c r="H34" s="19"/>
      <c r="I34" s="19"/>
      <c r="J34" s="19"/>
      <c r="K34" s="89"/>
    </row>
    <row r="35" spans="1:11" ht="3" customHeight="1">
      <c r="A35" s="82"/>
      <c r="B35" s="18"/>
      <c r="C35" s="18"/>
      <c r="D35" s="19"/>
      <c r="E35" s="19"/>
      <c r="F35" s="19"/>
      <c r="G35" s="19"/>
      <c r="H35" s="19"/>
      <c r="I35" s="19"/>
      <c r="J35" s="19"/>
      <c r="K35" s="89"/>
    </row>
    <row r="36" spans="2:11" ht="18.75">
      <c r="B36" s="50"/>
      <c r="C36" s="51"/>
      <c r="E36" s="19"/>
      <c r="F36" s="19"/>
      <c r="G36" s="19"/>
      <c r="H36" s="19"/>
      <c r="I36" s="19"/>
      <c r="J36" s="19"/>
      <c r="K36" s="15"/>
    </row>
    <row r="37" spans="2:10" ht="35.25" customHeight="1">
      <c r="B37" s="269" t="s">
        <v>15</v>
      </c>
      <c r="C37" s="269"/>
      <c r="D37" s="82"/>
      <c r="E37" s="269"/>
      <c r="F37" s="807" t="s">
        <v>674</v>
      </c>
      <c r="G37" s="807"/>
      <c r="H37" s="807"/>
      <c r="I37" s="807"/>
      <c r="J37" s="807"/>
    </row>
    <row r="38" spans="2:10" ht="18.75">
      <c r="B38" s="269"/>
      <c r="C38" s="269"/>
      <c r="D38" s="82"/>
      <c r="E38" s="269"/>
      <c r="F38" s="270"/>
      <c r="G38" s="270"/>
      <c r="H38" s="270"/>
      <c r="I38" s="270"/>
      <c r="J38" s="270"/>
    </row>
    <row r="39" spans="2:10" ht="18.75">
      <c r="B39" s="694" t="s">
        <v>673</v>
      </c>
      <c r="C39" s="694"/>
      <c r="D39" s="82"/>
      <c r="E39" s="87"/>
      <c r="F39" s="88"/>
      <c r="G39" s="88"/>
      <c r="H39" s="88"/>
      <c r="I39" s="88"/>
      <c r="J39" s="88"/>
    </row>
    <row r="40" spans="2:10" ht="15.75">
      <c r="B40" s="90"/>
      <c r="C40" s="82"/>
      <c r="D40" s="90"/>
      <c r="E40" s="88"/>
      <c r="F40" s="88"/>
      <c r="G40" s="88"/>
      <c r="H40" s="88"/>
      <c r="I40" s="88"/>
      <c r="J40" s="8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6">
    <mergeCell ref="B39:C39"/>
    <mergeCell ref="A29:A30"/>
    <mergeCell ref="B29:B30"/>
    <mergeCell ref="K29:K30"/>
    <mergeCell ref="F37:J37"/>
    <mergeCell ref="A25:A26"/>
    <mergeCell ref="B25:B26"/>
    <mergeCell ref="K25:K26"/>
    <mergeCell ref="A27:A28"/>
    <mergeCell ref="B27:B28"/>
    <mergeCell ref="K27:K28"/>
    <mergeCell ref="A21:A22"/>
    <mergeCell ref="B21:B22"/>
    <mergeCell ref="K21:K22"/>
    <mergeCell ref="A23:A24"/>
    <mergeCell ref="B23:B24"/>
    <mergeCell ref="K23:K24"/>
    <mergeCell ref="A19:A20"/>
    <mergeCell ref="B19:B20"/>
    <mergeCell ref="K19:K20"/>
    <mergeCell ref="E14:E15"/>
    <mergeCell ref="F14:F15"/>
    <mergeCell ref="G14:G15"/>
    <mergeCell ref="H14:H15"/>
    <mergeCell ref="I14:I15"/>
    <mergeCell ref="J14:J15"/>
    <mergeCell ref="J8:O8"/>
    <mergeCell ref="B11:K11"/>
    <mergeCell ref="D12:H12"/>
    <mergeCell ref="A13:A15"/>
    <mergeCell ref="B13:B15"/>
    <mergeCell ref="C13:C15"/>
    <mergeCell ref="D13:D15"/>
    <mergeCell ref="E13:J13"/>
    <mergeCell ref="K13:K15"/>
    <mergeCell ref="J9:K9"/>
  </mergeCells>
  <printOptions horizontalCentered="1"/>
  <pageMargins left="0.3937007874015748" right="0.3937007874015748" top="1.1811023622047245" bottom="0.3937007874015748" header="0" footer="0"/>
  <pageSetup fitToHeight="1"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1:O67"/>
  <sheetViews>
    <sheetView view="pageBreakPreview" zoomScale="80" zoomScaleSheetLayoutView="80" zoomScalePageLayoutView="0" workbookViewId="0" topLeftCell="A1">
      <selection activeCell="F17" sqref="F17:F1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213</v>
      </c>
      <c r="K1" s="344"/>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301</v>
      </c>
      <c r="K3" s="12"/>
      <c r="L3" s="15"/>
      <c r="M3" s="12"/>
      <c r="N3" s="12"/>
      <c r="O3" s="12"/>
    </row>
    <row r="4" spans="2:15" ht="15.75">
      <c r="B4" s="15"/>
      <c r="C4" s="15"/>
      <c r="D4" s="15"/>
      <c r="E4" s="15"/>
      <c r="F4" s="15"/>
      <c r="G4" s="15"/>
      <c r="H4" s="15"/>
      <c r="I4" s="12"/>
      <c r="J4" s="17" t="s">
        <v>302</v>
      </c>
      <c r="K4" s="17"/>
      <c r="L4" s="15"/>
      <c r="M4" s="12"/>
      <c r="N4" s="12"/>
      <c r="O4" s="12"/>
    </row>
    <row r="5" spans="2:15" ht="15.75">
      <c r="B5" s="15"/>
      <c r="C5" s="15"/>
      <c r="D5" s="15"/>
      <c r="E5" s="15"/>
      <c r="F5" s="15"/>
      <c r="G5" s="15"/>
      <c r="H5" s="15"/>
      <c r="I5" s="12" t="s">
        <v>17</v>
      </c>
      <c r="J5" s="17" t="s">
        <v>564</v>
      </c>
      <c r="K5" s="17"/>
      <c r="L5" s="15"/>
      <c r="M5" s="12"/>
      <c r="N5" s="12"/>
      <c r="O5" s="12"/>
    </row>
    <row r="6" spans="2:15" ht="15.75">
      <c r="B6" s="15"/>
      <c r="C6" s="15"/>
      <c r="D6" s="15"/>
      <c r="E6" s="15"/>
      <c r="F6" s="15"/>
      <c r="G6" s="15"/>
      <c r="H6" s="15"/>
      <c r="I6" s="12" t="s">
        <v>18</v>
      </c>
      <c r="J6" s="17" t="s">
        <v>581</v>
      </c>
      <c r="K6" s="17"/>
      <c r="L6" s="245"/>
      <c r="M6" s="12"/>
      <c r="N6" s="12"/>
      <c r="O6" s="12"/>
    </row>
    <row r="7" spans="2:15" ht="15.75" customHeight="1">
      <c r="B7" s="15"/>
      <c r="C7" s="15"/>
      <c r="D7" s="15"/>
      <c r="E7" s="15"/>
      <c r="F7" s="15"/>
      <c r="G7" s="15"/>
      <c r="H7" s="16"/>
      <c r="I7" s="12"/>
      <c r="J7" s="745" t="s">
        <v>577</v>
      </c>
      <c r="K7" s="745"/>
      <c r="L7" s="745"/>
      <c r="M7" s="745"/>
      <c r="N7" s="745"/>
      <c r="O7" s="745"/>
    </row>
    <row r="8" spans="2:15" ht="15.75">
      <c r="B8" s="15"/>
      <c r="C8" s="15"/>
      <c r="D8" s="15"/>
      <c r="E8" s="15"/>
      <c r="F8" s="15"/>
      <c r="G8" s="15"/>
      <c r="H8" s="15"/>
      <c r="I8" s="15"/>
      <c r="J8" s="745" t="s">
        <v>687</v>
      </c>
      <c r="K8" s="745"/>
      <c r="L8" s="553"/>
      <c r="M8" s="553"/>
      <c r="N8" s="553"/>
      <c r="O8" s="553"/>
    </row>
    <row r="9" spans="2:15" ht="15.75">
      <c r="B9" s="15"/>
      <c r="C9" s="15"/>
      <c r="D9" s="15"/>
      <c r="E9" s="15"/>
      <c r="F9" s="15"/>
      <c r="G9" s="15"/>
      <c r="H9" s="15"/>
      <c r="I9" s="15"/>
      <c r="J9" s="553"/>
      <c r="K9" s="553"/>
      <c r="L9" s="553"/>
      <c r="M9" s="553"/>
      <c r="N9" s="553"/>
      <c r="O9" s="553"/>
    </row>
    <row r="10" spans="2:12" ht="36" customHeight="1">
      <c r="B10" s="735" t="s">
        <v>578</v>
      </c>
      <c r="C10" s="735"/>
      <c r="D10" s="735"/>
      <c r="E10" s="735"/>
      <c r="F10" s="735"/>
      <c r="G10" s="735"/>
      <c r="H10" s="735"/>
      <c r="I10" s="735"/>
      <c r="J10" s="735"/>
      <c r="K10" s="735"/>
      <c r="L10" s="15"/>
    </row>
    <row r="11" spans="2:12" ht="18.75">
      <c r="B11" s="15"/>
      <c r="C11" s="15"/>
      <c r="D11" s="743"/>
      <c r="E11" s="743"/>
      <c r="F11" s="743"/>
      <c r="G11" s="743"/>
      <c r="H11" s="743"/>
      <c r="I11" s="15"/>
      <c r="J11" s="15"/>
      <c r="K11" s="302" t="s">
        <v>249</v>
      </c>
      <c r="L11" s="15"/>
    </row>
    <row r="12" spans="1:12" ht="15.75" customHeight="1">
      <c r="A12" s="794" t="s">
        <v>5</v>
      </c>
      <c r="B12" s="729" t="s">
        <v>10</v>
      </c>
      <c r="C12" s="729" t="s">
        <v>11</v>
      </c>
      <c r="D12" s="729" t="s">
        <v>252</v>
      </c>
      <c r="E12" s="744" t="s">
        <v>7</v>
      </c>
      <c r="F12" s="744"/>
      <c r="G12" s="744"/>
      <c r="H12" s="744"/>
      <c r="I12" s="744"/>
      <c r="J12" s="786"/>
      <c r="K12" s="732" t="s">
        <v>13</v>
      </c>
      <c r="L12" s="15"/>
    </row>
    <row r="13" spans="1:12" ht="15.75">
      <c r="A13" s="795"/>
      <c r="B13" s="730"/>
      <c r="C13" s="730"/>
      <c r="D13" s="730"/>
      <c r="E13" s="729">
        <v>2021</v>
      </c>
      <c r="F13" s="729">
        <v>2022</v>
      </c>
      <c r="G13" s="729" t="s">
        <v>22</v>
      </c>
      <c r="H13" s="729" t="s">
        <v>23</v>
      </c>
      <c r="I13" s="729" t="s">
        <v>24</v>
      </c>
      <c r="J13" s="732">
        <v>2023</v>
      </c>
      <c r="K13" s="732"/>
      <c r="L13" s="15"/>
    </row>
    <row r="14" spans="1:12" ht="21.75" customHeight="1">
      <c r="A14" s="796"/>
      <c r="B14" s="731"/>
      <c r="C14" s="731"/>
      <c r="D14" s="731"/>
      <c r="E14" s="731"/>
      <c r="F14" s="731"/>
      <c r="G14" s="731"/>
      <c r="H14" s="731"/>
      <c r="I14" s="731"/>
      <c r="J14" s="732"/>
      <c r="K14" s="732"/>
      <c r="L14" s="15"/>
    </row>
    <row r="15" spans="1:12" s="258" customFormat="1" ht="28.5" customHeight="1">
      <c r="A15" s="814">
        <v>1</v>
      </c>
      <c r="B15" s="810" t="s">
        <v>502</v>
      </c>
      <c r="C15" s="801" t="s">
        <v>340</v>
      </c>
      <c r="D15" s="812">
        <f>E16+F16+J15</f>
        <v>1067.7</v>
      </c>
      <c r="E15" s="808">
        <f>944-100</f>
        <v>844</v>
      </c>
      <c r="F15" s="808">
        <v>1007.3</v>
      </c>
      <c r="G15" s="442"/>
      <c r="H15" s="442"/>
      <c r="I15" s="442"/>
      <c r="J15" s="808">
        <v>1067.7</v>
      </c>
      <c r="K15" s="801" t="s">
        <v>161</v>
      </c>
      <c r="L15" s="233"/>
    </row>
    <row r="16" spans="1:12" s="258" customFormat="1" ht="22.5" customHeight="1">
      <c r="A16" s="814"/>
      <c r="B16" s="811"/>
      <c r="C16" s="802"/>
      <c r="D16" s="813"/>
      <c r="E16" s="809"/>
      <c r="F16" s="809"/>
      <c r="G16" s="442"/>
      <c r="H16" s="442"/>
      <c r="I16" s="442"/>
      <c r="J16" s="809"/>
      <c r="K16" s="802"/>
      <c r="L16" s="233"/>
    </row>
    <row r="17" spans="1:12" s="258" customFormat="1" ht="31.5" customHeight="1">
      <c r="A17" s="814">
        <v>2</v>
      </c>
      <c r="B17" s="810" t="s">
        <v>503</v>
      </c>
      <c r="C17" s="801" t="s">
        <v>340</v>
      </c>
      <c r="D17" s="812">
        <f aca="true" t="shared" si="0" ref="D17:D53">E17+F17+J17</f>
        <v>4155</v>
      </c>
      <c r="E17" s="808">
        <f>1300-254</f>
        <v>1046</v>
      </c>
      <c r="F17" s="808">
        <v>1468</v>
      </c>
      <c r="G17" s="442"/>
      <c r="H17" s="442"/>
      <c r="I17" s="442"/>
      <c r="J17" s="808">
        <v>1641</v>
      </c>
      <c r="K17" s="801" t="s">
        <v>161</v>
      </c>
      <c r="L17" s="233"/>
    </row>
    <row r="18" spans="1:12" s="258" customFormat="1" ht="24" customHeight="1">
      <c r="A18" s="814"/>
      <c r="B18" s="811"/>
      <c r="C18" s="802"/>
      <c r="D18" s="813"/>
      <c r="E18" s="809"/>
      <c r="F18" s="809"/>
      <c r="G18" s="442"/>
      <c r="H18" s="442"/>
      <c r="I18" s="442"/>
      <c r="J18" s="809"/>
      <c r="K18" s="802"/>
      <c r="L18" s="233"/>
    </row>
    <row r="19" spans="1:12" s="258" customFormat="1" ht="46.5" customHeight="1">
      <c r="A19" s="182">
        <v>3</v>
      </c>
      <c r="B19" s="439" t="s">
        <v>401</v>
      </c>
      <c r="C19" s="182" t="s">
        <v>340</v>
      </c>
      <c r="D19" s="441">
        <f t="shared" si="0"/>
        <v>165</v>
      </c>
      <c r="E19" s="656">
        <f>50-15</f>
        <v>35</v>
      </c>
      <c r="F19" s="442">
        <v>60</v>
      </c>
      <c r="G19" s="442"/>
      <c r="H19" s="442"/>
      <c r="I19" s="442"/>
      <c r="J19" s="442">
        <v>70</v>
      </c>
      <c r="K19" s="436" t="s">
        <v>161</v>
      </c>
      <c r="L19" s="233"/>
    </row>
    <row r="20" spans="1:12" s="258" customFormat="1" ht="39.75" customHeight="1">
      <c r="A20" s="182">
        <v>4</v>
      </c>
      <c r="B20" s="439" t="s">
        <v>402</v>
      </c>
      <c r="C20" s="182" t="s">
        <v>340</v>
      </c>
      <c r="D20" s="441">
        <f t="shared" si="0"/>
        <v>1700</v>
      </c>
      <c r="E20" s="656">
        <v>1100</v>
      </c>
      <c r="F20" s="442">
        <v>300</v>
      </c>
      <c r="G20" s="442"/>
      <c r="H20" s="442"/>
      <c r="I20" s="442"/>
      <c r="J20" s="442">
        <v>300</v>
      </c>
      <c r="K20" s="436" t="s">
        <v>161</v>
      </c>
      <c r="L20" s="233"/>
    </row>
    <row r="21" spans="1:12" s="258" customFormat="1" ht="43.5" customHeight="1">
      <c r="A21" s="182">
        <v>5</v>
      </c>
      <c r="B21" s="439" t="s">
        <v>504</v>
      </c>
      <c r="C21" s="182" t="s">
        <v>340</v>
      </c>
      <c r="D21" s="441">
        <f t="shared" si="0"/>
        <v>480</v>
      </c>
      <c r="E21" s="656">
        <v>150</v>
      </c>
      <c r="F21" s="442">
        <v>160</v>
      </c>
      <c r="G21" s="442"/>
      <c r="H21" s="442"/>
      <c r="I21" s="442"/>
      <c r="J21" s="442">
        <v>170</v>
      </c>
      <c r="K21" s="436" t="s">
        <v>161</v>
      </c>
      <c r="L21" s="233"/>
    </row>
    <row r="22" spans="1:12" s="258" customFormat="1" ht="57" customHeight="1">
      <c r="A22" s="526">
        <v>6</v>
      </c>
      <c r="B22" s="525" t="s">
        <v>407</v>
      </c>
      <c r="C22" s="526" t="s">
        <v>340</v>
      </c>
      <c r="D22" s="527">
        <f t="shared" si="0"/>
        <v>0</v>
      </c>
      <c r="E22" s="656">
        <f>1200-1200</f>
        <v>0</v>
      </c>
      <c r="F22" s="528"/>
      <c r="G22" s="528"/>
      <c r="H22" s="528"/>
      <c r="I22" s="528"/>
      <c r="J22" s="528"/>
      <c r="K22" s="523" t="s">
        <v>161</v>
      </c>
      <c r="L22" s="233"/>
    </row>
    <row r="23" spans="1:12" s="258" customFormat="1" ht="46.5" customHeight="1">
      <c r="A23" s="526">
        <v>7</v>
      </c>
      <c r="B23" s="525" t="s">
        <v>408</v>
      </c>
      <c r="C23" s="526" t="s">
        <v>340</v>
      </c>
      <c r="D23" s="527">
        <f t="shared" si="0"/>
        <v>0</v>
      </c>
      <c r="E23" s="656">
        <f>130-130</f>
        <v>0</v>
      </c>
      <c r="F23" s="528"/>
      <c r="G23" s="528"/>
      <c r="H23" s="528"/>
      <c r="I23" s="528"/>
      <c r="J23" s="528"/>
      <c r="K23" s="523" t="s">
        <v>161</v>
      </c>
      <c r="L23" s="233"/>
    </row>
    <row r="24" spans="1:12" s="350" customFormat="1" ht="27.75" customHeight="1" hidden="1">
      <c r="A24" s="440">
        <v>6</v>
      </c>
      <c r="B24" s="359"/>
      <c r="C24" s="354"/>
      <c r="D24" s="357"/>
      <c r="E24" s="346"/>
      <c r="F24" s="346"/>
      <c r="G24" s="346"/>
      <c r="H24" s="346"/>
      <c r="I24" s="346"/>
      <c r="J24" s="346"/>
      <c r="K24" s="354"/>
      <c r="L24" s="349"/>
    </row>
    <row r="25" spans="1:12" ht="34.5" customHeight="1" hidden="1">
      <c r="A25" s="794">
        <v>10</v>
      </c>
      <c r="B25" s="810" t="s">
        <v>123</v>
      </c>
      <c r="C25" s="182" t="s">
        <v>14</v>
      </c>
      <c r="D25" s="441">
        <f t="shared" si="0"/>
        <v>123</v>
      </c>
      <c r="E25" s="442">
        <v>65</v>
      </c>
      <c r="F25" s="442">
        <v>58</v>
      </c>
      <c r="G25" s="442"/>
      <c r="H25" s="442"/>
      <c r="I25" s="442"/>
      <c r="J25" s="442"/>
      <c r="K25" s="801" t="s">
        <v>29</v>
      </c>
      <c r="L25" s="15"/>
    </row>
    <row r="26" spans="1:12" ht="18.75" hidden="1">
      <c r="A26" s="796"/>
      <c r="B26" s="811"/>
      <c r="C26" s="182" t="s">
        <v>296</v>
      </c>
      <c r="D26" s="441">
        <f t="shared" si="0"/>
        <v>75</v>
      </c>
      <c r="E26" s="442"/>
      <c r="F26" s="442"/>
      <c r="G26" s="442"/>
      <c r="H26" s="442"/>
      <c r="I26" s="442"/>
      <c r="J26" s="442">
        <v>75</v>
      </c>
      <c r="K26" s="802"/>
      <c r="L26" s="15"/>
    </row>
    <row r="27" spans="1:12" ht="36.75" customHeight="1" hidden="1">
      <c r="A27" s="794">
        <v>11</v>
      </c>
      <c r="B27" s="810" t="s">
        <v>224</v>
      </c>
      <c r="C27" s="182" t="s">
        <v>14</v>
      </c>
      <c r="D27" s="441">
        <f t="shared" si="0"/>
        <v>274</v>
      </c>
      <c r="E27" s="442">
        <f>42+80+87</f>
        <v>209</v>
      </c>
      <c r="F27" s="442">
        <f>63+2</f>
        <v>65</v>
      </c>
      <c r="G27" s="442"/>
      <c r="H27" s="442"/>
      <c r="I27" s="442"/>
      <c r="J27" s="442"/>
      <c r="K27" s="801" t="s">
        <v>29</v>
      </c>
      <c r="L27" s="15"/>
    </row>
    <row r="28" spans="1:12" ht="29.25" customHeight="1" hidden="1">
      <c r="A28" s="796"/>
      <c r="B28" s="811"/>
      <c r="C28" s="229" t="s">
        <v>296</v>
      </c>
      <c r="D28" s="441">
        <f t="shared" si="0"/>
        <v>75</v>
      </c>
      <c r="E28" s="442"/>
      <c r="F28" s="442"/>
      <c r="G28" s="442"/>
      <c r="H28" s="442"/>
      <c r="I28" s="442"/>
      <c r="J28" s="442">
        <v>75</v>
      </c>
      <c r="K28" s="802"/>
      <c r="L28" s="15"/>
    </row>
    <row r="29" spans="1:12" ht="37.5" hidden="1">
      <c r="A29" s="77">
        <v>12</v>
      </c>
      <c r="B29" s="143" t="s">
        <v>164</v>
      </c>
      <c r="C29" s="229" t="s">
        <v>14</v>
      </c>
      <c r="D29" s="441">
        <f t="shared" si="0"/>
        <v>150</v>
      </c>
      <c r="E29" s="60">
        <v>150</v>
      </c>
      <c r="F29" s="442">
        <v>0</v>
      </c>
      <c r="G29" s="442">
        <v>0</v>
      </c>
      <c r="H29" s="442">
        <v>0</v>
      </c>
      <c r="I29" s="442">
        <v>0</v>
      </c>
      <c r="J29" s="442">
        <v>0</v>
      </c>
      <c r="K29" s="437" t="s">
        <v>29</v>
      </c>
      <c r="L29" s="15"/>
    </row>
    <row r="30" spans="1:12" ht="37.5" hidden="1">
      <c r="A30" s="77">
        <v>13</v>
      </c>
      <c r="B30" s="143" t="s">
        <v>165</v>
      </c>
      <c r="C30" s="229" t="s">
        <v>14</v>
      </c>
      <c r="D30" s="441">
        <f t="shared" si="0"/>
        <v>1</v>
      </c>
      <c r="E30" s="60">
        <v>1</v>
      </c>
      <c r="F30" s="442">
        <v>0</v>
      </c>
      <c r="G30" s="442"/>
      <c r="H30" s="442"/>
      <c r="I30" s="442"/>
      <c r="J30" s="442">
        <v>0</v>
      </c>
      <c r="K30" s="437" t="s">
        <v>29</v>
      </c>
      <c r="L30" s="15"/>
    </row>
    <row r="31" spans="1:12" s="350" customFormat="1" ht="56.25" customHeight="1" hidden="1">
      <c r="A31" s="355"/>
      <c r="B31" s="356"/>
      <c r="C31" s="347"/>
      <c r="D31" s="357"/>
      <c r="E31" s="346"/>
      <c r="F31" s="346"/>
      <c r="G31" s="346"/>
      <c r="H31" s="346"/>
      <c r="I31" s="346"/>
      <c r="J31" s="346"/>
      <c r="K31" s="353"/>
      <c r="L31" s="349"/>
    </row>
    <row r="32" spans="1:12" ht="75" hidden="1">
      <c r="A32" s="77">
        <v>15</v>
      </c>
      <c r="B32" s="143" t="s">
        <v>219</v>
      </c>
      <c r="C32" s="229" t="s">
        <v>14</v>
      </c>
      <c r="D32" s="441">
        <f t="shared" si="0"/>
        <v>250</v>
      </c>
      <c r="E32" s="60">
        <v>0</v>
      </c>
      <c r="F32" s="442">
        <v>250</v>
      </c>
      <c r="G32" s="442"/>
      <c r="H32" s="442"/>
      <c r="I32" s="442"/>
      <c r="J32" s="442">
        <v>0</v>
      </c>
      <c r="K32" s="437" t="s">
        <v>29</v>
      </c>
      <c r="L32" s="15"/>
    </row>
    <row r="33" spans="1:12" ht="37.5" hidden="1">
      <c r="A33" s="77">
        <v>16</v>
      </c>
      <c r="B33" s="143" t="s">
        <v>223</v>
      </c>
      <c r="C33" s="229" t="s">
        <v>14</v>
      </c>
      <c r="D33" s="441">
        <f t="shared" si="0"/>
        <v>200</v>
      </c>
      <c r="E33" s="60">
        <v>0</v>
      </c>
      <c r="F33" s="442">
        <v>200</v>
      </c>
      <c r="G33" s="442"/>
      <c r="H33" s="442"/>
      <c r="I33" s="442"/>
      <c r="J33" s="442">
        <v>0</v>
      </c>
      <c r="K33" s="437" t="s">
        <v>29</v>
      </c>
      <c r="L33" s="15"/>
    </row>
    <row r="34" spans="1:12" ht="86.25" customHeight="1" hidden="1">
      <c r="A34" s="77">
        <v>17</v>
      </c>
      <c r="B34" s="143" t="s">
        <v>225</v>
      </c>
      <c r="C34" s="229" t="s">
        <v>14</v>
      </c>
      <c r="D34" s="441">
        <f t="shared" si="0"/>
        <v>79.7</v>
      </c>
      <c r="E34" s="60">
        <v>0</v>
      </c>
      <c r="F34" s="442">
        <f>0+20+30+16.2+13.5</f>
        <v>79.7</v>
      </c>
      <c r="G34" s="442"/>
      <c r="H34" s="442"/>
      <c r="I34" s="442"/>
      <c r="J34" s="442">
        <v>0</v>
      </c>
      <c r="K34" s="437" t="s">
        <v>29</v>
      </c>
      <c r="L34" s="15"/>
    </row>
    <row r="35" spans="1:12" ht="32.25" customHeight="1" hidden="1">
      <c r="A35" s="794">
        <v>18</v>
      </c>
      <c r="B35" s="810" t="s">
        <v>263</v>
      </c>
      <c r="C35" s="229" t="s">
        <v>14</v>
      </c>
      <c r="D35" s="441">
        <f t="shared" si="0"/>
        <v>15</v>
      </c>
      <c r="E35" s="60">
        <v>0</v>
      </c>
      <c r="F35" s="442">
        <f>0+12+3</f>
        <v>15</v>
      </c>
      <c r="G35" s="442"/>
      <c r="H35" s="442"/>
      <c r="I35" s="442"/>
      <c r="J35" s="442"/>
      <c r="K35" s="801" t="s">
        <v>29</v>
      </c>
      <c r="L35" s="15"/>
    </row>
    <row r="36" spans="1:12" ht="21" customHeight="1" hidden="1">
      <c r="A36" s="796"/>
      <c r="B36" s="811"/>
      <c r="C36" s="229" t="s">
        <v>296</v>
      </c>
      <c r="D36" s="441">
        <f t="shared" si="0"/>
        <v>30</v>
      </c>
      <c r="E36" s="60"/>
      <c r="F36" s="442"/>
      <c r="G36" s="442"/>
      <c r="H36" s="442"/>
      <c r="I36" s="442"/>
      <c r="J36" s="442">
        <v>30</v>
      </c>
      <c r="K36" s="802"/>
      <c r="L36" s="15"/>
    </row>
    <row r="37" spans="1:12" ht="42" customHeight="1" hidden="1">
      <c r="A37" s="77">
        <v>19</v>
      </c>
      <c r="B37" s="352" t="s">
        <v>294</v>
      </c>
      <c r="C37" s="182" t="s">
        <v>14</v>
      </c>
      <c r="D37" s="441">
        <f t="shared" si="0"/>
        <v>200</v>
      </c>
      <c r="E37" s="60"/>
      <c r="F37" s="442">
        <f>0+200</f>
        <v>200</v>
      </c>
      <c r="G37" s="442"/>
      <c r="H37" s="442"/>
      <c r="I37" s="442"/>
      <c r="J37" s="442"/>
      <c r="K37" s="437" t="s">
        <v>29</v>
      </c>
      <c r="L37" s="15"/>
    </row>
    <row r="38" spans="1:12" ht="42" customHeight="1" hidden="1">
      <c r="A38" s="77">
        <v>20</v>
      </c>
      <c r="B38" s="151" t="s">
        <v>267</v>
      </c>
      <c r="C38" s="182" t="s">
        <v>14</v>
      </c>
      <c r="D38" s="441">
        <f t="shared" si="0"/>
        <v>80</v>
      </c>
      <c r="E38" s="60"/>
      <c r="F38" s="442">
        <f>0+80</f>
        <v>80</v>
      </c>
      <c r="G38" s="442"/>
      <c r="H38" s="442"/>
      <c r="I38" s="442"/>
      <c r="J38" s="442"/>
      <c r="K38" s="437" t="s">
        <v>29</v>
      </c>
      <c r="L38" s="15"/>
    </row>
    <row r="39" spans="1:12" ht="42" customHeight="1" hidden="1">
      <c r="A39" s="77">
        <v>21</v>
      </c>
      <c r="B39" s="151" t="s">
        <v>270</v>
      </c>
      <c r="C39" s="182" t="s">
        <v>14</v>
      </c>
      <c r="D39" s="441">
        <f t="shared" si="0"/>
        <v>84</v>
      </c>
      <c r="E39" s="60"/>
      <c r="F39" s="442">
        <v>84</v>
      </c>
      <c r="G39" s="442"/>
      <c r="H39" s="442"/>
      <c r="I39" s="442"/>
      <c r="J39" s="442"/>
      <c r="K39" s="437" t="s">
        <v>29</v>
      </c>
      <c r="L39" s="15"/>
    </row>
    <row r="40" spans="1:12" ht="69" customHeight="1" hidden="1">
      <c r="A40" s="77">
        <v>22</v>
      </c>
      <c r="B40" s="151" t="s">
        <v>271</v>
      </c>
      <c r="C40" s="182" t="s">
        <v>14</v>
      </c>
      <c r="D40" s="441">
        <f t="shared" si="0"/>
        <v>11.1</v>
      </c>
      <c r="E40" s="60"/>
      <c r="F40" s="442">
        <v>11.1</v>
      </c>
      <c r="G40" s="442"/>
      <c r="H40" s="442"/>
      <c r="I40" s="442"/>
      <c r="J40" s="442"/>
      <c r="K40" s="437" t="s">
        <v>29</v>
      </c>
      <c r="L40" s="15"/>
    </row>
    <row r="41" spans="1:12" ht="34.5" customHeight="1" hidden="1">
      <c r="A41" s="77">
        <v>23</v>
      </c>
      <c r="B41" s="151" t="s">
        <v>293</v>
      </c>
      <c r="C41" s="182" t="s">
        <v>14</v>
      </c>
      <c r="D41" s="441">
        <f t="shared" si="0"/>
        <v>96</v>
      </c>
      <c r="E41" s="60"/>
      <c r="F41" s="442">
        <v>96</v>
      </c>
      <c r="G41" s="442"/>
      <c r="H41" s="442"/>
      <c r="I41" s="442"/>
      <c r="J41" s="442"/>
      <c r="K41" s="437" t="s">
        <v>29</v>
      </c>
      <c r="L41" s="15"/>
    </row>
    <row r="42" spans="1:12" ht="54.75" customHeight="1" hidden="1">
      <c r="A42" s="77">
        <v>24</v>
      </c>
      <c r="B42" s="151" t="s">
        <v>272</v>
      </c>
      <c r="C42" s="182" t="s">
        <v>296</v>
      </c>
      <c r="D42" s="441">
        <f t="shared" si="0"/>
        <v>150</v>
      </c>
      <c r="E42" s="60"/>
      <c r="F42" s="442"/>
      <c r="G42" s="442"/>
      <c r="H42" s="442"/>
      <c r="I42" s="442"/>
      <c r="J42" s="442">
        <v>150</v>
      </c>
      <c r="K42" s="437" t="s">
        <v>29</v>
      </c>
      <c r="L42" s="15"/>
    </row>
    <row r="43" spans="1:12" ht="49.5" customHeight="1" hidden="1">
      <c r="A43" s="77">
        <v>25</v>
      </c>
      <c r="B43" s="151" t="s">
        <v>273</v>
      </c>
      <c r="C43" s="182" t="s">
        <v>296</v>
      </c>
      <c r="D43" s="441">
        <f t="shared" si="0"/>
        <v>50</v>
      </c>
      <c r="E43" s="60"/>
      <c r="F43" s="442"/>
      <c r="G43" s="442"/>
      <c r="H43" s="442"/>
      <c r="I43" s="442"/>
      <c r="J43" s="442">
        <v>50</v>
      </c>
      <c r="K43" s="437" t="s">
        <v>29</v>
      </c>
      <c r="L43" s="15"/>
    </row>
    <row r="44" spans="1:12" ht="39.75" customHeight="1" hidden="1">
      <c r="A44" s="77">
        <v>26</v>
      </c>
      <c r="B44" s="151" t="s">
        <v>274</v>
      </c>
      <c r="C44" s="182" t="s">
        <v>296</v>
      </c>
      <c r="D44" s="441">
        <f t="shared" si="0"/>
        <v>85</v>
      </c>
      <c r="E44" s="60"/>
      <c r="F44" s="442"/>
      <c r="G44" s="442"/>
      <c r="H44" s="442"/>
      <c r="I44" s="442"/>
      <c r="J44" s="442">
        <v>85</v>
      </c>
      <c r="K44" s="437" t="s">
        <v>29</v>
      </c>
      <c r="L44" s="15"/>
    </row>
    <row r="45" spans="1:12" ht="38.25" customHeight="1" hidden="1">
      <c r="A45" s="77">
        <v>27</v>
      </c>
      <c r="B45" s="151" t="s">
        <v>275</v>
      </c>
      <c r="C45" s="182" t="s">
        <v>296</v>
      </c>
      <c r="D45" s="441">
        <f t="shared" si="0"/>
        <v>300</v>
      </c>
      <c r="E45" s="60"/>
      <c r="F45" s="442"/>
      <c r="G45" s="442"/>
      <c r="H45" s="442"/>
      <c r="I45" s="442"/>
      <c r="J45" s="442">
        <v>300</v>
      </c>
      <c r="K45" s="437" t="s">
        <v>29</v>
      </c>
      <c r="L45" s="15"/>
    </row>
    <row r="46" spans="1:12" ht="96" customHeight="1" hidden="1">
      <c r="A46" s="77">
        <v>28</v>
      </c>
      <c r="B46" s="151" t="s">
        <v>295</v>
      </c>
      <c r="C46" s="182" t="s">
        <v>296</v>
      </c>
      <c r="D46" s="441">
        <f t="shared" si="0"/>
        <v>60</v>
      </c>
      <c r="E46" s="60"/>
      <c r="F46" s="442"/>
      <c r="G46" s="442"/>
      <c r="H46" s="442"/>
      <c r="I46" s="442"/>
      <c r="J46" s="442">
        <v>60</v>
      </c>
      <c r="K46" s="437" t="s">
        <v>29</v>
      </c>
      <c r="L46" s="15"/>
    </row>
    <row r="47" spans="1:12" ht="39" customHeight="1" hidden="1">
      <c r="A47" s="77">
        <v>29</v>
      </c>
      <c r="B47" s="151" t="s">
        <v>305</v>
      </c>
      <c r="C47" s="182" t="s">
        <v>296</v>
      </c>
      <c r="D47" s="441">
        <f t="shared" si="0"/>
        <v>190</v>
      </c>
      <c r="E47" s="60"/>
      <c r="F47" s="442"/>
      <c r="G47" s="442"/>
      <c r="H47" s="442"/>
      <c r="I47" s="442"/>
      <c r="J47" s="442">
        <v>190</v>
      </c>
      <c r="K47" s="437" t="s">
        <v>29</v>
      </c>
      <c r="L47" s="15"/>
    </row>
    <row r="48" spans="1:12" ht="109.5" customHeight="1" hidden="1">
      <c r="A48" s="77">
        <v>30</v>
      </c>
      <c r="B48" s="151" t="s">
        <v>321</v>
      </c>
      <c r="C48" s="182" t="s">
        <v>296</v>
      </c>
      <c r="D48" s="441">
        <f t="shared" si="0"/>
        <v>4.3</v>
      </c>
      <c r="E48" s="60"/>
      <c r="F48" s="442"/>
      <c r="G48" s="442"/>
      <c r="H48" s="442"/>
      <c r="I48" s="442"/>
      <c r="J48" s="442">
        <v>4.3</v>
      </c>
      <c r="K48" s="437" t="s">
        <v>29</v>
      </c>
      <c r="L48" s="15"/>
    </row>
    <row r="49" spans="1:12" ht="54.75" customHeight="1" hidden="1">
      <c r="A49" s="77">
        <v>31</v>
      </c>
      <c r="B49" s="138" t="s">
        <v>322</v>
      </c>
      <c r="C49" s="182" t="s">
        <v>296</v>
      </c>
      <c r="D49" s="441">
        <f t="shared" si="0"/>
        <v>79</v>
      </c>
      <c r="E49" s="60"/>
      <c r="F49" s="442"/>
      <c r="G49" s="442"/>
      <c r="H49" s="442"/>
      <c r="I49" s="442"/>
      <c r="J49" s="442">
        <v>79</v>
      </c>
      <c r="K49" s="437" t="s">
        <v>29</v>
      </c>
      <c r="L49" s="15"/>
    </row>
    <row r="50" spans="1:12" ht="83.25" customHeight="1" hidden="1">
      <c r="A50" s="77">
        <v>32</v>
      </c>
      <c r="B50" s="138" t="s">
        <v>323</v>
      </c>
      <c r="C50" s="182" t="s">
        <v>296</v>
      </c>
      <c r="D50" s="441">
        <f t="shared" si="0"/>
        <v>190</v>
      </c>
      <c r="E50" s="60"/>
      <c r="F50" s="442"/>
      <c r="G50" s="442"/>
      <c r="H50" s="442"/>
      <c r="I50" s="442"/>
      <c r="J50" s="442">
        <v>190</v>
      </c>
      <c r="K50" s="437" t="s">
        <v>29</v>
      </c>
      <c r="L50" s="15"/>
    </row>
    <row r="51" spans="1:12" ht="39" customHeight="1" hidden="1">
      <c r="A51" s="77">
        <v>33</v>
      </c>
      <c r="B51" s="138" t="s">
        <v>324</v>
      </c>
      <c r="C51" s="182" t="s">
        <v>296</v>
      </c>
      <c r="D51" s="441">
        <f t="shared" si="0"/>
        <v>40</v>
      </c>
      <c r="E51" s="60"/>
      <c r="F51" s="442"/>
      <c r="G51" s="442"/>
      <c r="H51" s="442"/>
      <c r="I51" s="442"/>
      <c r="J51" s="442">
        <v>40</v>
      </c>
      <c r="K51" s="437" t="s">
        <v>29</v>
      </c>
      <c r="L51" s="15"/>
    </row>
    <row r="52" spans="1:12" ht="60.75" customHeight="1" hidden="1">
      <c r="A52" s="77">
        <v>34</v>
      </c>
      <c r="B52" s="138" t="s">
        <v>335</v>
      </c>
      <c r="C52" s="182" t="s">
        <v>296</v>
      </c>
      <c r="D52" s="441">
        <f t="shared" si="0"/>
        <v>39</v>
      </c>
      <c r="E52" s="60"/>
      <c r="F52" s="442"/>
      <c r="G52" s="442"/>
      <c r="H52" s="442"/>
      <c r="I52" s="442"/>
      <c r="J52" s="442">
        <v>39</v>
      </c>
      <c r="K52" s="437" t="s">
        <v>29</v>
      </c>
      <c r="L52" s="15"/>
    </row>
    <row r="53" spans="1:12" ht="46.5" customHeight="1" hidden="1">
      <c r="A53" s="77">
        <v>35</v>
      </c>
      <c r="B53" s="138" t="s">
        <v>336</v>
      </c>
      <c r="C53" s="182" t="s">
        <v>296</v>
      </c>
      <c r="D53" s="441">
        <f t="shared" si="0"/>
        <v>450</v>
      </c>
      <c r="E53" s="60"/>
      <c r="F53" s="442"/>
      <c r="G53" s="442"/>
      <c r="H53" s="442"/>
      <c r="I53" s="442"/>
      <c r="J53" s="442">
        <v>450</v>
      </c>
      <c r="K53" s="437" t="s">
        <v>29</v>
      </c>
      <c r="L53" s="15"/>
    </row>
    <row r="54" spans="1:12" ht="21.75" customHeight="1">
      <c r="A54" s="70"/>
      <c r="B54" s="56" t="s">
        <v>4</v>
      </c>
      <c r="C54" s="66"/>
      <c r="D54" s="58">
        <f>E54+F54+J54</f>
        <v>9419</v>
      </c>
      <c r="E54" s="58">
        <f aca="true" t="shared" si="1" ref="E54:J54">E15+E17+E19+E20+E21+E22+E23</f>
        <v>3175</v>
      </c>
      <c r="F54" s="58">
        <f t="shared" si="1"/>
        <v>2995.3</v>
      </c>
      <c r="G54" s="58">
        <f t="shared" si="1"/>
        <v>0</v>
      </c>
      <c r="H54" s="58">
        <f t="shared" si="1"/>
        <v>0</v>
      </c>
      <c r="I54" s="58">
        <f t="shared" si="1"/>
        <v>0</v>
      </c>
      <c r="J54" s="58">
        <f t="shared" si="1"/>
        <v>3248.7</v>
      </c>
      <c r="K54" s="67"/>
      <c r="L54" s="15"/>
    </row>
    <row r="55" spans="1:12" ht="15.75">
      <c r="A55" s="39"/>
      <c r="B55" s="18"/>
      <c r="C55" s="18"/>
      <c r="D55" s="81"/>
      <c r="E55" s="81"/>
      <c r="F55" s="81"/>
      <c r="G55" s="81"/>
      <c r="H55" s="81"/>
      <c r="I55" s="81"/>
      <c r="J55" s="81"/>
      <c r="K55" s="20"/>
      <c r="L55" s="15"/>
    </row>
    <row r="56" spans="1:12" ht="15.75" hidden="1">
      <c r="A56" s="39"/>
      <c r="B56" s="18"/>
      <c r="C56" s="18"/>
      <c r="D56" s="81"/>
      <c r="E56" s="81"/>
      <c r="F56" s="81"/>
      <c r="G56" s="81"/>
      <c r="H56" s="81"/>
      <c r="I56" s="81"/>
      <c r="J56" s="81"/>
      <c r="K56" s="20"/>
      <c r="L56" s="15"/>
    </row>
    <row r="57" spans="1:13" s="82" customFormat="1" ht="18.75" customHeight="1">
      <c r="A57" s="14"/>
      <c r="B57" s="18"/>
      <c r="C57" s="18"/>
      <c r="D57" s="19"/>
      <c r="E57" s="19"/>
      <c r="F57" s="19"/>
      <c r="G57" s="19"/>
      <c r="H57" s="19"/>
      <c r="I57" s="19"/>
      <c r="J57" s="19"/>
      <c r="K57" s="20"/>
      <c r="L57" s="86" t="s">
        <v>6</v>
      </c>
      <c r="M57" s="85"/>
    </row>
    <row r="58" spans="1:13" s="82" customFormat="1" ht="18.75" customHeight="1">
      <c r="A58" s="14"/>
      <c r="B58" s="50"/>
      <c r="C58" s="51"/>
      <c r="D58" s="14"/>
      <c r="E58" s="19"/>
      <c r="F58" s="19"/>
      <c r="G58" s="19"/>
      <c r="H58" s="19"/>
      <c r="I58" s="19"/>
      <c r="J58" s="19"/>
      <c r="K58" s="51"/>
      <c r="L58" s="86"/>
      <c r="M58" s="85"/>
    </row>
    <row r="59" spans="2:12" s="82" customFormat="1" ht="33" customHeight="1">
      <c r="B59" s="269" t="s">
        <v>15</v>
      </c>
      <c r="C59" s="269"/>
      <c r="E59" s="269"/>
      <c r="F59" s="807" t="s">
        <v>674</v>
      </c>
      <c r="G59" s="807"/>
      <c r="H59" s="807"/>
      <c r="I59" s="807"/>
      <c r="J59" s="807"/>
      <c r="K59" s="85"/>
      <c r="L59" s="89"/>
    </row>
    <row r="60" spans="2:14" s="82" customFormat="1" ht="13.5" customHeight="1">
      <c r="B60" s="83"/>
      <c r="C60" s="83"/>
      <c r="E60" s="83"/>
      <c r="F60" s="84"/>
      <c r="G60" s="84"/>
      <c r="H60" s="84"/>
      <c r="I60" s="84"/>
      <c r="J60" s="84"/>
      <c r="K60" s="85"/>
      <c r="L60" s="89"/>
      <c r="N60" s="91"/>
    </row>
    <row r="61" spans="1:11" ht="18.75">
      <c r="A61" s="82"/>
      <c r="B61" s="694" t="s">
        <v>673</v>
      </c>
      <c r="C61" s="694"/>
      <c r="D61" s="82"/>
      <c r="E61" s="87"/>
      <c r="F61" s="88"/>
      <c r="G61" s="88"/>
      <c r="H61" s="88"/>
      <c r="I61" s="88"/>
      <c r="J61" s="88"/>
      <c r="K61" s="89"/>
    </row>
    <row r="62" spans="1:11" ht="15.75">
      <c r="A62" s="82"/>
      <c r="B62" s="122"/>
      <c r="C62" s="82"/>
      <c r="D62" s="90"/>
      <c r="E62" s="88"/>
      <c r="F62" s="88"/>
      <c r="G62" s="88"/>
      <c r="H62" s="88"/>
      <c r="I62" s="88"/>
      <c r="J62" s="88"/>
      <c r="K62" s="89"/>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B61:C61"/>
    <mergeCell ref="J8:K8"/>
    <mergeCell ref="G13:G14"/>
    <mergeCell ref="B27:B28"/>
    <mergeCell ref="F17:F18"/>
    <mergeCell ref="J7:O7"/>
    <mergeCell ref="E13:E14"/>
    <mergeCell ref="B12:B14"/>
    <mergeCell ref="J15:J16"/>
    <mergeCell ref="D11:H11"/>
    <mergeCell ref="A12:A14"/>
    <mergeCell ref="J13:J14"/>
    <mergeCell ref="A15:A16"/>
    <mergeCell ref="B15:B16"/>
    <mergeCell ref="F15:F16"/>
    <mergeCell ref="B10:K10"/>
    <mergeCell ref="H13:H14"/>
    <mergeCell ref="I13:I14"/>
    <mergeCell ref="C12:C14"/>
    <mergeCell ref="D15:D16"/>
    <mergeCell ref="A35:A36"/>
    <mergeCell ref="A25:A26"/>
    <mergeCell ref="B25:B26"/>
    <mergeCell ref="A27:A28"/>
    <mergeCell ref="C17:C18"/>
    <mergeCell ref="A17:A18"/>
    <mergeCell ref="B35:B36"/>
    <mergeCell ref="D12:D14"/>
    <mergeCell ref="B17:B18"/>
    <mergeCell ref="F59:J59"/>
    <mergeCell ref="C15:C16"/>
    <mergeCell ref="J17:J18"/>
    <mergeCell ref="D17:D18"/>
    <mergeCell ref="E15:E16"/>
    <mergeCell ref="K17:K18"/>
    <mergeCell ref="E17:E18"/>
    <mergeCell ref="K35:K36"/>
    <mergeCell ref="F13:F14"/>
    <mergeCell ref="K27:K28"/>
    <mergeCell ref="K15:K16"/>
    <mergeCell ref="K12:K14"/>
    <mergeCell ref="K25:K26"/>
    <mergeCell ref="E12:J12"/>
  </mergeCells>
  <printOptions horizontalCentered="1"/>
  <pageMargins left="0.3937007874015748" right="0.3937007874015748" top="1.1811023622047245" bottom="0.3937007874015748" header="0" footer="0"/>
  <pageSetup fitToHeight="0" fitToWidth="1" horizontalDpi="600" verticalDpi="600" orientation="landscape" paperSize="9" scale="66" r:id="rId1"/>
  <rowBreaks count="1" manualBreakCount="1">
    <brk id="61" max="10" man="1"/>
  </rowBreaks>
</worksheet>
</file>

<file path=xl/worksheets/sheet16.xml><?xml version="1.0" encoding="utf-8"?>
<worksheet xmlns="http://schemas.openxmlformats.org/spreadsheetml/2006/main" xmlns:r="http://schemas.openxmlformats.org/officeDocument/2006/relationships">
  <sheetPr>
    <tabColor theme="0"/>
    <pageSetUpPr fitToPage="1"/>
  </sheetPr>
  <dimension ref="A1:O85"/>
  <sheetViews>
    <sheetView view="pageBreakPreview" zoomScale="80" zoomScaleSheetLayoutView="80" zoomScalePageLayoutView="0" workbookViewId="0" topLeftCell="A19">
      <selection activeCell="E29" sqref="E2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694</v>
      </c>
      <c r="K1" s="344"/>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6"/>
      <c r="I6" s="12" t="s">
        <v>19</v>
      </c>
      <c r="J6" s="17" t="s">
        <v>581</v>
      </c>
      <c r="K6" s="17"/>
      <c r="L6" s="245"/>
      <c r="M6" s="12"/>
      <c r="N6" s="12"/>
      <c r="O6" s="12"/>
    </row>
    <row r="7" spans="2:15" ht="15.75" customHeight="1">
      <c r="B7" s="15"/>
      <c r="C7" s="15"/>
      <c r="D7" s="15"/>
      <c r="E7" s="15"/>
      <c r="F7" s="15"/>
      <c r="G7" s="15"/>
      <c r="H7" s="16"/>
      <c r="I7" s="12"/>
      <c r="J7" s="745" t="s">
        <v>577</v>
      </c>
      <c r="K7" s="745"/>
      <c r="L7" s="745"/>
      <c r="M7" s="745"/>
      <c r="N7" s="745"/>
      <c r="O7" s="745"/>
    </row>
    <row r="8" spans="2:15" ht="15.75">
      <c r="B8" s="15"/>
      <c r="C8" s="15"/>
      <c r="D8" s="15"/>
      <c r="E8" s="15"/>
      <c r="F8" s="15"/>
      <c r="G8" s="15"/>
      <c r="H8" s="15"/>
      <c r="I8" s="15"/>
      <c r="J8" s="745" t="s">
        <v>695</v>
      </c>
      <c r="K8" s="745"/>
      <c r="L8" s="553"/>
      <c r="M8" s="553"/>
      <c r="N8" s="553"/>
      <c r="O8" s="553"/>
    </row>
    <row r="9" spans="2:12" ht="36" customHeight="1">
      <c r="B9" s="735" t="s">
        <v>618</v>
      </c>
      <c r="C9" s="735"/>
      <c r="D9" s="735"/>
      <c r="E9" s="735"/>
      <c r="F9" s="735"/>
      <c r="G9" s="735"/>
      <c r="H9" s="735"/>
      <c r="I9" s="735"/>
      <c r="J9" s="735"/>
      <c r="K9" s="735"/>
      <c r="L9" s="15"/>
    </row>
    <row r="10" spans="2:12" ht="18.75">
      <c r="B10" s="15"/>
      <c r="C10" s="15"/>
      <c r="D10" s="743"/>
      <c r="E10" s="743"/>
      <c r="F10" s="743"/>
      <c r="G10" s="743"/>
      <c r="H10" s="743"/>
      <c r="I10" s="15"/>
      <c r="J10" s="15"/>
      <c r="K10" s="302" t="s">
        <v>249</v>
      </c>
      <c r="L10" s="15"/>
    </row>
    <row r="11" spans="1:12" ht="15.75" customHeight="1">
      <c r="A11" s="794" t="s">
        <v>5</v>
      </c>
      <c r="B11" s="729" t="s">
        <v>10</v>
      </c>
      <c r="C11" s="729" t="s">
        <v>11</v>
      </c>
      <c r="D11" s="729" t="s">
        <v>252</v>
      </c>
      <c r="E11" s="744" t="s">
        <v>7</v>
      </c>
      <c r="F11" s="744"/>
      <c r="G11" s="744"/>
      <c r="H11" s="744"/>
      <c r="I11" s="744"/>
      <c r="J11" s="786"/>
      <c r="K11" s="732" t="s">
        <v>13</v>
      </c>
      <c r="L11" s="15"/>
    </row>
    <row r="12" spans="1:12" ht="15.75">
      <c r="A12" s="795"/>
      <c r="B12" s="730"/>
      <c r="C12" s="730"/>
      <c r="D12" s="730"/>
      <c r="E12" s="729">
        <v>2021</v>
      </c>
      <c r="F12" s="729">
        <v>2022</v>
      </c>
      <c r="G12" s="729" t="s">
        <v>22</v>
      </c>
      <c r="H12" s="729" t="s">
        <v>23</v>
      </c>
      <c r="I12" s="729" t="s">
        <v>24</v>
      </c>
      <c r="J12" s="732">
        <v>2023</v>
      </c>
      <c r="K12" s="732"/>
      <c r="L12" s="15"/>
    </row>
    <row r="13" spans="1:12" ht="21.75" customHeight="1">
      <c r="A13" s="796"/>
      <c r="B13" s="731"/>
      <c r="C13" s="731"/>
      <c r="D13" s="731"/>
      <c r="E13" s="731"/>
      <c r="F13" s="731"/>
      <c r="G13" s="731"/>
      <c r="H13" s="731"/>
      <c r="I13" s="731"/>
      <c r="J13" s="732"/>
      <c r="K13" s="732"/>
      <c r="L13" s="15"/>
    </row>
    <row r="14" spans="1:12" s="336" customFormat="1" ht="42.75" customHeight="1">
      <c r="A14" s="364"/>
      <c r="B14" s="223"/>
      <c r="C14" s="223"/>
      <c r="D14" s="58">
        <f>E14+F14+J14</f>
        <v>10502.672999999999</v>
      </c>
      <c r="E14" s="58">
        <f aca="true" t="shared" si="0" ref="E14:J14">E15+E16+E17+E18+E19+E20+E21+E22+E23+E24+E25+E26+E29+E31+E32+E33+E30+E34+E35+E36</f>
        <v>4237.9</v>
      </c>
      <c r="F14" s="58">
        <f t="shared" si="0"/>
        <v>3133.5</v>
      </c>
      <c r="G14" s="58">
        <f t="shared" si="0"/>
        <v>0</v>
      </c>
      <c r="H14" s="58">
        <f t="shared" si="0"/>
        <v>0</v>
      </c>
      <c r="I14" s="58">
        <f t="shared" si="0"/>
        <v>0</v>
      </c>
      <c r="J14" s="58">
        <f t="shared" si="0"/>
        <v>3131.273</v>
      </c>
      <c r="K14" s="222"/>
      <c r="L14" s="365"/>
    </row>
    <row r="15" spans="1:12" s="258" customFormat="1" ht="57" customHeight="1">
      <c r="A15" s="444">
        <v>1</v>
      </c>
      <c r="B15" s="340" t="s">
        <v>272</v>
      </c>
      <c r="C15" s="182" t="s">
        <v>340</v>
      </c>
      <c r="D15" s="343">
        <f aca="true" t="shared" si="1" ref="D15:D34">E15+F15+J15</f>
        <v>859.5</v>
      </c>
      <c r="E15" s="656">
        <f>338.5-288.5</f>
        <v>50</v>
      </c>
      <c r="F15" s="373">
        <v>382.2</v>
      </c>
      <c r="G15" s="373"/>
      <c r="H15" s="373"/>
      <c r="I15" s="373"/>
      <c r="J15" s="373">
        <v>427.3</v>
      </c>
      <c r="K15" s="338" t="s">
        <v>161</v>
      </c>
      <c r="L15" s="233"/>
    </row>
    <row r="16" spans="1:12" s="258" customFormat="1" ht="69" customHeight="1">
      <c r="A16" s="444">
        <v>2</v>
      </c>
      <c r="B16" s="340" t="s">
        <v>35</v>
      </c>
      <c r="C16" s="182" t="s">
        <v>340</v>
      </c>
      <c r="D16" s="343">
        <f t="shared" si="1"/>
        <v>12</v>
      </c>
      <c r="E16" s="656">
        <v>4</v>
      </c>
      <c r="F16" s="373">
        <v>4</v>
      </c>
      <c r="G16" s="373"/>
      <c r="H16" s="373"/>
      <c r="I16" s="373"/>
      <c r="J16" s="373">
        <v>4</v>
      </c>
      <c r="K16" s="338" t="s">
        <v>451</v>
      </c>
      <c r="L16" s="233"/>
    </row>
    <row r="17" spans="1:12" s="258" customFormat="1" ht="56.25" customHeight="1">
      <c r="A17" s="444">
        <v>3</v>
      </c>
      <c r="B17" s="340" t="s">
        <v>400</v>
      </c>
      <c r="C17" s="229" t="s">
        <v>340</v>
      </c>
      <c r="D17" s="343">
        <f t="shared" si="1"/>
        <v>197.7</v>
      </c>
      <c r="E17" s="656">
        <v>96</v>
      </c>
      <c r="F17" s="373">
        <v>101.7</v>
      </c>
      <c r="G17" s="373"/>
      <c r="H17" s="373"/>
      <c r="I17" s="373"/>
      <c r="J17" s="373"/>
      <c r="K17" s="338" t="s">
        <v>451</v>
      </c>
      <c r="L17" s="233"/>
    </row>
    <row r="18" spans="1:12" s="258" customFormat="1" ht="51.75" customHeight="1">
      <c r="A18" s="444">
        <v>4</v>
      </c>
      <c r="B18" s="340" t="s">
        <v>403</v>
      </c>
      <c r="C18" s="182" t="s">
        <v>340</v>
      </c>
      <c r="D18" s="343">
        <f t="shared" si="1"/>
        <v>103.9</v>
      </c>
      <c r="E18" s="656">
        <f>22+2.5+25.5</f>
        <v>50</v>
      </c>
      <c r="F18" s="373">
        <f>23.5+2.7</f>
        <v>26.2</v>
      </c>
      <c r="G18" s="373"/>
      <c r="H18" s="373"/>
      <c r="I18" s="373"/>
      <c r="J18" s="373">
        <f>24.9+2.8</f>
        <v>27.7</v>
      </c>
      <c r="K18" s="338" t="s">
        <v>452</v>
      </c>
      <c r="L18" s="233"/>
    </row>
    <row r="19" spans="1:12" s="258" customFormat="1" ht="39.75" customHeight="1">
      <c r="A19" s="444">
        <v>5</v>
      </c>
      <c r="B19" s="340" t="s">
        <v>546</v>
      </c>
      <c r="C19" s="182" t="s">
        <v>340</v>
      </c>
      <c r="D19" s="343">
        <f t="shared" si="1"/>
        <v>657.8</v>
      </c>
      <c r="E19" s="665">
        <f>250+210</f>
        <v>460</v>
      </c>
      <c r="F19" s="373">
        <v>96</v>
      </c>
      <c r="G19" s="373"/>
      <c r="H19" s="373"/>
      <c r="I19" s="373"/>
      <c r="J19" s="373">
        <v>101.8</v>
      </c>
      <c r="K19" s="338" t="s">
        <v>161</v>
      </c>
      <c r="L19" s="233"/>
    </row>
    <row r="20" spans="1:12" s="258" customFormat="1" ht="39.75" customHeight="1">
      <c r="A20" s="444">
        <v>6</v>
      </c>
      <c r="B20" s="439" t="s">
        <v>404</v>
      </c>
      <c r="C20" s="182" t="s">
        <v>340</v>
      </c>
      <c r="D20" s="441">
        <f t="shared" si="1"/>
        <v>769.5999999999999</v>
      </c>
      <c r="E20" s="656">
        <f>200+320-190</f>
        <v>330</v>
      </c>
      <c r="F20" s="442">
        <v>213.4</v>
      </c>
      <c r="G20" s="442"/>
      <c r="H20" s="442"/>
      <c r="I20" s="442"/>
      <c r="J20" s="442">
        <v>226.2</v>
      </c>
      <c r="K20" s="436" t="s">
        <v>161</v>
      </c>
      <c r="L20" s="233"/>
    </row>
    <row r="21" spans="1:12" s="258" customFormat="1" ht="39.75" customHeight="1">
      <c r="A21" s="523">
        <v>7</v>
      </c>
      <c r="B21" s="525" t="s">
        <v>275</v>
      </c>
      <c r="C21" s="526" t="s">
        <v>340</v>
      </c>
      <c r="D21" s="527">
        <f t="shared" si="1"/>
        <v>0</v>
      </c>
      <c r="E21" s="656">
        <f>500-500</f>
        <v>0</v>
      </c>
      <c r="F21" s="528"/>
      <c r="G21" s="528"/>
      <c r="H21" s="528"/>
      <c r="I21" s="528"/>
      <c r="J21" s="528"/>
      <c r="K21" s="523" t="s">
        <v>161</v>
      </c>
      <c r="L21" s="233"/>
    </row>
    <row r="22" spans="1:12" s="258" customFormat="1" ht="39.75" customHeight="1">
      <c r="A22" s="523">
        <v>8</v>
      </c>
      <c r="B22" s="525" t="s">
        <v>405</v>
      </c>
      <c r="C22" s="526" t="s">
        <v>340</v>
      </c>
      <c r="D22" s="527">
        <f t="shared" si="1"/>
        <v>0</v>
      </c>
      <c r="E22" s="656">
        <f>180-180</f>
        <v>0</v>
      </c>
      <c r="F22" s="528"/>
      <c r="G22" s="528"/>
      <c r="H22" s="528"/>
      <c r="I22" s="528"/>
      <c r="J22" s="528"/>
      <c r="K22" s="523" t="s">
        <v>161</v>
      </c>
      <c r="L22" s="233"/>
    </row>
    <row r="23" spans="1:12" s="258" customFormat="1" ht="57.75" customHeight="1">
      <c r="A23" s="523">
        <v>9</v>
      </c>
      <c r="B23" s="525" t="s">
        <v>547</v>
      </c>
      <c r="C23" s="526" t="s">
        <v>340</v>
      </c>
      <c r="D23" s="527">
        <f t="shared" si="1"/>
        <v>300</v>
      </c>
      <c r="E23" s="656">
        <v>80</v>
      </c>
      <c r="F23" s="528">
        <v>100</v>
      </c>
      <c r="G23" s="528"/>
      <c r="H23" s="528"/>
      <c r="I23" s="528"/>
      <c r="J23" s="528">
        <v>120</v>
      </c>
      <c r="K23" s="523" t="s">
        <v>161</v>
      </c>
      <c r="L23" s="233"/>
    </row>
    <row r="24" spans="1:12" s="258" customFormat="1" ht="57" customHeight="1">
      <c r="A24" s="523">
        <v>10</v>
      </c>
      <c r="B24" s="525" t="s">
        <v>505</v>
      </c>
      <c r="C24" s="526" t="s">
        <v>340</v>
      </c>
      <c r="D24" s="527">
        <f t="shared" si="1"/>
        <v>112.1</v>
      </c>
      <c r="E24" s="656">
        <f>47+36.2-83.2</f>
        <v>0</v>
      </c>
      <c r="F24" s="528">
        <v>53.1</v>
      </c>
      <c r="G24" s="528"/>
      <c r="H24" s="528"/>
      <c r="I24" s="528"/>
      <c r="J24" s="528">
        <v>59</v>
      </c>
      <c r="K24" s="523" t="s">
        <v>161</v>
      </c>
      <c r="L24" s="233"/>
    </row>
    <row r="25" spans="1:12" s="258" customFormat="1" ht="53.25" customHeight="1">
      <c r="A25" s="523">
        <v>11</v>
      </c>
      <c r="B25" s="525" t="s">
        <v>406</v>
      </c>
      <c r="C25" s="526" t="s">
        <v>340</v>
      </c>
      <c r="D25" s="527">
        <f t="shared" si="1"/>
        <v>0</v>
      </c>
      <c r="E25" s="656">
        <f>180-180</f>
        <v>0</v>
      </c>
      <c r="F25" s="528"/>
      <c r="G25" s="528"/>
      <c r="H25" s="528"/>
      <c r="I25" s="528"/>
      <c r="J25" s="528"/>
      <c r="K25" s="523" t="s">
        <v>161</v>
      </c>
      <c r="L25" s="233"/>
    </row>
    <row r="26" spans="1:12" s="258" customFormat="1" ht="45" customHeight="1">
      <c r="A26" s="444">
        <v>12</v>
      </c>
      <c r="B26" s="446" t="s">
        <v>508</v>
      </c>
      <c r="C26" s="182" t="s">
        <v>340</v>
      </c>
      <c r="D26" s="450">
        <f t="shared" si="1"/>
        <v>100</v>
      </c>
      <c r="E26" s="656">
        <f>400-300</f>
        <v>100</v>
      </c>
      <c r="F26" s="449"/>
      <c r="G26" s="449"/>
      <c r="H26" s="449"/>
      <c r="I26" s="449"/>
      <c r="J26" s="449"/>
      <c r="K26" s="444" t="s">
        <v>161</v>
      </c>
      <c r="L26" s="233"/>
    </row>
    <row r="27" spans="1:12" s="258" customFormat="1" ht="97.5" customHeight="1" hidden="1">
      <c r="A27" s="444">
        <v>20</v>
      </c>
      <c r="B27" s="340" t="s">
        <v>409</v>
      </c>
      <c r="C27" s="182" t="s">
        <v>340</v>
      </c>
      <c r="D27" s="343">
        <f t="shared" si="1"/>
        <v>200</v>
      </c>
      <c r="E27" s="656">
        <v>200</v>
      </c>
      <c r="F27" s="373"/>
      <c r="G27" s="373"/>
      <c r="H27" s="373"/>
      <c r="I27" s="373"/>
      <c r="J27" s="373"/>
      <c r="K27" s="338" t="s">
        <v>161</v>
      </c>
      <c r="L27" s="233"/>
    </row>
    <row r="28" spans="1:12" s="258" customFormat="1" ht="75.75" customHeight="1" hidden="1">
      <c r="A28" s="444">
        <v>21</v>
      </c>
      <c r="B28" s="206" t="s">
        <v>410</v>
      </c>
      <c r="C28" s="182" t="s">
        <v>340</v>
      </c>
      <c r="D28" s="343">
        <f t="shared" si="1"/>
        <v>200</v>
      </c>
      <c r="E28" s="656">
        <v>200</v>
      </c>
      <c r="F28" s="373"/>
      <c r="G28" s="373"/>
      <c r="H28" s="373"/>
      <c r="I28" s="373"/>
      <c r="J28" s="373"/>
      <c r="K28" s="338" t="s">
        <v>161</v>
      </c>
      <c r="L28" s="233"/>
    </row>
    <row r="29" spans="1:12" s="258" customFormat="1" ht="54" customHeight="1">
      <c r="A29" s="444">
        <v>13</v>
      </c>
      <c r="B29" s="340" t="s">
        <v>411</v>
      </c>
      <c r="C29" s="182" t="s">
        <v>340</v>
      </c>
      <c r="D29" s="343">
        <f t="shared" si="1"/>
        <v>100</v>
      </c>
      <c r="E29" s="656">
        <f>150-50</f>
        <v>100</v>
      </c>
      <c r="F29" s="373"/>
      <c r="G29" s="373"/>
      <c r="H29" s="373"/>
      <c r="I29" s="373"/>
      <c r="J29" s="373"/>
      <c r="K29" s="338" t="s">
        <v>161</v>
      </c>
      <c r="L29" s="233"/>
    </row>
    <row r="30" spans="1:12" s="258" customFormat="1" ht="54" customHeight="1">
      <c r="A30" s="801">
        <v>14</v>
      </c>
      <c r="B30" s="801" t="s">
        <v>322</v>
      </c>
      <c r="C30" s="499" t="s">
        <v>156</v>
      </c>
      <c r="D30" s="497">
        <f t="shared" si="1"/>
        <v>5359.611</v>
      </c>
      <c r="E30" s="656">
        <v>1785</v>
      </c>
      <c r="F30" s="498">
        <v>1785</v>
      </c>
      <c r="G30" s="498"/>
      <c r="H30" s="498"/>
      <c r="I30" s="498"/>
      <c r="J30" s="498">
        <v>1789.611</v>
      </c>
      <c r="K30" s="801" t="s">
        <v>161</v>
      </c>
      <c r="L30" s="233"/>
    </row>
    <row r="31" spans="1:12" s="258" customFormat="1" ht="57" customHeight="1">
      <c r="A31" s="802"/>
      <c r="B31" s="802"/>
      <c r="C31" s="182" t="s">
        <v>340</v>
      </c>
      <c r="D31" s="343">
        <f t="shared" si="1"/>
        <v>972.5619999999999</v>
      </c>
      <c r="E31" s="656">
        <f>274.4+49.5</f>
        <v>323.9</v>
      </c>
      <c r="F31" s="373">
        <v>323.9</v>
      </c>
      <c r="G31" s="373"/>
      <c r="H31" s="373"/>
      <c r="I31" s="373"/>
      <c r="J31" s="373">
        <v>324.762</v>
      </c>
      <c r="K31" s="802"/>
      <c r="L31" s="233"/>
    </row>
    <row r="32" spans="1:12" s="258" customFormat="1" ht="57" customHeight="1">
      <c r="A32" s="523">
        <v>15</v>
      </c>
      <c r="B32" s="525" t="s">
        <v>435</v>
      </c>
      <c r="C32" s="526" t="s">
        <v>340</v>
      </c>
      <c r="D32" s="527">
        <f t="shared" si="1"/>
        <v>0</v>
      </c>
      <c r="E32" s="656">
        <f>20-20</f>
        <v>0</v>
      </c>
      <c r="F32" s="528"/>
      <c r="G32" s="528"/>
      <c r="H32" s="528"/>
      <c r="I32" s="528"/>
      <c r="J32" s="528"/>
      <c r="K32" s="523" t="s">
        <v>161</v>
      </c>
      <c r="L32" s="233"/>
    </row>
    <row r="33" spans="1:12" s="258" customFormat="1" ht="57" customHeight="1">
      <c r="A33" s="523">
        <v>16</v>
      </c>
      <c r="B33" s="525" t="s">
        <v>436</v>
      </c>
      <c r="C33" s="526" t="s">
        <v>340</v>
      </c>
      <c r="D33" s="527">
        <f t="shared" si="1"/>
        <v>0</v>
      </c>
      <c r="E33" s="656">
        <f>2-2</f>
        <v>0</v>
      </c>
      <c r="F33" s="528"/>
      <c r="G33" s="528"/>
      <c r="H33" s="528"/>
      <c r="I33" s="528"/>
      <c r="J33" s="528"/>
      <c r="K33" s="523" t="s">
        <v>161</v>
      </c>
      <c r="L33" s="233"/>
    </row>
    <row r="34" spans="1:12" s="258" customFormat="1" ht="57" customHeight="1">
      <c r="A34" s="523">
        <v>17</v>
      </c>
      <c r="B34" s="525" t="s">
        <v>257</v>
      </c>
      <c r="C34" s="526" t="s">
        <v>340</v>
      </c>
      <c r="D34" s="527">
        <f t="shared" si="1"/>
        <v>514</v>
      </c>
      <c r="E34" s="656">
        <f>1542-1028</f>
        <v>514</v>
      </c>
      <c r="F34" s="528"/>
      <c r="G34" s="528"/>
      <c r="H34" s="528"/>
      <c r="I34" s="528"/>
      <c r="J34" s="528"/>
      <c r="K34" s="523" t="s">
        <v>161</v>
      </c>
      <c r="L34" s="233"/>
    </row>
    <row r="35" spans="1:12" s="258" customFormat="1" ht="47.25" customHeight="1">
      <c r="A35" s="544">
        <v>18</v>
      </c>
      <c r="B35" s="545" t="s">
        <v>576</v>
      </c>
      <c r="C35" s="550" t="s">
        <v>340</v>
      </c>
      <c r="D35" s="549">
        <f>E35+F35+J35</f>
        <v>300</v>
      </c>
      <c r="E35" s="656">
        <f>500-200</f>
        <v>300</v>
      </c>
      <c r="F35" s="548"/>
      <c r="G35" s="548"/>
      <c r="H35" s="548"/>
      <c r="I35" s="548"/>
      <c r="J35" s="548"/>
      <c r="K35" s="544" t="s">
        <v>161</v>
      </c>
      <c r="L35" s="233"/>
    </row>
    <row r="36" spans="1:12" s="258" customFormat="1" ht="47.25" customHeight="1">
      <c r="A36" s="567">
        <v>19</v>
      </c>
      <c r="B36" s="568" t="s">
        <v>501</v>
      </c>
      <c r="C36" s="570" t="s">
        <v>340</v>
      </c>
      <c r="D36" s="571">
        <f>E36+F36+J36</f>
        <v>143.9</v>
      </c>
      <c r="E36" s="656">
        <v>45</v>
      </c>
      <c r="F36" s="569">
        <v>48</v>
      </c>
      <c r="G36" s="569"/>
      <c r="H36" s="569"/>
      <c r="I36" s="569"/>
      <c r="J36" s="569">
        <v>50.9</v>
      </c>
      <c r="K36" s="567" t="s">
        <v>161</v>
      </c>
      <c r="L36" s="233"/>
    </row>
    <row r="37" spans="1:12" s="368" customFormat="1" ht="48.75" customHeight="1">
      <c r="A37" s="445"/>
      <c r="B37" s="366"/>
      <c r="C37" s="339"/>
      <c r="D37" s="343">
        <f>E37+F37+J37</f>
        <v>2331.63</v>
      </c>
      <c r="E37" s="657">
        <f aca="true" t="shared" si="2" ref="E37:J37">E38+E39+E40+E41</f>
        <v>401.14000000000004</v>
      </c>
      <c r="F37" s="450">
        <f t="shared" si="2"/>
        <v>944.1</v>
      </c>
      <c r="G37" s="450">
        <f t="shared" si="2"/>
        <v>244.7</v>
      </c>
      <c r="H37" s="450">
        <f t="shared" si="2"/>
        <v>244.7</v>
      </c>
      <c r="I37" s="450">
        <f t="shared" si="2"/>
        <v>244.7</v>
      </c>
      <c r="J37" s="450">
        <f t="shared" si="2"/>
        <v>986.39</v>
      </c>
      <c r="K37" s="337"/>
      <c r="L37" s="367"/>
    </row>
    <row r="38" spans="1:12" ht="59.25" customHeight="1">
      <c r="A38" s="181">
        <v>19</v>
      </c>
      <c r="B38" s="340" t="s">
        <v>214</v>
      </c>
      <c r="C38" s="182" t="s">
        <v>340</v>
      </c>
      <c r="D38" s="186">
        <f aca="true" t="shared" si="3" ref="D38:D72">E38+F38+J38</f>
        <v>405</v>
      </c>
      <c r="E38" s="110">
        <f>177.5-127.5</f>
        <v>50</v>
      </c>
      <c r="F38" s="110">
        <v>177.5</v>
      </c>
      <c r="G38" s="110">
        <v>177.5</v>
      </c>
      <c r="H38" s="110">
        <v>177.5</v>
      </c>
      <c r="I38" s="110">
        <v>177.5</v>
      </c>
      <c r="J38" s="110">
        <v>177.5</v>
      </c>
      <c r="K38" s="801" t="s">
        <v>453</v>
      </c>
      <c r="L38" s="15"/>
    </row>
    <row r="39" spans="1:12" ht="84" customHeight="1">
      <c r="A39" s="451">
        <v>20</v>
      </c>
      <c r="B39" s="340" t="s">
        <v>412</v>
      </c>
      <c r="C39" s="182" t="s">
        <v>340</v>
      </c>
      <c r="D39" s="186">
        <f t="shared" si="3"/>
        <v>408.47999999999996</v>
      </c>
      <c r="E39" s="110">
        <v>127.74</v>
      </c>
      <c r="F39" s="110">
        <v>136.23</v>
      </c>
      <c r="G39" s="110"/>
      <c r="H39" s="110"/>
      <c r="I39" s="110"/>
      <c r="J39" s="110">
        <v>144.51</v>
      </c>
      <c r="K39" s="815"/>
      <c r="L39" s="15"/>
    </row>
    <row r="40" spans="1:12" ht="125.25" customHeight="1">
      <c r="A40" s="448">
        <v>21</v>
      </c>
      <c r="B40" s="340" t="s">
        <v>413</v>
      </c>
      <c r="C40" s="182" t="s">
        <v>340</v>
      </c>
      <c r="D40" s="186">
        <f t="shared" si="3"/>
        <v>1316.55</v>
      </c>
      <c r="E40" s="110">
        <f>527.34-371.14</f>
        <v>156.20000000000005</v>
      </c>
      <c r="F40" s="110">
        <v>563.17</v>
      </c>
      <c r="G40" s="110"/>
      <c r="H40" s="110"/>
      <c r="I40" s="110"/>
      <c r="J40" s="110">
        <v>597.18</v>
      </c>
      <c r="K40" s="815"/>
      <c r="L40" s="15"/>
    </row>
    <row r="41" spans="1:12" ht="65.25" customHeight="1">
      <c r="A41" s="448">
        <v>22</v>
      </c>
      <c r="B41" s="340" t="s">
        <v>414</v>
      </c>
      <c r="C41" s="182" t="s">
        <v>340</v>
      </c>
      <c r="D41" s="186">
        <f t="shared" si="3"/>
        <v>201.60000000000002</v>
      </c>
      <c r="E41" s="110">
        <v>67.2</v>
      </c>
      <c r="F41" s="110">
        <v>67.2</v>
      </c>
      <c r="G41" s="110">
        <v>67.2</v>
      </c>
      <c r="H41" s="110">
        <v>67.2</v>
      </c>
      <c r="I41" s="110">
        <v>67.2</v>
      </c>
      <c r="J41" s="110">
        <v>67.2</v>
      </c>
      <c r="K41" s="815"/>
      <c r="L41" s="15"/>
    </row>
    <row r="42" spans="1:12" ht="18.75">
      <c r="A42" s="78"/>
      <c r="B42" s="351"/>
      <c r="C42" s="268"/>
      <c r="D42" s="186"/>
      <c r="E42" s="110"/>
      <c r="F42" s="110"/>
      <c r="G42" s="110"/>
      <c r="H42" s="110"/>
      <c r="I42" s="110"/>
      <c r="J42" s="271"/>
      <c r="K42" s="272"/>
      <c r="L42" s="15"/>
    </row>
    <row r="43" spans="1:12" s="350" customFormat="1" ht="27.75" customHeight="1" hidden="1">
      <c r="A43" s="358"/>
      <c r="B43" s="359"/>
      <c r="C43" s="354"/>
      <c r="D43" s="357"/>
      <c r="E43" s="346"/>
      <c r="F43" s="346"/>
      <c r="G43" s="346"/>
      <c r="H43" s="346"/>
      <c r="I43" s="346"/>
      <c r="J43" s="346"/>
      <c r="K43" s="354"/>
      <c r="L43" s="349"/>
    </row>
    <row r="44" spans="1:12" ht="34.5" customHeight="1" hidden="1">
      <c r="A44" s="794">
        <v>10</v>
      </c>
      <c r="B44" s="810" t="s">
        <v>123</v>
      </c>
      <c r="C44" s="182" t="s">
        <v>14</v>
      </c>
      <c r="D44" s="186">
        <f t="shared" si="3"/>
        <v>123</v>
      </c>
      <c r="E44" s="111">
        <v>65</v>
      </c>
      <c r="F44" s="111">
        <v>58</v>
      </c>
      <c r="G44" s="111"/>
      <c r="H44" s="111"/>
      <c r="I44" s="111"/>
      <c r="J44" s="111"/>
      <c r="K44" s="801" t="s">
        <v>29</v>
      </c>
      <c r="L44" s="15"/>
    </row>
    <row r="45" spans="1:12" ht="18.75" hidden="1">
      <c r="A45" s="796"/>
      <c r="B45" s="811"/>
      <c r="C45" s="182" t="s">
        <v>296</v>
      </c>
      <c r="D45" s="186">
        <f t="shared" si="3"/>
        <v>75</v>
      </c>
      <c r="E45" s="111"/>
      <c r="F45" s="111"/>
      <c r="G45" s="111"/>
      <c r="H45" s="111"/>
      <c r="I45" s="111"/>
      <c r="J45" s="111">
        <v>75</v>
      </c>
      <c r="K45" s="802"/>
      <c r="L45" s="15"/>
    </row>
    <row r="46" spans="1:12" ht="36.75" customHeight="1" hidden="1">
      <c r="A46" s="794">
        <v>11</v>
      </c>
      <c r="B46" s="810" t="s">
        <v>224</v>
      </c>
      <c r="C46" s="182" t="s">
        <v>14</v>
      </c>
      <c r="D46" s="186">
        <f t="shared" si="3"/>
        <v>274</v>
      </c>
      <c r="E46" s="111">
        <f>42+80+87</f>
        <v>209</v>
      </c>
      <c r="F46" s="111">
        <f>63+2</f>
        <v>65</v>
      </c>
      <c r="G46" s="111"/>
      <c r="H46" s="111"/>
      <c r="I46" s="111"/>
      <c r="J46" s="111"/>
      <c r="K46" s="801" t="s">
        <v>29</v>
      </c>
      <c r="L46" s="15"/>
    </row>
    <row r="47" spans="1:12" ht="29.25" customHeight="1" hidden="1">
      <c r="A47" s="796"/>
      <c r="B47" s="811"/>
      <c r="C47" s="229" t="s">
        <v>296</v>
      </c>
      <c r="D47" s="186">
        <f t="shared" si="3"/>
        <v>75</v>
      </c>
      <c r="E47" s="111"/>
      <c r="F47" s="111"/>
      <c r="G47" s="111"/>
      <c r="H47" s="111"/>
      <c r="I47" s="111"/>
      <c r="J47" s="111">
        <v>75</v>
      </c>
      <c r="K47" s="802"/>
      <c r="L47" s="15"/>
    </row>
    <row r="48" spans="1:12" ht="37.5" hidden="1">
      <c r="A48" s="77">
        <v>12</v>
      </c>
      <c r="B48" s="143" t="s">
        <v>164</v>
      </c>
      <c r="C48" s="229" t="s">
        <v>14</v>
      </c>
      <c r="D48" s="186">
        <f t="shared" si="3"/>
        <v>150</v>
      </c>
      <c r="E48" s="60">
        <v>150</v>
      </c>
      <c r="F48" s="111">
        <v>0</v>
      </c>
      <c r="G48" s="111">
        <v>0</v>
      </c>
      <c r="H48" s="111">
        <v>0</v>
      </c>
      <c r="I48" s="111">
        <v>0</v>
      </c>
      <c r="J48" s="111">
        <v>0</v>
      </c>
      <c r="K48" s="326" t="s">
        <v>29</v>
      </c>
      <c r="L48" s="15"/>
    </row>
    <row r="49" spans="1:12" ht="37.5" hidden="1">
      <c r="A49" s="77">
        <v>13</v>
      </c>
      <c r="B49" s="143" t="s">
        <v>165</v>
      </c>
      <c r="C49" s="229" t="s">
        <v>14</v>
      </c>
      <c r="D49" s="186">
        <f t="shared" si="3"/>
        <v>1</v>
      </c>
      <c r="E49" s="60">
        <v>1</v>
      </c>
      <c r="F49" s="111">
        <v>0</v>
      </c>
      <c r="G49" s="111"/>
      <c r="H49" s="111"/>
      <c r="I49" s="111"/>
      <c r="J49" s="111">
        <v>0</v>
      </c>
      <c r="K49" s="326" t="s">
        <v>29</v>
      </c>
      <c r="L49" s="15"/>
    </row>
    <row r="50" spans="1:12" s="350" customFormat="1" ht="56.25" customHeight="1" hidden="1">
      <c r="A50" s="355"/>
      <c r="B50" s="356"/>
      <c r="C50" s="347"/>
      <c r="D50" s="357"/>
      <c r="E50" s="346"/>
      <c r="F50" s="346"/>
      <c r="G50" s="346"/>
      <c r="H50" s="346"/>
      <c r="I50" s="346"/>
      <c r="J50" s="346"/>
      <c r="K50" s="353"/>
      <c r="L50" s="349"/>
    </row>
    <row r="51" spans="1:12" ht="75" hidden="1">
      <c r="A51" s="77">
        <v>15</v>
      </c>
      <c r="B51" s="143" t="s">
        <v>219</v>
      </c>
      <c r="C51" s="229" t="s">
        <v>14</v>
      </c>
      <c r="D51" s="186">
        <f t="shared" si="3"/>
        <v>250</v>
      </c>
      <c r="E51" s="60">
        <v>0</v>
      </c>
      <c r="F51" s="111">
        <v>250</v>
      </c>
      <c r="G51" s="111"/>
      <c r="H51" s="111"/>
      <c r="I51" s="111"/>
      <c r="J51" s="111">
        <v>0</v>
      </c>
      <c r="K51" s="326" t="s">
        <v>29</v>
      </c>
      <c r="L51" s="15"/>
    </row>
    <row r="52" spans="1:12" ht="37.5" hidden="1">
      <c r="A52" s="77">
        <v>16</v>
      </c>
      <c r="B52" s="143" t="s">
        <v>223</v>
      </c>
      <c r="C52" s="229" t="s">
        <v>14</v>
      </c>
      <c r="D52" s="186">
        <f t="shared" si="3"/>
        <v>200</v>
      </c>
      <c r="E52" s="60">
        <v>0</v>
      </c>
      <c r="F52" s="111">
        <v>200</v>
      </c>
      <c r="G52" s="111"/>
      <c r="H52" s="111"/>
      <c r="I52" s="111"/>
      <c r="J52" s="111">
        <v>0</v>
      </c>
      <c r="K52" s="326" t="s">
        <v>29</v>
      </c>
      <c r="L52" s="15"/>
    </row>
    <row r="53" spans="1:12" ht="86.25" customHeight="1" hidden="1">
      <c r="A53" s="77">
        <v>17</v>
      </c>
      <c r="B53" s="143" t="s">
        <v>225</v>
      </c>
      <c r="C53" s="229" t="s">
        <v>14</v>
      </c>
      <c r="D53" s="186">
        <f t="shared" si="3"/>
        <v>79.7</v>
      </c>
      <c r="E53" s="60">
        <v>0</v>
      </c>
      <c r="F53" s="111">
        <f>0+20+30+16.2+13.5</f>
        <v>79.7</v>
      </c>
      <c r="G53" s="111"/>
      <c r="H53" s="111"/>
      <c r="I53" s="111"/>
      <c r="J53" s="111">
        <v>0</v>
      </c>
      <c r="K53" s="326" t="s">
        <v>29</v>
      </c>
      <c r="L53" s="15"/>
    </row>
    <row r="54" spans="1:12" ht="32.25" customHeight="1" hidden="1">
      <c r="A54" s="794">
        <v>18</v>
      </c>
      <c r="B54" s="810" t="s">
        <v>263</v>
      </c>
      <c r="C54" s="229" t="s">
        <v>14</v>
      </c>
      <c r="D54" s="186">
        <f t="shared" si="3"/>
        <v>15</v>
      </c>
      <c r="E54" s="60">
        <v>0</v>
      </c>
      <c r="F54" s="111">
        <f>0+12+3</f>
        <v>15</v>
      </c>
      <c r="G54" s="111"/>
      <c r="H54" s="111"/>
      <c r="I54" s="111"/>
      <c r="J54" s="111"/>
      <c r="K54" s="801" t="s">
        <v>29</v>
      </c>
      <c r="L54" s="15"/>
    </row>
    <row r="55" spans="1:12" ht="21" customHeight="1" hidden="1">
      <c r="A55" s="796"/>
      <c r="B55" s="811"/>
      <c r="C55" s="229" t="s">
        <v>296</v>
      </c>
      <c r="D55" s="186">
        <f t="shared" si="3"/>
        <v>30</v>
      </c>
      <c r="E55" s="60"/>
      <c r="F55" s="111"/>
      <c r="G55" s="111"/>
      <c r="H55" s="111"/>
      <c r="I55" s="111"/>
      <c r="J55" s="111">
        <v>30</v>
      </c>
      <c r="K55" s="802"/>
      <c r="L55" s="15"/>
    </row>
    <row r="56" spans="1:12" ht="42" customHeight="1" hidden="1">
      <c r="A56" s="77">
        <v>19</v>
      </c>
      <c r="B56" s="352" t="s">
        <v>294</v>
      </c>
      <c r="C56" s="182" t="s">
        <v>14</v>
      </c>
      <c r="D56" s="186">
        <f t="shared" si="3"/>
        <v>200</v>
      </c>
      <c r="E56" s="60"/>
      <c r="F56" s="111">
        <f>0+200</f>
        <v>200</v>
      </c>
      <c r="G56" s="111"/>
      <c r="H56" s="111"/>
      <c r="I56" s="111"/>
      <c r="J56" s="111"/>
      <c r="K56" s="326" t="s">
        <v>29</v>
      </c>
      <c r="L56" s="15"/>
    </row>
    <row r="57" spans="1:12" ht="42" customHeight="1" hidden="1">
      <c r="A57" s="77">
        <v>20</v>
      </c>
      <c r="B57" s="151" t="s">
        <v>267</v>
      </c>
      <c r="C57" s="182" t="s">
        <v>14</v>
      </c>
      <c r="D57" s="186">
        <f t="shared" si="3"/>
        <v>80</v>
      </c>
      <c r="E57" s="60"/>
      <c r="F57" s="111">
        <f>0+80</f>
        <v>80</v>
      </c>
      <c r="G57" s="111"/>
      <c r="H57" s="111"/>
      <c r="I57" s="111"/>
      <c r="J57" s="111"/>
      <c r="K57" s="326" t="s">
        <v>29</v>
      </c>
      <c r="L57" s="15"/>
    </row>
    <row r="58" spans="1:12" ht="42" customHeight="1" hidden="1">
      <c r="A58" s="77">
        <v>21</v>
      </c>
      <c r="B58" s="151" t="s">
        <v>270</v>
      </c>
      <c r="C58" s="182" t="s">
        <v>14</v>
      </c>
      <c r="D58" s="186">
        <f t="shared" si="3"/>
        <v>84</v>
      </c>
      <c r="E58" s="60"/>
      <c r="F58" s="111">
        <v>84</v>
      </c>
      <c r="G58" s="111"/>
      <c r="H58" s="111"/>
      <c r="I58" s="111"/>
      <c r="J58" s="111"/>
      <c r="K58" s="326" t="s">
        <v>29</v>
      </c>
      <c r="L58" s="15"/>
    </row>
    <row r="59" spans="1:12" ht="69" customHeight="1" hidden="1">
      <c r="A59" s="77">
        <v>22</v>
      </c>
      <c r="B59" s="151" t="s">
        <v>271</v>
      </c>
      <c r="C59" s="182" t="s">
        <v>14</v>
      </c>
      <c r="D59" s="186">
        <f t="shared" si="3"/>
        <v>11.1</v>
      </c>
      <c r="E59" s="60"/>
      <c r="F59" s="111">
        <v>11.1</v>
      </c>
      <c r="G59" s="111"/>
      <c r="H59" s="111"/>
      <c r="I59" s="111"/>
      <c r="J59" s="111"/>
      <c r="K59" s="326" t="s">
        <v>29</v>
      </c>
      <c r="L59" s="15"/>
    </row>
    <row r="60" spans="1:12" ht="34.5" customHeight="1" hidden="1">
      <c r="A60" s="77">
        <v>23</v>
      </c>
      <c r="B60" s="151" t="s">
        <v>293</v>
      </c>
      <c r="C60" s="182" t="s">
        <v>14</v>
      </c>
      <c r="D60" s="186">
        <f t="shared" si="3"/>
        <v>96</v>
      </c>
      <c r="E60" s="60"/>
      <c r="F60" s="111">
        <v>96</v>
      </c>
      <c r="G60" s="111"/>
      <c r="H60" s="111"/>
      <c r="I60" s="111"/>
      <c r="J60" s="111"/>
      <c r="K60" s="326" t="s">
        <v>29</v>
      </c>
      <c r="L60" s="15"/>
    </row>
    <row r="61" spans="1:12" ht="54.75" customHeight="1" hidden="1">
      <c r="A61" s="77">
        <v>24</v>
      </c>
      <c r="B61" s="151" t="s">
        <v>272</v>
      </c>
      <c r="C61" s="182" t="s">
        <v>296</v>
      </c>
      <c r="D61" s="186">
        <f t="shared" si="3"/>
        <v>150</v>
      </c>
      <c r="E61" s="60"/>
      <c r="F61" s="111"/>
      <c r="G61" s="111"/>
      <c r="H61" s="111"/>
      <c r="I61" s="111"/>
      <c r="J61" s="111">
        <v>150</v>
      </c>
      <c r="K61" s="326" t="s">
        <v>29</v>
      </c>
      <c r="L61" s="15"/>
    </row>
    <row r="62" spans="1:12" ht="49.5" customHeight="1" hidden="1">
      <c r="A62" s="77">
        <v>25</v>
      </c>
      <c r="B62" s="151" t="s">
        <v>273</v>
      </c>
      <c r="C62" s="182" t="s">
        <v>296</v>
      </c>
      <c r="D62" s="186">
        <f t="shared" si="3"/>
        <v>50</v>
      </c>
      <c r="E62" s="60"/>
      <c r="F62" s="111"/>
      <c r="G62" s="111"/>
      <c r="H62" s="111"/>
      <c r="I62" s="111"/>
      <c r="J62" s="111">
        <v>50</v>
      </c>
      <c r="K62" s="326" t="s">
        <v>29</v>
      </c>
      <c r="L62" s="15"/>
    </row>
    <row r="63" spans="1:12" ht="39.75" customHeight="1" hidden="1">
      <c r="A63" s="77">
        <v>26</v>
      </c>
      <c r="B63" s="151" t="s">
        <v>274</v>
      </c>
      <c r="C63" s="182" t="s">
        <v>296</v>
      </c>
      <c r="D63" s="186">
        <f t="shared" si="3"/>
        <v>85</v>
      </c>
      <c r="E63" s="60"/>
      <c r="F63" s="111"/>
      <c r="G63" s="111"/>
      <c r="H63" s="111"/>
      <c r="I63" s="111"/>
      <c r="J63" s="111">
        <v>85</v>
      </c>
      <c r="K63" s="326" t="s">
        <v>29</v>
      </c>
      <c r="L63" s="15"/>
    </row>
    <row r="64" spans="1:12" ht="38.25" customHeight="1" hidden="1">
      <c r="A64" s="77">
        <v>27</v>
      </c>
      <c r="B64" s="151" t="s">
        <v>275</v>
      </c>
      <c r="C64" s="182" t="s">
        <v>296</v>
      </c>
      <c r="D64" s="186">
        <f t="shared" si="3"/>
        <v>300</v>
      </c>
      <c r="E64" s="60"/>
      <c r="F64" s="111"/>
      <c r="G64" s="111"/>
      <c r="H64" s="111"/>
      <c r="I64" s="111"/>
      <c r="J64" s="111">
        <v>300</v>
      </c>
      <c r="K64" s="326" t="s">
        <v>29</v>
      </c>
      <c r="L64" s="15"/>
    </row>
    <row r="65" spans="1:12" ht="96" customHeight="1" hidden="1">
      <c r="A65" s="77">
        <v>28</v>
      </c>
      <c r="B65" s="151" t="s">
        <v>295</v>
      </c>
      <c r="C65" s="182" t="s">
        <v>296</v>
      </c>
      <c r="D65" s="186">
        <f t="shared" si="3"/>
        <v>60</v>
      </c>
      <c r="E65" s="60"/>
      <c r="F65" s="111"/>
      <c r="G65" s="111"/>
      <c r="H65" s="111"/>
      <c r="I65" s="111"/>
      <c r="J65" s="111">
        <v>60</v>
      </c>
      <c r="K65" s="326" t="s">
        <v>29</v>
      </c>
      <c r="L65" s="15"/>
    </row>
    <row r="66" spans="1:12" ht="39" customHeight="1" hidden="1">
      <c r="A66" s="77">
        <v>29</v>
      </c>
      <c r="B66" s="151" t="s">
        <v>305</v>
      </c>
      <c r="C66" s="182" t="s">
        <v>296</v>
      </c>
      <c r="D66" s="186">
        <f t="shared" si="3"/>
        <v>190</v>
      </c>
      <c r="E66" s="60"/>
      <c r="F66" s="111"/>
      <c r="G66" s="111"/>
      <c r="H66" s="111"/>
      <c r="I66" s="111"/>
      <c r="J66" s="111">
        <v>190</v>
      </c>
      <c r="K66" s="326" t="s">
        <v>29</v>
      </c>
      <c r="L66" s="15"/>
    </row>
    <row r="67" spans="1:12" ht="109.5" customHeight="1" hidden="1">
      <c r="A67" s="77">
        <v>30</v>
      </c>
      <c r="B67" s="151" t="s">
        <v>321</v>
      </c>
      <c r="C67" s="182" t="s">
        <v>296</v>
      </c>
      <c r="D67" s="186">
        <f t="shared" si="3"/>
        <v>4.3</v>
      </c>
      <c r="E67" s="60"/>
      <c r="F67" s="111"/>
      <c r="G67" s="111"/>
      <c r="H67" s="111"/>
      <c r="I67" s="111"/>
      <c r="J67" s="111">
        <v>4.3</v>
      </c>
      <c r="K67" s="326" t="s">
        <v>29</v>
      </c>
      <c r="L67" s="15"/>
    </row>
    <row r="68" spans="1:12" ht="54.75" customHeight="1" hidden="1">
      <c r="A68" s="77">
        <v>31</v>
      </c>
      <c r="B68" s="138" t="s">
        <v>322</v>
      </c>
      <c r="C68" s="182" t="s">
        <v>296</v>
      </c>
      <c r="D68" s="186">
        <f t="shared" si="3"/>
        <v>79</v>
      </c>
      <c r="E68" s="60"/>
      <c r="F68" s="111"/>
      <c r="G68" s="111"/>
      <c r="H68" s="111"/>
      <c r="I68" s="111"/>
      <c r="J68" s="111">
        <v>79</v>
      </c>
      <c r="K68" s="326" t="s">
        <v>29</v>
      </c>
      <c r="L68" s="15"/>
    </row>
    <row r="69" spans="1:12" ht="83.25" customHeight="1" hidden="1">
      <c r="A69" s="77">
        <v>32</v>
      </c>
      <c r="B69" s="138" t="s">
        <v>323</v>
      </c>
      <c r="C69" s="182" t="s">
        <v>296</v>
      </c>
      <c r="D69" s="186">
        <f t="shared" si="3"/>
        <v>190</v>
      </c>
      <c r="E69" s="60"/>
      <c r="F69" s="111"/>
      <c r="G69" s="111"/>
      <c r="H69" s="111"/>
      <c r="I69" s="111"/>
      <c r="J69" s="111">
        <v>190</v>
      </c>
      <c r="K69" s="326" t="s">
        <v>29</v>
      </c>
      <c r="L69" s="15"/>
    </row>
    <row r="70" spans="1:12" ht="39" customHeight="1" hidden="1">
      <c r="A70" s="77">
        <v>33</v>
      </c>
      <c r="B70" s="138" t="s">
        <v>324</v>
      </c>
      <c r="C70" s="182" t="s">
        <v>296</v>
      </c>
      <c r="D70" s="186">
        <f t="shared" si="3"/>
        <v>40</v>
      </c>
      <c r="E70" s="60"/>
      <c r="F70" s="111"/>
      <c r="G70" s="111"/>
      <c r="H70" s="111"/>
      <c r="I70" s="111"/>
      <c r="J70" s="111">
        <v>40</v>
      </c>
      <c r="K70" s="326" t="s">
        <v>29</v>
      </c>
      <c r="L70" s="15"/>
    </row>
    <row r="71" spans="1:12" ht="60.75" customHeight="1" hidden="1">
      <c r="A71" s="77">
        <v>34</v>
      </c>
      <c r="B71" s="138" t="s">
        <v>335</v>
      </c>
      <c r="C71" s="182" t="s">
        <v>296</v>
      </c>
      <c r="D71" s="186">
        <f t="shared" si="3"/>
        <v>39</v>
      </c>
      <c r="E71" s="60"/>
      <c r="F71" s="111"/>
      <c r="G71" s="111"/>
      <c r="H71" s="111"/>
      <c r="I71" s="111"/>
      <c r="J71" s="111">
        <v>39</v>
      </c>
      <c r="K71" s="326" t="s">
        <v>29</v>
      </c>
      <c r="L71" s="15"/>
    </row>
    <row r="72" spans="1:12" ht="46.5" customHeight="1" hidden="1">
      <c r="A72" s="77">
        <v>35</v>
      </c>
      <c r="B72" s="138" t="s">
        <v>336</v>
      </c>
      <c r="C72" s="182" t="s">
        <v>296</v>
      </c>
      <c r="D72" s="186">
        <f t="shared" si="3"/>
        <v>450</v>
      </c>
      <c r="E72" s="60"/>
      <c r="F72" s="111"/>
      <c r="G72" s="111"/>
      <c r="H72" s="111"/>
      <c r="I72" s="111"/>
      <c r="J72" s="111">
        <v>450</v>
      </c>
      <c r="K72" s="326" t="s">
        <v>29</v>
      </c>
      <c r="L72" s="15"/>
    </row>
    <row r="73" spans="1:12" ht="21.75" customHeight="1">
      <c r="A73" s="70"/>
      <c r="B73" s="56" t="s">
        <v>4</v>
      </c>
      <c r="C73" s="66"/>
      <c r="D73" s="58">
        <f>E73+F73+J73</f>
        <v>12834.303</v>
      </c>
      <c r="E73" s="58">
        <f aca="true" t="shared" si="4" ref="E73:J73">E37+E14</f>
        <v>4639.04</v>
      </c>
      <c r="F73" s="58">
        <f t="shared" si="4"/>
        <v>4077.6</v>
      </c>
      <c r="G73" s="58">
        <f t="shared" si="4"/>
        <v>244.7</v>
      </c>
      <c r="H73" s="58">
        <f t="shared" si="4"/>
        <v>244.7</v>
      </c>
      <c r="I73" s="58">
        <f t="shared" si="4"/>
        <v>244.7</v>
      </c>
      <c r="J73" s="58">
        <f t="shared" si="4"/>
        <v>4117.6630000000005</v>
      </c>
      <c r="K73" s="67"/>
      <c r="L73" s="15"/>
    </row>
    <row r="74" spans="1:12" ht="15.75">
      <c r="A74" s="39"/>
      <c r="B74" s="18"/>
      <c r="C74" s="18"/>
      <c r="D74" s="81"/>
      <c r="E74" s="81"/>
      <c r="F74" s="81"/>
      <c r="G74" s="81"/>
      <c r="H74" s="81"/>
      <c r="I74" s="81"/>
      <c r="J74" s="81"/>
      <c r="K74" s="20"/>
      <c r="L74" s="15"/>
    </row>
    <row r="75" spans="1:12" ht="15.75" hidden="1">
      <c r="A75" s="39"/>
      <c r="B75" s="18"/>
      <c r="C75" s="18"/>
      <c r="D75" s="81"/>
      <c r="E75" s="81"/>
      <c r="F75" s="81"/>
      <c r="G75" s="81"/>
      <c r="H75" s="81"/>
      <c r="I75" s="81"/>
      <c r="J75" s="81"/>
      <c r="K75" s="20"/>
      <c r="L75" s="15"/>
    </row>
    <row r="76" spans="1:13" s="82" customFormat="1" ht="18.75" customHeight="1">
      <c r="A76" s="14"/>
      <c r="B76" s="50"/>
      <c r="C76" s="51"/>
      <c r="D76" s="14"/>
      <c r="E76" s="19"/>
      <c r="F76" s="19"/>
      <c r="G76" s="19"/>
      <c r="H76" s="19"/>
      <c r="I76" s="19"/>
      <c r="J76" s="19"/>
      <c r="K76" s="51"/>
      <c r="L76" s="86"/>
      <c r="M76" s="85"/>
    </row>
    <row r="77" spans="2:12" s="82" customFormat="1" ht="33" customHeight="1">
      <c r="B77" s="269" t="s">
        <v>15</v>
      </c>
      <c r="C77" s="269"/>
      <c r="E77" s="269"/>
      <c r="F77" s="807" t="s">
        <v>674</v>
      </c>
      <c r="G77" s="807"/>
      <c r="H77" s="807"/>
      <c r="I77" s="807"/>
      <c r="J77" s="807"/>
      <c r="K77" s="85"/>
      <c r="L77" s="89"/>
    </row>
    <row r="78" spans="2:14" s="82" customFormat="1" ht="13.5" customHeight="1">
      <c r="B78" s="83"/>
      <c r="C78" s="83"/>
      <c r="E78" s="83"/>
      <c r="F78" s="84"/>
      <c r="G78" s="84"/>
      <c r="H78" s="84"/>
      <c r="I78" s="84"/>
      <c r="J78" s="84"/>
      <c r="K78" s="85"/>
      <c r="L78" s="89"/>
      <c r="N78" s="91"/>
    </row>
    <row r="79" spans="1:11" ht="18.75">
      <c r="A79" s="82"/>
      <c r="B79" s="694" t="s">
        <v>673</v>
      </c>
      <c r="C79" s="694"/>
      <c r="D79" s="82"/>
      <c r="E79" s="87"/>
      <c r="F79" s="88"/>
      <c r="G79" s="88"/>
      <c r="H79" s="88"/>
      <c r="I79" s="88"/>
      <c r="J79" s="88"/>
      <c r="K79" s="89"/>
    </row>
    <row r="80" spans="1:11" ht="15.75">
      <c r="A80" s="82"/>
      <c r="B80" s="122"/>
      <c r="C80" s="82"/>
      <c r="D80" s="90"/>
      <c r="E80" s="88"/>
      <c r="F80" s="88"/>
      <c r="G80" s="88"/>
      <c r="H80" s="88"/>
      <c r="I80" s="88"/>
      <c r="J80" s="88"/>
      <c r="K80" s="89"/>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B79:C79"/>
    <mergeCell ref="F77:J77"/>
    <mergeCell ref="K38:K41"/>
    <mergeCell ref="B11:B13"/>
    <mergeCell ref="C11:C13"/>
    <mergeCell ref="J7:O7"/>
    <mergeCell ref="E11:J11"/>
    <mergeCell ref="K11:K13"/>
    <mergeCell ref="F12:F13"/>
    <mergeCell ref="B9:K9"/>
    <mergeCell ref="D10:H10"/>
    <mergeCell ref="G12:G13"/>
    <mergeCell ref="H12:H13"/>
    <mergeCell ref="E12:E13"/>
    <mergeCell ref="D11:D13"/>
    <mergeCell ref="K46:K47"/>
    <mergeCell ref="B44:B45"/>
    <mergeCell ref="K44:K45"/>
    <mergeCell ref="A30:A31"/>
    <mergeCell ref="B30:B31"/>
    <mergeCell ref="K30:K31"/>
    <mergeCell ref="A11:A13"/>
    <mergeCell ref="J12:J13"/>
    <mergeCell ref="J8:K8"/>
    <mergeCell ref="I12:I13"/>
    <mergeCell ref="A54:A55"/>
    <mergeCell ref="B54:B55"/>
    <mergeCell ref="K54:K55"/>
    <mergeCell ref="A46:A47"/>
    <mergeCell ref="B46:B47"/>
    <mergeCell ref="A44:A45"/>
  </mergeCells>
  <printOptions horizontalCentered="1"/>
  <pageMargins left="0.3937007874015748" right="0.3937007874015748" top="1.1811023622047245" bottom="0.3937007874015748" header="0" footer="0"/>
  <pageSetup fitToHeight="2" fitToWidth="1" horizontalDpi="600" verticalDpi="600" orientation="landscape" paperSize="9" scale="53" r:id="rId1"/>
  <rowBreaks count="2" manualBreakCount="2">
    <brk id="23" max="10" man="1"/>
    <brk id="79" max="10" man="1"/>
  </rowBreaks>
</worksheet>
</file>

<file path=xl/worksheets/sheet17.xml><?xml version="1.0" encoding="utf-8"?>
<worksheet xmlns="http://schemas.openxmlformats.org/spreadsheetml/2006/main" xmlns:r="http://schemas.openxmlformats.org/officeDocument/2006/relationships">
  <sheetPr>
    <tabColor theme="0"/>
    <pageSetUpPr fitToPage="1"/>
  </sheetPr>
  <dimension ref="A1:O61"/>
  <sheetViews>
    <sheetView view="pageBreakPreview" zoomScale="83" zoomScaleSheetLayoutView="83" zoomScalePageLayoutView="75" workbookViewId="0" topLeftCell="A31">
      <selection activeCell="E21" sqref="E21"/>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603</v>
      </c>
      <c r="K1" s="344"/>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301</v>
      </c>
      <c r="K3" s="12"/>
      <c r="L3" s="15"/>
      <c r="M3" s="12"/>
      <c r="N3" s="12"/>
      <c r="O3" s="12"/>
    </row>
    <row r="4" spans="2:15" ht="15" customHeight="1">
      <c r="B4" s="1"/>
      <c r="C4" s="1"/>
      <c r="D4" s="1"/>
      <c r="E4" s="1"/>
      <c r="F4" s="1"/>
      <c r="G4" s="1"/>
      <c r="H4" s="1"/>
      <c r="I4" s="3" t="s">
        <v>17</v>
      </c>
      <c r="J4" s="17" t="s">
        <v>302</v>
      </c>
      <c r="K4" s="17"/>
      <c r="L4" s="15"/>
      <c r="M4" s="12"/>
      <c r="N4" s="12"/>
      <c r="O4" s="12"/>
    </row>
    <row r="5" spans="2:15" ht="17.25" customHeight="1">
      <c r="B5" s="1"/>
      <c r="C5" s="1"/>
      <c r="D5" s="1"/>
      <c r="E5" s="1"/>
      <c r="F5" s="1"/>
      <c r="G5" s="1"/>
      <c r="H5" s="1"/>
      <c r="I5" s="3" t="s">
        <v>18</v>
      </c>
      <c r="J5" s="17" t="s">
        <v>564</v>
      </c>
      <c r="K5" s="17"/>
      <c r="L5" s="15"/>
      <c r="M5" s="12"/>
      <c r="N5" s="12"/>
      <c r="O5" s="12"/>
    </row>
    <row r="6" spans="2:15" ht="15" customHeight="1">
      <c r="B6" s="1"/>
      <c r="C6" s="1"/>
      <c r="D6" s="1"/>
      <c r="E6" s="1"/>
      <c r="F6" s="1"/>
      <c r="G6" s="1"/>
      <c r="H6" s="1"/>
      <c r="I6" s="3"/>
      <c r="J6" s="17" t="s">
        <v>581</v>
      </c>
      <c r="K6" s="17"/>
      <c r="L6" s="245"/>
      <c r="M6" s="12"/>
      <c r="N6" s="12"/>
      <c r="O6" s="12"/>
    </row>
    <row r="7" spans="2:15" ht="15" customHeight="1">
      <c r="B7" s="1"/>
      <c r="C7" s="1"/>
      <c r="D7" s="1"/>
      <c r="E7" s="1"/>
      <c r="F7" s="1"/>
      <c r="G7" s="1"/>
      <c r="H7" s="1"/>
      <c r="I7" s="3"/>
      <c r="J7" s="745" t="s">
        <v>591</v>
      </c>
      <c r="K7" s="745"/>
      <c r="L7" s="745"/>
      <c r="M7" s="745"/>
      <c r="N7" s="745"/>
      <c r="O7" s="745"/>
    </row>
    <row r="8" spans="9:15" s="282" customFormat="1" ht="15" customHeight="1">
      <c r="I8" s="53" t="s">
        <v>19</v>
      </c>
      <c r="J8" s="745" t="s">
        <v>689</v>
      </c>
      <c r="K8" s="745"/>
      <c r="L8" s="745"/>
      <c r="M8" s="745"/>
      <c r="N8" s="745"/>
      <c r="O8" s="745"/>
    </row>
    <row r="9" spans="9:11" s="282" customFormat="1" ht="15" customHeight="1">
      <c r="I9" s="53"/>
      <c r="J9" s="3"/>
      <c r="K9" s="3"/>
    </row>
    <row r="10" spans="2:11" ht="15" customHeight="1">
      <c r="B10" s="1"/>
      <c r="C10" s="1"/>
      <c r="D10" s="1"/>
      <c r="E10" s="1"/>
      <c r="F10" s="1"/>
      <c r="G10" s="1"/>
      <c r="H10" s="1"/>
      <c r="I10" s="1"/>
      <c r="J10" s="1"/>
      <c r="K10" s="1"/>
    </row>
    <row r="11" spans="2:11" ht="6" customHeight="1">
      <c r="B11" s="1"/>
      <c r="C11" s="1"/>
      <c r="D11" s="1"/>
      <c r="E11" s="1"/>
      <c r="F11" s="1"/>
      <c r="G11" s="1"/>
      <c r="H11" s="1"/>
      <c r="I11" s="1"/>
      <c r="J11" s="282"/>
      <c r="K11" s="1"/>
    </row>
    <row r="12" spans="2:11" ht="34.5" customHeight="1">
      <c r="B12" s="818" t="s">
        <v>619</v>
      </c>
      <c r="C12" s="818"/>
      <c r="D12" s="818"/>
      <c r="E12" s="818"/>
      <c r="F12" s="818"/>
      <c r="G12" s="818"/>
      <c r="H12" s="818"/>
      <c r="I12" s="818"/>
      <c r="J12" s="818"/>
      <c r="K12" s="818"/>
    </row>
    <row r="13" spans="2:11" ht="15.75">
      <c r="B13" s="1"/>
      <c r="C13" s="1"/>
      <c r="D13" s="793"/>
      <c r="E13" s="793"/>
      <c r="F13" s="793"/>
      <c r="G13" s="793"/>
      <c r="H13" s="793"/>
      <c r="I13" s="1"/>
      <c r="J13" s="1"/>
      <c r="K13" s="44" t="s">
        <v>233</v>
      </c>
    </row>
    <row r="14" spans="1:11" ht="15" customHeight="1">
      <c r="A14" s="729" t="s">
        <v>5</v>
      </c>
      <c r="B14" s="729" t="s">
        <v>10</v>
      </c>
      <c r="C14" s="729" t="s">
        <v>236</v>
      </c>
      <c r="D14" s="729" t="s">
        <v>235</v>
      </c>
      <c r="E14" s="744" t="s">
        <v>7</v>
      </c>
      <c r="F14" s="744"/>
      <c r="G14" s="744"/>
      <c r="H14" s="744"/>
      <c r="I14" s="744"/>
      <c r="J14" s="786"/>
      <c r="K14" s="732" t="s">
        <v>13</v>
      </c>
    </row>
    <row r="15" spans="1:11" ht="12.75">
      <c r="A15" s="730"/>
      <c r="B15" s="730"/>
      <c r="C15" s="730"/>
      <c r="D15" s="730"/>
      <c r="E15" s="729">
        <v>2021</v>
      </c>
      <c r="F15" s="729">
        <v>2022</v>
      </c>
      <c r="G15" s="729" t="s">
        <v>22</v>
      </c>
      <c r="H15" s="729" t="s">
        <v>23</v>
      </c>
      <c r="I15" s="729" t="s">
        <v>24</v>
      </c>
      <c r="J15" s="732">
        <v>2023</v>
      </c>
      <c r="K15" s="732"/>
    </row>
    <row r="16" spans="1:11" ht="24.75" customHeight="1">
      <c r="A16" s="731"/>
      <c r="B16" s="731"/>
      <c r="C16" s="731"/>
      <c r="D16" s="731"/>
      <c r="E16" s="731"/>
      <c r="F16" s="731"/>
      <c r="G16" s="731"/>
      <c r="H16" s="731"/>
      <c r="I16" s="731"/>
      <c r="J16" s="732"/>
      <c r="K16" s="732"/>
    </row>
    <row r="17" spans="1:11" s="209" customFormat="1" ht="76.5" customHeight="1">
      <c r="A17" s="182">
        <v>1</v>
      </c>
      <c r="B17" s="143" t="s">
        <v>543</v>
      </c>
      <c r="C17" s="182" t="s">
        <v>340</v>
      </c>
      <c r="D17" s="110">
        <f aca="true" t="shared" si="0" ref="D17:D22">SUM(E17:J17)</f>
        <v>7580.3</v>
      </c>
      <c r="E17" s="449">
        <f>3448.5-3448.5</f>
        <v>0</v>
      </c>
      <c r="F17" s="111">
        <v>3680</v>
      </c>
      <c r="G17" s="111"/>
      <c r="H17" s="111"/>
      <c r="I17" s="111"/>
      <c r="J17" s="111">
        <v>3900.3</v>
      </c>
      <c r="K17" s="182" t="s">
        <v>161</v>
      </c>
    </row>
    <row r="18" spans="1:11" s="209" customFormat="1" ht="48.75" customHeight="1">
      <c r="A18" s="227">
        <v>2</v>
      </c>
      <c r="B18" s="227" t="s">
        <v>573</v>
      </c>
      <c r="C18" s="801" t="s">
        <v>340</v>
      </c>
      <c r="D18" s="540">
        <f t="shared" si="0"/>
        <v>24817</v>
      </c>
      <c r="E18" s="540">
        <f>E19+E20+E21+E22</f>
        <v>24817</v>
      </c>
      <c r="F18" s="540"/>
      <c r="G18" s="541"/>
      <c r="H18" s="541"/>
      <c r="I18" s="541"/>
      <c r="J18" s="540"/>
      <c r="K18" s="801" t="s">
        <v>454</v>
      </c>
    </row>
    <row r="19" spans="1:11" s="209" customFormat="1" ht="39.75" customHeight="1">
      <c r="A19" s="543" t="s">
        <v>208</v>
      </c>
      <c r="B19" s="190" t="s">
        <v>579</v>
      </c>
      <c r="C19" s="815"/>
      <c r="D19" s="540">
        <f t="shared" si="0"/>
        <v>12650</v>
      </c>
      <c r="E19" s="542">
        <f>13000-350</f>
        <v>12650</v>
      </c>
      <c r="F19" s="542"/>
      <c r="G19" s="110"/>
      <c r="H19" s="110"/>
      <c r="I19" s="110"/>
      <c r="J19" s="542"/>
      <c r="K19" s="815"/>
    </row>
    <row r="20" spans="1:11" s="209" customFormat="1" ht="36.75" customHeight="1">
      <c r="A20" s="543" t="s">
        <v>232</v>
      </c>
      <c r="B20" s="190" t="s">
        <v>580</v>
      </c>
      <c r="C20" s="815"/>
      <c r="D20" s="540">
        <f t="shared" si="0"/>
        <v>6565</v>
      </c>
      <c r="E20" s="542">
        <f>18600-6500-6900-435+1800</f>
        <v>6565</v>
      </c>
      <c r="F20" s="542"/>
      <c r="G20" s="110"/>
      <c r="H20" s="110"/>
      <c r="I20" s="110"/>
      <c r="J20" s="542"/>
      <c r="K20" s="815"/>
    </row>
    <row r="21" spans="1:11" s="209" customFormat="1" ht="36.75" customHeight="1">
      <c r="A21" s="609" t="s">
        <v>242</v>
      </c>
      <c r="B21" s="227" t="s">
        <v>652</v>
      </c>
      <c r="C21" s="815"/>
      <c r="D21" s="540">
        <f t="shared" si="0"/>
        <v>5602</v>
      </c>
      <c r="E21" s="540">
        <f>0+5630-28</f>
        <v>5602</v>
      </c>
      <c r="F21" s="540"/>
      <c r="G21" s="110"/>
      <c r="H21" s="110"/>
      <c r="I21" s="110"/>
      <c r="J21" s="540"/>
      <c r="K21" s="815"/>
    </row>
    <row r="22" spans="1:11" s="209" customFormat="1" ht="44.25" customHeight="1">
      <c r="A22" s="609" t="s">
        <v>243</v>
      </c>
      <c r="B22" s="227" t="s">
        <v>653</v>
      </c>
      <c r="C22" s="802"/>
      <c r="D22" s="540">
        <f t="shared" si="0"/>
        <v>0</v>
      </c>
      <c r="E22" s="540">
        <f>0+3830-3830</f>
        <v>0</v>
      </c>
      <c r="F22" s="540"/>
      <c r="G22" s="110"/>
      <c r="H22" s="110"/>
      <c r="I22" s="110"/>
      <c r="J22" s="540"/>
      <c r="K22" s="802"/>
    </row>
    <row r="23" spans="1:11" s="209" customFormat="1" ht="36" customHeight="1">
      <c r="A23" s="801">
        <v>3</v>
      </c>
      <c r="B23" s="810" t="s">
        <v>506</v>
      </c>
      <c r="C23" s="801" t="s">
        <v>340</v>
      </c>
      <c r="D23" s="808">
        <f>E23+F23+J23</f>
        <v>0</v>
      </c>
      <c r="E23" s="808">
        <f>405.5-405.5</f>
        <v>0</v>
      </c>
      <c r="F23" s="808"/>
      <c r="G23" s="110"/>
      <c r="H23" s="110"/>
      <c r="I23" s="110"/>
      <c r="J23" s="808"/>
      <c r="K23" s="801" t="s">
        <v>454</v>
      </c>
    </row>
    <row r="24" spans="1:11" s="209" customFormat="1" ht="27" customHeight="1">
      <c r="A24" s="802"/>
      <c r="B24" s="811"/>
      <c r="C24" s="802"/>
      <c r="D24" s="809"/>
      <c r="E24" s="809"/>
      <c r="F24" s="809"/>
      <c r="G24" s="110"/>
      <c r="H24" s="110"/>
      <c r="I24" s="110"/>
      <c r="J24" s="809"/>
      <c r="K24" s="802"/>
    </row>
    <row r="25" spans="1:11" s="209" customFormat="1" ht="31.5" customHeight="1">
      <c r="A25" s="801">
        <v>4</v>
      </c>
      <c r="B25" s="810" t="s">
        <v>544</v>
      </c>
      <c r="C25" s="801" t="s">
        <v>340</v>
      </c>
      <c r="D25" s="808">
        <f aca="true" t="shared" si="1" ref="D25:D33">SUM(E25:J25)</f>
        <v>150</v>
      </c>
      <c r="E25" s="808">
        <f>360-210</f>
        <v>150</v>
      </c>
      <c r="F25" s="808"/>
      <c r="G25" s="110"/>
      <c r="H25" s="110"/>
      <c r="I25" s="110"/>
      <c r="J25" s="808"/>
      <c r="K25" s="801" t="s">
        <v>454</v>
      </c>
    </row>
    <row r="26" spans="1:11" s="209" customFormat="1" ht="26.25" customHeight="1">
      <c r="A26" s="802"/>
      <c r="B26" s="811"/>
      <c r="C26" s="802"/>
      <c r="D26" s="809"/>
      <c r="E26" s="809"/>
      <c r="F26" s="809"/>
      <c r="G26" s="110"/>
      <c r="H26" s="110"/>
      <c r="I26" s="110"/>
      <c r="J26" s="809"/>
      <c r="K26" s="802"/>
    </row>
    <row r="27" spans="1:11" s="209" customFormat="1" ht="35.25" customHeight="1">
      <c r="A27" s="801">
        <v>5</v>
      </c>
      <c r="B27" s="810" t="s">
        <v>685</v>
      </c>
      <c r="C27" s="801" t="s">
        <v>340</v>
      </c>
      <c r="D27" s="808">
        <f t="shared" si="1"/>
        <v>550</v>
      </c>
      <c r="E27" s="808">
        <f>800-250</f>
        <v>550</v>
      </c>
      <c r="F27" s="808"/>
      <c r="G27" s="110"/>
      <c r="H27" s="110"/>
      <c r="I27" s="110"/>
      <c r="J27" s="808"/>
      <c r="K27" s="801" t="s">
        <v>161</v>
      </c>
    </row>
    <row r="28" spans="1:11" s="209" customFormat="1" ht="14.25" customHeight="1">
      <c r="A28" s="802"/>
      <c r="B28" s="811"/>
      <c r="C28" s="802"/>
      <c r="D28" s="809"/>
      <c r="E28" s="809"/>
      <c r="F28" s="809"/>
      <c r="G28" s="110"/>
      <c r="H28" s="110"/>
      <c r="I28" s="110"/>
      <c r="J28" s="809"/>
      <c r="K28" s="802"/>
    </row>
    <row r="29" spans="1:11" s="209" customFormat="1" ht="69" customHeight="1">
      <c r="A29" s="577">
        <v>6</v>
      </c>
      <c r="B29" s="143" t="s">
        <v>545</v>
      </c>
      <c r="C29" s="577" t="s">
        <v>340</v>
      </c>
      <c r="D29" s="110">
        <f t="shared" si="1"/>
        <v>595</v>
      </c>
      <c r="E29" s="110">
        <f>120+200+275</f>
        <v>595</v>
      </c>
      <c r="F29" s="303"/>
      <c r="G29" s="110"/>
      <c r="H29" s="110"/>
      <c r="I29" s="110"/>
      <c r="J29" s="110"/>
      <c r="K29" s="577" t="s">
        <v>161</v>
      </c>
    </row>
    <row r="30" spans="1:11" s="209" customFormat="1" ht="47.25" customHeight="1">
      <c r="A30" s="182">
        <v>7</v>
      </c>
      <c r="B30" s="143" t="s">
        <v>602</v>
      </c>
      <c r="C30" s="182" t="s">
        <v>340</v>
      </c>
      <c r="D30" s="110">
        <f>SUM(E30:J30)</f>
        <v>100</v>
      </c>
      <c r="E30" s="110">
        <f>50+50+50+50+100-200</f>
        <v>100</v>
      </c>
      <c r="F30" s="303"/>
      <c r="G30" s="110"/>
      <c r="H30" s="110"/>
      <c r="I30" s="110"/>
      <c r="J30" s="110"/>
      <c r="K30" s="375" t="s">
        <v>161</v>
      </c>
    </row>
    <row r="31" spans="1:11" s="209" customFormat="1" ht="50.25" customHeight="1">
      <c r="A31" s="182">
        <v>8</v>
      </c>
      <c r="B31" s="143" t="s">
        <v>434</v>
      </c>
      <c r="C31" s="182" t="s">
        <v>340</v>
      </c>
      <c r="D31" s="110">
        <f t="shared" si="1"/>
        <v>0</v>
      </c>
      <c r="E31" s="110">
        <f>13-13</f>
        <v>0</v>
      </c>
      <c r="F31" s="303"/>
      <c r="G31" s="110"/>
      <c r="H31" s="110"/>
      <c r="I31" s="110"/>
      <c r="J31" s="110"/>
      <c r="K31" s="375" t="s">
        <v>161</v>
      </c>
    </row>
    <row r="32" spans="1:11" s="209" customFormat="1" ht="50.25" customHeight="1">
      <c r="A32" s="583">
        <v>9</v>
      </c>
      <c r="B32" s="584" t="s">
        <v>623</v>
      </c>
      <c r="C32" s="587" t="s">
        <v>340</v>
      </c>
      <c r="D32" s="110">
        <f t="shared" si="1"/>
        <v>30</v>
      </c>
      <c r="E32" s="655">
        <f>0+30</f>
        <v>30</v>
      </c>
      <c r="F32" s="588"/>
      <c r="G32" s="586"/>
      <c r="H32" s="586"/>
      <c r="I32" s="586"/>
      <c r="J32" s="585"/>
      <c r="K32" s="583" t="s">
        <v>161</v>
      </c>
    </row>
    <row r="33" spans="1:11" s="209" customFormat="1" ht="36" customHeight="1">
      <c r="A33" s="801">
        <v>10</v>
      </c>
      <c r="B33" s="810" t="s">
        <v>399</v>
      </c>
      <c r="C33" s="801" t="s">
        <v>340</v>
      </c>
      <c r="D33" s="808">
        <f t="shared" si="1"/>
        <v>200</v>
      </c>
      <c r="E33" s="808">
        <f>500-300</f>
        <v>200</v>
      </c>
      <c r="F33" s="808"/>
      <c r="G33" s="111"/>
      <c r="H33" s="111"/>
      <c r="I33" s="111"/>
      <c r="J33" s="808"/>
      <c r="K33" s="801" t="s">
        <v>161</v>
      </c>
    </row>
    <row r="34" spans="1:11" s="209" customFormat="1" ht="28.5" customHeight="1">
      <c r="A34" s="802"/>
      <c r="B34" s="811"/>
      <c r="C34" s="802"/>
      <c r="D34" s="809"/>
      <c r="E34" s="809"/>
      <c r="F34" s="809"/>
      <c r="G34" s="111"/>
      <c r="H34" s="111"/>
      <c r="I34" s="111"/>
      <c r="J34" s="809"/>
      <c r="K34" s="802"/>
    </row>
    <row r="35" spans="1:11" ht="36" customHeight="1" hidden="1">
      <c r="A35" s="316" t="s">
        <v>298</v>
      </c>
      <c r="B35" s="143" t="s">
        <v>299</v>
      </c>
      <c r="C35" s="229" t="s">
        <v>340</v>
      </c>
      <c r="D35" s="110">
        <f aca="true" t="shared" si="2" ref="D35:D49">E35</f>
        <v>0</v>
      </c>
      <c r="E35" s="656"/>
      <c r="F35" s="111"/>
      <c r="G35" s="111"/>
      <c r="H35" s="111"/>
      <c r="I35" s="111"/>
      <c r="J35" s="111">
        <f>26000+8000</f>
        <v>34000</v>
      </c>
      <c r="K35" s="492"/>
    </row>
    <row r="36" spans="1:11" ht="117.75" customHeight="1" hidden="1">
      <c r="A36" s="35">
        <v>11</v>
      </c>
      <c r="B36" s="304" t="s">
        <v>226</v>
      </c>
      <c r="C36" s="229" t="s">
        <v>340</v>
      </c>
      <c r="D36" s="110">
        <f t="shared" si="2"/>
        <v>45</v>
      </c>
      <c r="E36" s="656">
        <f>35+10</f>
        <v>45</v>
      </c>
      <c r="F36" s="111">
        <f>40+15+23</f>
        <v>78</v>
      </c>
      <c r="G36" s="111"/>
      <c r="H36" s="111"/>
      <c r="I36" s="111"/>
      <c r="J36" s="111"/>
      <c r="K36" s="35" t="s">
        <v>166</v>
      </c>
    </row>
    <row r="37" spans="1:11" ht="57" customHeight="1" hidden="1">
      <c r="A37" s="35">
        <v>12</v>
      </c>
      <c r="B37" s="143" t="s">
        <v>182</v>
      </c>
      <c r="C37" s="229" t="s">
        <v>340</v>
      </c>
      <c r="D37" s="110">
        <f t="shared" si="2"/>
        <v>0</v>
      </c>
      <c r="E37" s="656"/>
      <c r="F37" s="111">
        <f>2300-80-190-40-15-23</f>
        <v>1952</v>
      </c>
      <c r="G37" s="111"/>
      <c r="H37" s="111"/>
      <c r="I37" s="111"/>
      <c r="J37" s="111"/>
      <c r="K37" s="35" t="s">
        <v>166</v>
      </c>
    </row>
    <row r="38" spans="1:11" ht="58.5" customHeight="1" hidden="1">
      <c r="A38" s="35">
        <v>13</v>
      </c>
      <c r="B38" s="143" t="s">
        <v>215</v>
      </c>
      <c r="C38" s="229" t="s">
        <v>340</v>
      </c>
      <c r="D38" s="110">
        <f t="shared" si="2"/>
        <v>0</v>
      </c>
      <c r="E38" s="656"/>
      <c r="F38" s="111">
        <f>3200-2280</f>
        <v>920</v>
      </c>
      <c r="G38" s="111"/>
      <c r="H38" s="111"/>
      <c r="I38" s="111"/>
      <c r="J38" s="111"/>
      <c r="K38" s="35" t="s">
        <v>166</v>
      </c>
    </row>
    <row r="39" spans="1:11" ht="55.5" customHeight="1" hidden="1">
      <c r="A39" s="35">
        <v>14</v>
      </c>
      <c r="B39" s="143" t="s">
        <v>220</v>
      </c>
      <c r="C39" s="229" t="s">
        <v>340</v>
      </c>
      <c r="D39" s="110">
        <f t="shared" si="2"/>
        <v>0</v>
      </c>
      <c r="E39" s="656"/>
      <c r="F39" s="111">
        <f>0+1000</f>
        <v>1000</v>
      </c>
      <c r="G39" s="111"/>
      <c r="H39" s="111"/>
      <c r="I39" s="111"/>
      <c r="J39" s="111"/>
      <c r="K39" s="35" t="s">
        <v>166</v>
      </c>
    </row>
    <row r="40" spans="1:11" ht="53.25" customHeight="1" hidden="1">
      <c r="A40" s="35">
        <v>15</v>
      </c>
      <c r="B40" s="143" t="s">
        <v>227</v>
      </c>
      <c r="C40" s="229" t="s">
        <v>340</v>
      </c>
      <c r="D40" s="110">
        <f t="shared" si="2"/>
        <v>0</v>
      </c>
      <c r="E40" s="656"/>
      <c r="F40" s="111">
        <f>0+80</f>
        <v>80</v>
      </c>
      <c r="G40" s="111"/>
      <c r="H40" s="111"/>
      <c r="I40" s="111"/>
      <c r="J40" s="111"/>
      <c r="K40" s="35" t="s">
        <v>166</v>
      </c>
    </row>
    <row r="41" spans="1:11" ht="66.75" customHeight="1" hidden="1">
      <c r="A41" s="35">
        <v>16</v>
      </c>
      <c r="B41" s="306" t="s">
        <v>264</v>
      </c>
      <c r="C41" s="229" t="s">
        <v>340</v>
      </c>
      <c r="D41" s="110">
        <f t="shared" si="2"/>
        <v>0</v>
      </c>
      <c r="E41" s="656"/>
      <c r="F41" s="111">
        <f>0+1000-1000</f>
        <v>0</v>
      </c>
      <c r="G41" s="111"/>
      <c r="H41" s="111"/>
      <c r="I41" s="111"/>
      <c r="J41" s="111"/>
      <c r="K41" s="35" t="s">
        <v>166</v>
      </c>
    </row>
    <row r="42" spans="1:11" ht="57.75" customHeight="1" hidden="1">
      <c r="A42" s="737">
        <v>17</v>
      </c>
      <c r="B42" s="816" t="s">
        <v>268</v>
      </c>
      <c r="C42" s="229" t="s">
        <v>340</v>
      </c>
      <c r="D42" s="110">
        <f t="shared" si="2"/>
        <v>0</v>
      </c>
      <c r="E42" s="656"/>
      <c r="F42" s="111">
        <f>0+1000</f>
        <v>1000</v>
      </c>
      <c r="G42" s="111"/>
      <c r="H42" s="111"/>
      <c r="I42" s="111"/>
      <c r="J42" s="111"/>
      <c r="K42" s="737" t="s">
        <v>166</v>
      </c>
    </row>
    <row r="43" spans="1:11" ht="57" customHeight="1" hidden="1">
      <c r="A43" s="739"/>
      <c r="B43" s="817"/>
      <c r="C43" s="229" t="s">
        <v>340</v>
      </c>
      <c r="D43" s="110">
        <f t="shared" si="2"/>
        <v>0</v>
      </c>
      <c r="E43" s="656"/>
      <c r="F43" s="111"/>
      <c r="G43" s="111"/>
      <c r="H43" s="111"/>
      <c r="I43" s="111"/>
      <c r="J43" s="111">
        <v>1000</v>
      </c>
      <c r="K43" s="739"/>
    </row>
    <row r="44" spans="1:11" ht="12" customHeight="1" hidden="1">
      <c r="A44" s="737"/>
      <c r="B44" s="816"/>
      <c r="C44" s="229" t="s">
        <v>340</v>
      </c>
      <c r="D44" s="110">
        <f t="shared" si="2"/>
        <v>0</v>
      </c>
      <c r="E44" s="656"/>
      <c r="F44" s="111"/>
      <c r="G44" s="111"/>
      <c r="H44" s="111"/>
      <c r="I44" s="111"/>
      <c r="J44" s="111"/>
      <c r="K44" s="737"/>
    </row>
    <row r="45" spans="1:11" ht="15" customHeight="1" hidden="1">
      <c r="A45" s="739"/>
      <c r="B45" s="817"/>
      <c r="C45" s="229" t="s">
        <v>340</v>
      </c>
      <c r="D45" s="110">
        <f t="shared" si="2"/>
        <v>0</v>
      </c>
      <c r="E45" s="656"/>
      <c r="F45" s="111"/>
      <c r="G45" s="111"/>
      <c r="H45" s="111"/>
      <c r="I45" s="111"/>
      <c r="J45" s="111"/>
      <c r="K45" s="739"/>
    </row>
    <row r="46" spans="1:11" ht="57" customHeight="1" hidden="1">
      <c r="A46" s="221">
        <v>18</v>
      </c>
      <c r="B46" s="327" t="s">
        <v>327</v>
      </c>
      <c r="C46" s="229" t="s">
        <v>340</v>
      </c>
      <c r="D46" s="110">
        <f t="shared" si="2"/>
        <v>0</v>
      </c>
      <c r="E46" s="656"/>
      <c r="F46" s="111"/>
      <c r="G46" s="111"/>
      <c r="H46" s="111"/>
      <c r="I46" s="111"/>
      <c r="J46" s="111">
        <v>80</v>
      </c>
      <c r="K46" s="221" t="s">
        <v>166</v>
      </c>
    </row>
    <row r="47" spans="1:11" ht="49.5" customHeight="1">
      <c r="A47" s="221">
        <v>11</v>
      </c>
      <c r="B47" s="379" t="s">
        <v>433</v>
      </c>
      <c r="C47" s="229" t="s">
        <v>340</v>
      </c>
      <c r="D47" s="110">
        <f t="shared" si="2"/>
        <v>0</v>
      </c>
      <c r="E47" s="656">
        <f>15+15-30</f>
        <v>0</v>
      </c>
      <c r="F47" s="369"/>
      <c r="G47" s="369"/>
      <c r="H47" s="369"/>
      <c r="I47" s="369"/>
      <c r="J47" s="369"/>
      <c r="K47" s="375" t="s">
        <v>161</v>
      </c>
    </row>
    <row r="48" spans="1:11" ht="57" customHeight="1">
      <c r="A48" s="221">
        <v>12</v>
      </c>
      <c r="B48" s="560" t="s">
        <v>593</v>
      </c>
      <c r="C48" s="229" t="s">
        <v>340</v>
      </c>
      <c r="D48" s="110">
        <f t="shared" si="2"/>
        <v>3350</v>
      </c>
      <c r="E48" s="656">
        <v>3350</v>
      </c>
      <c r="F48" s="561"/>
      <c r="G48" s="561"/>
      <c r="H48" s="561"/>
      <c r="I48" s="561"/>
      <c r="J48" s="561"/>
      <c r="K48" s="559" t="s">
        <v>161</v>
      </c>
    </row>
    <row r="49" spans="1:11" ht="49.5" customHeight="1">
      <c r="A49" s="221">
        <v>13</v>
      </c>
      <c r="B49" s="560" t="s">
        <v>594</v>
      </c>
      <c r="C49" s="229" t="s">
        <v>340</v>
      </c>
      <c r="D49" s="110">
        <f t="shared" si="2"/>
        <v>2000</v>
      </c>
      <c r="E49" s="656">
        <f>2000</f>
        <v>2000</v>
      </c>
      <c r="F49" s="561"/>
      <c r="G49" s="561"/>
      <c r="H49" s="561"/>
      <c r="I49" s="561"/>
      <c r="J49" s="561"/>
      <c r="K49" s="559" t="s">
        <v>161</v>
      </c>
    </row>
    <row r="50" spans="1:11" ht="29.25" customHeight="1">
      <c r="A50" s="75"/>
      <c r="B50" s="54" t="s">
        <v>4</v>
      </c>
      <c r="C50" s="229"/>
      <c r="D50" s="73">
        <f>E50+F50+J50</f>
        <v>39372.3</v>
      </c>
      <c r="E50" s="73">
        <f>E17+E18+E23+E25+E27+E29+E30+E31+E33+E47+E48+E49+E32</f>
        <v>31792</v>
      </c>
      <c r="F50" s="73">
        <f>F17+F18+F23+F25+F27+F29+F30+F31+F33+F47+F48+F49</f>
        <v>3680</v>
      </c>
      <c r="G50" s="73">
        <f>G17+G18+G23+G25+G27+G29+G30+G31+G33+G47+G48+G49</f>
        <v>0</v>
      </c>
      <c r="H50" s="73">
        <f>H17+H18+H23+H25+H27+H29+H30+H31+H33+H47+H48+H49</f>
        <v>0</v>
      </c>
      <c r="I50" s="73">
        <f>I17+I18+I23+I25+I27+I29+I30+I31+I33+I47+I48+I49</f>
        <v>0</v>
      </c>
      <c r="J50" s="73">
        <f>J17+J18+J23+J25+J27+J29+J30+J31+J33+J47+J48+J49</f>
        <v>3900.3</v>
      </c>
      <c r="K50" s="74"/>
    </row>
    <row r="51" spans="1:11" ht="15.75">
      <c r="A51" s="49"/>
      <c r="B51" s="4"/>
      <c r="C51" s="4"/>
      <c r="D51" s="6"/>
      <c r="E51" s="6"/>
      <c r="F51" s="6"/>
      <c r="G51" s="6"/>
      <c r="H51" s="6"/>
      <c r="I51" s="6"/>
      <c r="J51" s="6"/>
      <c r="K51" s="40"/>
    </row>
    <row r="52" spans="2:11" ht="15.75">
      <c r="B52" s="4"/>
      <c r="C52" s="4"/>
      <c r="D52" s="6"/>
      <c r="E52" s="6"/>
      <c r="F52" s="6"/>
      <c r="G52" s="6"/>
      <c r="H52" s="6"/>
      <c r="I52" s="6"/>
      <c r="J52" s="6"/>
      <c r="K52" s="40"/>
    </row>
    <row r="53" spans="2:15" ht="20.25" customHeight="1">
      <c r="B53" s="785" t="s">
        <v>15</v>
      </c>
      <c r="C53" s="785"/>
      <c r="D53" s="273"/>
      <c r="E53" s="8"/>
      <c r="F53" s="8"/>
      <c r="G53" s="9"/>
      <c r="H53" s="9"/>
      <c r="I53" s="9"/>
      <c r="J53" s="46"/>
      <c r="K53" s="807" t="s">
        <v>674</v>
      </c>
      <c r="L53" s="807"/>
      <c r="M53" s="807"/>
      <c r="N53" s="807"/>
      <c r="O53" s="807"/>
    </row>
    <row r="54" spans="2:11" ht="6.75" customHeight="1">
      <c r="B54" s="264"/>
      <c r="C54" s="264"/>
      <c r="D54" s="273"/>
      <c r="E54" s="8"/>
      <c r="F54" s="8"/>
      <c r="G54" s="9"/>
      <c r="H54" s="9"/>
      <c r="I54" s="9"/>
      <c r="J54" s="46"/>
      <c r="K54" s="46"/>
    </row>
    <row r="55" spans="2:11" ht="15.75" customHeight="1">
      <c r="B55" s="694" t="s">
        <v>673</v>
      </c>
      <c r="C55" s="694"/>
      <c r="D55" s="47"/>
      <c r="E55" s="7"/>
      <c r="F55" s="7"/>
      <c r="G55" s="7"/>
      <c r="H55" s="7"/>
      <c r="I55" s="7"/>
      <c r="J55" s="1"/>
      <c r="K55" s="1"/>
    </row>
    <row r="56" spans="2:11" ht="13.5" customHeight="1">
      <c r="B56" s="145"/>
      <c r="C56" s="145"/>
      <c r="D56" s="7"/>
      <c r="E56" s="7"/>
      <c r="F56" s="7"/>
      <c r="G56" s="7"/>
      <c r="H56" s="7"/>
      <c r="I56" s="7"/>
      <c r="J56" s="1"/>
      <c r="K56" s="1"/>
    </row>
    <row r="57" spans="2:11" ht="15.75">
      <c r="B57" s="41"/>
      <c r="C57" s="10"/>
      <c r="D57" s="42"/>
      <c r="E57" s="7"/>
      <c r="F57" s="7"/>
      <c r="G57" s="7"/>
      <c r="H57" s="7"/>
      <c r="I57" s="7"/>
      <c r="J57" s="1"/>
      <c r="K57" s="1"/>
    </row>
    <row r="58" spans="3:10" ht="15.75">
      <c r="C58" s="42"/>
      <c r="D58" s="7"/>
      <c r="E58" s="7"/>
      <c r="F58" s="7"/>
      <c r="G58" s="7"/>
      <c r="H58" s="7"/>
      <c r="I58" s="7"/>
      <c r="J58" s="7"/>
    </row>
    <row r="59" spans="3:10" ht="15.75">
      <c r="C59" s="43"/>
      <c r="D59" s="7"/>
      <c r="E59" s="7"/>
      <c r="F59" s="7"/>
      <c r="G59" s="7"/>
      <c r="H59" s="7"/>
      <c r="I59" s="7"/>
      <c r="J59" s="7"/>
    </row>
    <row r="61" ht="12.75">
      <c r="H61" s="5"/>
    </row>
  </sheetData>
  <sheetProtection/>
  <mergeCells count="59">
    <mergeCell ref="J8:O8"/>
    <mergeCell ref="K53:O53"/>
    <mergeCell ref="J7:O7"/>
    <mergeCell ref="B12:K12"/>
    <mergeCell ref="J23:J24"/>
    <mergeCell ref="C18:C22"/>
    <mergeCell ref="K18:K22"/>
    <mergeCell ref="J25:J26"/>
    <mergeCell ref="D13:H13"/>
    <mergeCell ref="I15:I16"/>
    <mergeCell ref="J15:J16"/>
    <mergeCell ref="H15:H16"/>
    <mergeCell ref="F25:F26"/>
    <mergeCell ref="A14:A16"/>
    <mergeCell ref="B14:B16"/>
    <mergeCell ref="C14:C16"/>
    <mergeCell ref="D14:D16"/>
    <mergeCell ref="E14:J14"/>
    <mergeCell ref="F23:F24"/>
    <mergeCell ref="K14:K16"/>
    <mergeCell ref="E15:E16"/>
    <mergeCell ref="F15:F16"/>
    <mergeCell ref="G15:G16"/>
    <mergeCell ref="A23:A24"/>
    <mergeCell ref="B23:B24"/>
    <mergeCell ref="K23:K24"/>
    <mergeCell ref="C23:C24"/>
    <mergeCell ref="D23:D24"/>
    <mergeCell ref="E23:E24"/>
    <mergeCell ref="F33:F34"/>
    <mergeCell ref="A25:A26"/>
    <mergeCell ref="B25:B26"/>
    <mergeCell ref="K25:K26"/>
    <mergeCell ref="A27:A28"/>
    <mergeCell ref="B27:B28"/>
    <mergeCell ref="K27:K28"/>
    <mergeCell ref="C25:C26"/>
    <mergeCell ref="D25:D26"/>
    <mergeCell ref="E25:E26"/>
    <mergeCell ref="C27:C28"/>
    <mergeCell ref="D27:D28"/>
    <mergeCell ref="E27:E28"/>
    <mergeCell ref="F27:F28"/>
    <mergeCell ref="J27:J28"/>
    <mergeCell ref="A33:A34"/>
    <mergeCell ref="B33:B34"/>
    <mergeCell ref="C33:C34"/>
    <mergeCell ref="D33:D34"/>
    <mergeCell ref="E33:E34"/>
    <mergeCell ref="J33:J34"/>
    <mergeCell ref="A44:A45"/>
    <mergeCell ref="B44:B45"/>
    <mergeCell ref="K44:K45"/>
    <mergeCell ref="B53:C53"/>
    <mergeCell ref="B55:C55"/>
    <mergeCell ref="K33:K34"/>
    <mergeCell ref="A42:A43"/>
    <mergeCell ref="B42:B43"/>
    <mergeCell ref="K42:K43"/>
  </mergeCells>
  <printOptions horizontalCentered="1"/>
  <pageMargins left="0.1968503937007874" right="0.1968503937007874" top="1.1811023622047245" bottom="0.1968503937007874" header="0" footer="0"/>
  <pageSetup fitToHeight="1" fitToWidth="1" horizontalDpi="600" verticalDpi="600" orientation="landscape" paperSize="9" scale="40"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1:O58"/>
  <sheetViews>
    <sheetView view="pageBreakPreview" zoomScale="76" zoomScaleSheetLayoutView="76" zoomScalePageLayoutView="0" workbookViewId="0" topLeftCell="A38">
      <selection activeCell="E35" sqref="E35"/>
    </sheetView>
  </sheetViews>
  <sheetFormatPr defaultColWidth="9.140625" defaultRowHeight="12.75"/>
  <cols>
    <col min="1" max="1" width="8.00390625" style="14" customWidth="1"/>
    <col min="2" max="2" width="74.71093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82" t="s">
        <v>675</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581</v>
      </c>
      <c r="K6" s="17"/>
      <c r="L6" s="245"/>
      <c r="M6" s="12"/>
      <c r="N6" s="12"/>
      <c r="O6" s="12"/>
    </row>
    <row r="7" spans="2:15" ht="15.75" customHeight="1">
      <c r="B7" s="15"/>
      <c r="C7" s="15"/>
      <c r="D7" s="15"/>
      <c r="E7" s="15"/>
      <c r="F7" s="15"/>
      <c r="G7" s="15"/>
      <c r="H7" s="15"/>
      <c r="I7" s="12"/>
      <c r="J7" s="745" t="s">
        <v>591</v>
      </c>
      <c r="K7" s="745"/>
      <c r="L7" s="745"/>
      <c r="M7" s="745"/>
      <c r="N7" s="745"/>
      <c r="O7" s="745"/>
    </row>
    <row r="8" spans="2:15" ht="15.75" customHeight="1">
      <c r="B8" s="15"/>
      <c r="C8" s="15"/>
      <c r="D8" s="15"/>
      <c r="E8" s="15"/>
      <c r="F8" s="15"/>
      <c r="G8" s="15"/>
      <c r="H8" s="16"/>
      <c r="I8" s="12" t="s">
        <v>19</v>
      </c>
      <c r="J8" s="745" t="s">
        <v>687</v>
      </c>
      <c r="K8" s="745"/>
      <c r="L8" s="553"/>
      <c r="M8" s="553"/>
      <c r="N8" s="553"/>
      <c r="O8" s="553"/>
    </row>
    <row r="9" spans="2:11" ht="21" customHeight="1">
      <c r="B9" s="15"/>
      <c r="C9" s="15"/>
      <c r="D9" s="15"/>
      <c r="E9" s="15"/>
      <c r="F9" s="15"/>
      <c r="G9" s="15"/>
      <c r="H9" s="16"/>
      <c r="I9" s="12" t="s">
        <v>20</v>
      </c>
      <c r="J9" s="253"/>
      <c r="K9" s="253"/>
    </row>
    <row r="10" spans="2:11" ht="15.75">
      <c r="B10" s="15"/>
      <c r="C10" s="15"/>
      <c r="D10" s="15"/>
      <c r="E10" s="15"/>
      <c r="F10" s="15"/>
      <c r="G10" s="15"/>
      <c r="H10" s="15"/>
      <c r="I10" s="15"/>
      <c r="J10" s="15"/>
      <c r="K10" s="15"/>
    </row>
    <row r="11" spans="1:11" ht="18.75">
      <c r="A11" s="735" t="s">
        <v>391</v>
      </c>
      <c r="B11" s="735"/>
      <c r="C11" s="735"/>
      <c r="D11" s="735"/>
      <c r="E11" s="735"/>
      <c r="F11" s="735"/>
      <c r="G11" s="735"/>
      <c r="H11" s="735"/>
      <c r="I11" s="735"/>
      <c r="J11" s="735"/>
      <c r="K11" s="735"/>
    </row>
    <row r="12" spans="2:11" ht="15.75">
      <c r="B12" s="15"/>
      <c r="C12" s="15"/>
      <c r="D12" s="743"/>
      <c r="E12" s="743"/>
      <c r="F12" s="743"/>
      <c r="G12" s="743"/>
      <c r="H12" s="743"/>
      <c r="I12" s="15"/>
      <c r="J12" s="15"/>
      <c r="K12" s="34" t="s">
        <v>233</v>
      </c>
    </row>
    <row r="13" spans="1:11" ht="18.75">
      <c r="A13" s="729" t="s">
        <v>26</v>
      </c>
      <c r="B13" s="729" t="s">
        <v>10</v>
      </c>
      <c r="C13" s="729" t="s">
        <v>11</v>
      </c>
      <c r="D13" s="729" t="s">
        <v>235</v>
      </c>
      <c r="E13" s="744" t="s">
        <v>7</v>
      </c>
      <c r="F13" s="744"/>
      <c r="G13" s="744"/>
      <c r="H13" s="744"/>
      <c r="I13" s="744"/>
      <c r="J13" s="786"/>
      <c r="K13" s="732" t="s">
        <v>13</v>
      </c>
    </row>
    <row r="14" spans="1:11" ht="12.75">
      <c r="A14" s="730"/>
      <c r="B14" s="730"/>
      <c r="C14" s="730"/>
      <c r="D14" s="730"/>
      <c r="E14" s="729">
        <v>2021</v>
      </c>
      <c r="F14" s="729">
        <v>2022</v>
      </c>
      <c r="G14" s="729" t="s">
        <v>22</v>
      </c>
      <c r="H14" s="729" t="s">
        <v>23</v>
      </c>
      <c r="I14" s="729" t="s">
        <v>24</v>
      </c>
      <c r="J14" s="732">
        <v>2023</v>
      </c>
      <c r="K14" s="732"/>
    </row>
    <row r="15" spans="1:11" ht="24.75" customHeight="1">
      <c r="A15" s="731"/>
      <c r="B15" s="731"/>
      <c r="C15" s="731"/>
      <c r="D15" s="731"/>
      <c r="E15" s="731"/>
      <c r="F15" s="731"/>
      <c r="G15" s="731"/>
      <c r="H15" s="731"/>
      <c r="I15" s="731"/>
      <c r="J15" s="732"/>
      <c r="K15" s="732"/>
    </row>
    <row r="16" spans="1:11" ht="25.5" customHeight="1">
      <c r="A16" s="729">
        <v>1</v>
      </c>
      <c r="B16" s="819" t="s">
        <v>390</v>
      </c>
      <c r="C16" s="690" t="s">
        <v>340</v>
      </c>
      <c r="D16" s="821">
        <f>E16+F16+J16</f>
        <v>959.4000000000001</v>
      </c>
      <c r="E16" s="821">
        <v>300</v>
      </c>
      <c r="F16" s="823">
        <v>320.1</v>
      </c>
      <c r="G16" s="142"/>
      <c r="H16" s="142"/>
      <c r="I16" s="142"/>
      <c r="J16" s="823">
        <v>339.3</v>
      </c>
      <c r="K16" s="737" t="s">
        <v>455</v>
      </c>
    </row>
    <row r="17" spans="1:11" ht="38.25" customHeight="1">
      <c r="A17" s="731"/>
      <c r="B17" s="820"/>
      <c r="C17" s="692"/>
      <c r="D17" s="822"/>
      <c r="E17" s="822"/>
      <c r="F17" s="824"/>
      <c r="G17" s="142"/>
      <c r="H17" s="142"/>
      <c r="I17" s="142"/>
      <c r="J17" s="824"/>
      <c r="K17" s="739"/>
    </row>
    <row r="18" spans="1:11" ht="32.25" customHeight="1">
      <c r="A18" s="729">
        <v>2</v>
      </c>
      <c r="B18" s="819" t="s">
        <v>241</v>
      </c>
      <c r="C18" s="690" t="s">
        <v>340</v>
      </c>
      <c r="D18" s="821">
        <f>E18+F18+J18</f>
        <v>2699.4</v>
      </c>
      <c r="E18" s="821">
        <f>E20+E21+E32+E34</f>
        <v>2699.4</v>
      </c>
      <c r="F18" s="823">
        <f>F20+F21</f>
        <v>0</v>
      </c>
      <c r="G18" s="142"/>
      <c r="H18" s="142"/>
      <c r="I18" s="142"/>
      <c r="J18" s="823">
        <f>J20+J21</f>
        <v>0</v>
      </c>
      <c r="K18" s="737" t="s">
        <v>456</v>
      </c>
    </row>
    <row r="19" spans="1:11" ht="21" customHeight="1">
      <c r="A19" s="731"/>
      <c r="B19" s="820"/>
      <c r="C19" s="692"/>
      <c r="D19" s="822"/>
      <c r="E19" s="822"/>
      <c r="F19" s="824"/>
      <c r="G19" s="142"/>
      <c r="H19" s="142"/>
      <c r="I19" s="142"/>
      <c r="J19" s="824"/>
      <c r="K19" s="739"/>
    </row>
    <row r="20" spans="1:11" s="258" customFormat="1" ht="39.75" customHeight="1">
      <c r="A20" s="226" t="s">
        <v>208</v>
      </c>
      <c r="B20" s="143" t="s">
        <v>392</v>
      </c>
      <c r="C20" s="182" t="s">
        <v>340</v>
      </c>
      <c r="D20" s="333">
        <f>E20+F20+J20</f>
        <v>0</v>
      </c>
      <c r="E20" s="333">
        <f>800-800</f>
        <v>0</v>
      </c>
      <c r="F20" s="333"/>
      <c r="G20" s="333"/>
      <c r="H20" s="333"/>
      <c r="I20" s="333"/>
      <c r="J20" s="333"/>
      <c r="K20" s="182"/>
    </row>
    <row r="21" spans="1:11" s="258" customFormat="1" ht="50.25" customHeight="1">
      <c r="A21" s="226" t="s">
        <v>232</v>
      </c>
      <c r="B21" s="143" t="s">
        <v>248</v>
      </c>
      <c r="C21" s="182" t="s">
        <v>340</v>
      </c>
      <c r="D21" s="333">
        <f>E21+F21+J21</f>
        <v>0</v>
      </c>
      <c r="E21" s="333">
        <f>1700-1700</f>
        <v>0</v>
      </c>
      <c r="F21" s="333"/>
      <c r="G21" s="333"/>
      <c r="H21" s="333"/>
      <c r="I21" s="333"/>
      <c r="J21" s="333"/>
      <c r="K21" s="182"/>
    </row>
    <row r="22" spans="1:11" s="52" customFormat="1" ht="51" customHeight="1" hidden="1">
      <c r="A22" s="485" t="s">
        <v>242</v>
      </c>
      <c r="B22" s="529" t="s">
        <v>257</v>
      </c>
      <c r="C22" s="554" t="s">
        <v>340</v>
      </c>
      <c r="D22" s="333">
        <f aca="true" t="shared" si="0" ref="D22:D34">E22+F22+J22</f>
        <v>1542</v>
      </c>
      <c r="E22" s="531">
        <v>1542</v>
      </c>
      <c r="F22" s="531"/>
      <c r="G22" s="531"/>
      <c r="H22" s="531"/>
      <c r="I22" s="531"/>
      <c r="J22" s="531"/>
      <c r="K22" s="530"/>
    </row>
    <row r="23" spans="1:11" ht="48.75" customHeight="1" hidden="1">
      <c r="A23" s="300" t="s">
        <v>243</v>
      </c>
      <c r="B23" s="61" t="s">
        <v>260</v>
      </c>
      <c r="C23" s="554" t="s">
        <v>340</v>
      </c>
      <c r="D23" s="333">
        <f t="shared" si="0"/>
        <v>233.1</v>
      </c>
      <c r="E23" s="296"/>
      <c r="F23" s="297">
        <v>233.1</v>
      </c>
      <c r="G23" s="297"/>
      <c r="H23" s="297"/>
      <c r="I23" s="297"/>
      <c r="J23" s="297"/>
      <c r="K23" s="182" t="s">
        <v>167</v>
      </c>
    </row>
    <row r="24" spans="1:11" ht="45" customHeight="1" hidden="1">
      <c r="A24" s="300" t="s">
        <v>244</v>
      </c>
      <c r="B24" s="61" t="s">
        <v>247</v>
      </c>
      <c r="C24" s="554" t="s">
        <v>340</v>
      </c>
      <c r="D24" s="333">
        <f t="shared" si="0"/>
        <v>1195</v>
      </c>
      <c r="E24" s="296"/>
      <c r="F24" s="297">
        <v>1195</v>
      </c>
      <c r="G24" s="297"/>
      <c r="H24" s="297"/>
      <c r="I24" s="297"/>
      <c r="J24" s="297"/>
      <c r="K24" s="182" t="s">
        <v>167</v>
      </c>
    </row>
    <row r="25" spans="1:11" s="332" customFormat="1" ht="31.5" customHeight="1" hidden="1">
      <c r="A25" s="330" t="s">
        <v>245</v>
      </c>
      <c r="B25" s="393" t="s">
        <v>392</v>
      </c>
      <c r="C25" s="554" t="s">
        <v>340</v>
      </c>
      <c r="D25" s="333">
        <f t="shared" si="0"/>
        <v>800</v>
      </c>
      <c r="E25" s="331">
        <v>800</v>
      </c>
      <c r="F25" s="331"/>
      <c r="G25" s="331"/>
      <c r="H25" s="331"/>
      <c r="I25" s="331"/>
      <c r="J25" s="331"/>
      <c r="K25" s="182" t="s">
        <v>167</v>
      </c>
    </row>
    <row r="26" spans="1:11" s="332" customFormat="1" ht="33" customHeight="1" hidden="1">
      <c r="A26" s="330" t="s">
        <v>246</v>
      </c>
      <c r="B26" s="393" t="s">
        <v>248</v>
      </c>
      <c r="C26" s="554" t="s">
        <v>340</v>
      </c>
      <c r="D26" s="333">
        <f t="shared" si="0"/>
        <v>1700</v>
      </c>
      <c r="E26" s="331">
        <v>1700</v>
      </c>
      <c r="F26" s="331"/>
      <c r="G26" s="331"/>
      <c r="H26" s="331"/>
      <c r="I26" s="331"/>
      <c r="J26" s="331"/>
      <c r="K26" s="182" t="s">
        <v>167</v>
      </c>
    </row>
    <row r="27" spans="1:11" s="332" customFormat="1" ht="33" customHeight="1" hidden="1">
      <c r="A27" s="330" t="s">
        <v>259</v>
      </c>
      <c r="B27" s="393" t="s">
        <v>257</v>
      </c>
      <c r="C27" s="554" t="s">
        <v>340</v>
      </c>
      <c r="D27" s="333">
        <f t="shared" si="0"/>
        <v>1542</v>
      </c>
      <c r="E27" s="331">
        <v>1542</v>
      </c>
      <c r="F27" s="331"/>
      <c r="G27" s="331"/>
      <c r="H27" s="331"/>
      <c r="I27" s="331"/>
      <c r="J27" s="331"/>
      <c r="K27" s="182" t="s">
        <v>167</v>
      </c>
    </row>
    <row r="28" spans="1:11" ht="33.75" customHeight="1" hidden="1">
      <c r="A28" s="300" t="s">
        <v>276</v>
      </c>
      <c r="B28" s="61" t="s">
        <v>277</v>
      </c>
      <c r="C28" s="554" t="s">
        <v>340</v>
      </c>
      <c r="D28" s="333">
        <f t="shared" si="0"/>
        <v>753.27</v>
      </c>
      <c r="E28" s="296"/>
      <c r="F28" s="297"/>
      <c r="G28" s="297"/>
      <c r="H28" s="297"/>
      <c r="I28" s="297"/>
      <c r="J28" s="297">
        <v>753.27</v>
      </c>
      <c r="K28" s="182" t="s">
        <v>167</v>
      </c>
    </row>
    <row r="29" spans="1:11" ht="33.75" customHeight="1" hidden="1">
      <c r="A29" s="300" t="s">
        <v>300</v>
      </c>
      <c r="B29" s="61" t="s">
        <v>304</v>
      </c>
      <c r="C29" s="554" t="s">
        <v>340</v>
      </c>
      <c r="D29" s="333">
        <f t="shared" si="0"/>
        <v>2000</v>
      </c>
      <c r="E29" s="296"/>
      <c r="F29" s="297"/>
      <c r="G29" s="297"/>
      <c r="H29" s="297"/>
      <c r="I29" s="297"/>
      <c r="J29" s="297">
        <v>2000</v>
      </c>
      <c r="K29" s="182" t="s">
        <v>167</v>
      </c>
    </row>
    <row r="30" spans="1:11" ht="46.5" customHeight="1" hidden="1">
      <c r="A30" s="300" t="s">
        <v>256</v>
      </c>
      <c r="B30" s="143" t="s">
        <v>317</v>
      </c>
      <c r="C30" s="554" t="s">
        <v>340</v>
      </c>
      <c r="D30" s="333">
        <f t="shared" si="0"/>
        <v>700</v>
      </c>
      <c r="E30" s="296"/>
      <c r="F30" s="297"/>
      <c r="G30" s="297"/>
      <c r="H30" s="297"/>
      <c r="I30" s="297"/>
      <c r="J30" s="297">
        <v>700</v>
      </c>
      <c r="K30" s="182" t="s">
        <v>167</v>
      </c>
    </row>
    <row r="31" spans="1:11" ht="41.25" customHeight="1" hidden="1">
      <c r="A31" s="300" t="s">
        <v>285</v>
      </c>
      <c r="B31" s="143" t="s">
        <v>318</v>
      </c>
      <c r="C31" s="554" t="s">
        <v>340</v>
      </c>
      <c r="D31" s="333">
        <f t="shared" si="0"/>
        <v>1300</v>
      </c>
      <c r="E31" s="296"/>
      <c r="F31" s="297"/>
      <c r="G31" s="297"/>
      <c r="H31" s="297"/>
      <c r="I31" s="297"/>
      <c r="J31" s="297">
        <v>1300</v>
      </c>
      <c r="K31" s="182" t="s">
        <v>167</v>
      </c>
    </row>
    <row r="32" spans="1:11" s="575" customFormat="1" ht="131.25" customHeight="1">
      <c r="A32" s="573" t="s">
        <v>242</v>
      </c>
      <c r="B32" s="610" t="s">
        <v>607</v>
      </c>
      <c r="C32" s="572" t="s">
        <v>340</v>
      </c>
      <c r="D32" s="574">
        <f t="shared" si="0"/>
        <v>1542</v>
      </c>
      <c r="E32" s="574">
        <v>1542</v>
      </c>
      <c r="F32" s="574"/>
      <c r="G32" s="574"/>
      <c r="H32" s="574"/>
      <c r="I32" s="574"/>
      <c r="J32" s="574"/>
      <c r="K32" s="572"/>
    </row>
    <row r="33" spans="1:11" ht="2.25" customHeight="1" hidden="1">
      <c r="A33" s="35">
        <v>4</v>
      </c>
      <c r="B33" s="61" t="s">
        <v>168</v>
      </c>
      <c r="C33" s="572" t="s">
        <v>340</v>
      </c>
      <c r="D33" s="574">
        <f t="shared" si="0"/>
        <v>13705</v>
      </c>
      <c r="E33" s="298">
        <v>13705</v>
      </c>
      <c r="F33" s="297"/>
      <c r="G33" s="297"/>
      <c r="H33" s="297"/>
      <c r="I33" s="297"/>
      <c r="J33" s="297"/>
      <c r="K33" s="182" t="s">
        <v>167</v>
      </c>
    </row>
    <row r="34" spans="1:11" ht="131.25">
      <c r="A34" s="611" t="s">
        <v>243</v>
      </c>
      <c r="B34" s="612" t="s">
        <v>688</v>
      </c>
      <c r="C34" s="607" t="s">
        <v>340</v>
      </c>
      <c r="D34" s="333">
        <f t="shared" si="0"/>
        <v>1157.4</v>
      </c>
      <c r="E34" s="333">
        <f>1157.4-1157.4+1157.4</f>
        <v>1157.4</v>
      </c>
      <c r="F34" s="297"/>
      <c r="G34" s="297"/>
      <c r="H34" s="297"/>
      <c r="I34" s="297"/>
      <c r="J34" s="297"/>
      <c r="K34" s="607"/>
    </row>
    <row r="35" spans="1:11" s="336" customFormat="1" ht="42.75" customHeight="1">
      <c r="A35" s="56">
        <v>3</v>
      </c>
      <c r="B35" s="113" t="s">
        <v>393</v>
      </c>
      <c r="C35" s="377" t="s">
        <v>340</v>
      </c>
      <c r="D35" s="334">
        <f>D36</f>
        <v>0</v>
      </c>
      <c r="E35" s="334">
        <f aca="true" t="shared" si="1" ref="E35:J35">E36</f>
        <v>0</v>
      </c>
      <c r="F35" s="334">
        <f t="shared" si="1"/>
        <v>0</v>
      </c>
      <c r="G35" s="334">
        <f t="shared" si="1"/>
        <v>0</v>
      </c>
      <c r="H35" s="334">
        <f t="shared" si="1"/>
        <v>0</v>
      </c>
      <c r="I35" s="334">
        <f t="shared" si="1"/>
        <v>0</v>
      </c>
      <c r="J35" s="334">
        <f t="shared" si="1"/>
        <v>0</v>
      </c>
      <c r="K35" s="182" t="s">
        <v>457</v>
      </c>
    </row>
    <row r="36" spans="1:11" ht="75.75" customHeight="1">
      <c r="A36" s="35" t="s">
        <v>256</v>
      </c>
      <c r="B36" s="61" t="s">
        <v>394</v>
      </c>
      <c r="C36" s="182" t="s">
        <v>340</v>
      </c>
      <c r="D36" s="296">
        <f aca="true" t="shared" si="2" ref="D36:D45">E36+F36+J36</f>
        <v>0</v>
      </c>
      <c r="E36" s="333">
        <f>2000-2000</f>
        <v>0</v>
      </c>
      <c r="F36" s="297"/>
      <c r="G36" s="297"/>
      <c r="H36" s="297"/>
      <c r="I36" s="297"/>
      <c r="J36" s="297"/>
      <c r="K36" s="182"/>
    </row>
    <row r="37" spans="1:11" s="336" customFormat="1" ht="50.25" customHeight="1">
      <c r="A37" s="56">
        <v>4</v>
      </c>
      <c r="B37" s="113" t="s">
        <v>398</v>
      </c>
      <c r="C37" s="377" t="s">
        <v>340</v>
      </c>
      <c r="D37" s="334">
        <f t="shared" si="2"/>
        <v>0</v>
      </c>
      <c r="E37" s="662">
        <f aca="true" t="shared" si="3" ref="E37:J37">E38+E39+E40</f>
        <v>0</v>
      </c>
      <c r="F37" s="335">
        <f t="shared" si="3"/>
        <v>0</v>
      </c>
      <c r="G37" s="335">
        <f t="shared" si="3"/>
        <v>0</v>
      </c>
      <c r="H37" s="335">
        <f t="shared" si="3"/>
        <v>0</v>
      </c>
      <c r="I37" s="335">
        <f t="shared" si="3"/>
        <v>0</v>
      </c>
      <c r="J37" s="335">
        <f t="shared" si="3"/>
        <v>0</v>
      </c>
      <c r="K37" s="182" t="s">
        <v>458</v>
      </c>
    </row>
    <row r="38" spans="1:11" ht="43.5" customHeight="1">
      <c r="A38" s="300" t="s">
        <v>266</v>
      </c>
      <c r="B38" s="61" t="s">
        <v>395</v>
      </c>
      <c r="C38" s="182" t="s">
        <v>340</v>
      </c>
      <c r="D38" s="296">
        <f t="shared" si="2"/>
        <v>0</v>
      </c>
      <c r="E38" s="333">
        <f>13.5-13.5</f>
        <v>0</v>
      </c>
      <c r="F38" s="297"/>
      <c r="G38" s="297"/>
      <c r="H38" s="297"/>
      <c r="I38" s="297"/>
      <c r="J38" s="297"/>
      <c r="K38" s="182"/>
    </row>
    <row r="39" spans="1:11" ht="43.5" customHeight="1">
      <c r="A39" s="300" t="s">
        <v>328</v>
      </c>
      <c r="B39" s="61" t="s">
        <v>396</v>
      </c>
      <c r="C39" s="182" t="s">
        <v>340</v>
      </c>
      <c r="D39" s="296">
        <f t="shared" si="2"/>
        <v>0</v>
      </c>
      <c r="E39" s="333">
        <f>13.5-13.5</f>
        <v>0</v>
      </c>
      <c r="F39" s="297"/>
      <c r="G39" s="297"/>
      <c r="H39" s="297"/>
      <c r="I39" s="297"/>
      <c r="J39" s="297"/>
      <c r="K39" s="182"/>
    </row>
    <row r="40" spans="1:11" ht="43.5" customHeight="1">
      <c r="A40" s="300" t="s">
        <v>329</v>
      </c>
      <c r="B40" s="61" t="s">
        <v>397</v>
      </c>
      <c r="C40" s="182" t="s">
        <v>340</v>
      </c>
      <c r="D40" s="296">
        <f t="shared" si="2"/>
        <v>0</v>
      </c>
      <c r="E40" s="333">
        <f>14.8-14.8</f>
        <v>0</v>
      </c>
      <c r="F40" s="297"/>
      <c r="G40" s="297"/>
      <c r="H40" s="297"/>
      <c r="I40" s="297"/>
      <c r="J40" s="297"/>
      <c r="K40" s="182"/>
    </row>
    <row r="41" spans="1:11" ht="43.5" customHeight="1">
      <c r="A41" s="589" t="s">
        <v>331</v>
      </c>
      <c r="B41" s="113" t="s">
        <v>624</v>
      </c>
      <c r="C41" s="582" t="s">
        <v>340</v>
      </c>
      <c r="D41" s="334">
        <f t="shared" si="2"/>
        <v>29.299999999999997</v>
      </c>
      <c r="E41" s="662">
        <f>E42+E43</f>
        <v>29.299999999999997</v>
      </c>
      <c r="F41" s="142"/>
      <c r="G41" s="142"/>
      <c r="H41" s="142"/>
      <c r="I41" s="142"/>
      <c r="J41" s="142"/>
      <c r="K41" s="587" t="s">
        <v>625</v>
      </c>
    </row>
    <row r="42" spans="1:11" ht="43.5" customHeight="1">
      <c r="A42" s="300" t="s">
        <v>258</v>
      </c>
      <c r="B42" s="61" t="s">
        <v>626</v>
      </c>
      <c r="C42" s="587" t="s">
        <v>340</v>
      </c>
      <c r="D42" s="296">
        <f t="shared" si="2"/>
        <v>18.7</v>
      </c>
      <c r="E42" s="333">
        <v>18.7</v>
      </c>
      <c r="F42" s="297"/>
      <c r="G42" s="297"/>
      <c r="H42" s="297"/>
      <c r="I42" s="297"/>
      <c r="J42" s="297"/>
      <c r="K42" s="587"/>
    </row>
    <row r="43" spans="1:11" ht="43.5" customHeight="1">
      <c r="A43" s="300" t="s">
        <v>278</v>
      </c>
      <c r="B43" s="61" t="s">
        <v>627</v>
      </c>
      <c r="C43" s="587" t="s">
        <v>340</v>
      </c>
      <c r="D43" s="296">
        <f t="shared" si="2"/>
        <v>10.6</v>
      </c>
      <c r="E43" s="333">
        <v>10.6</v>
      </c>
      <c r="F43" s="297"/>
      <c r="G43" s="297"/>
      <c r="H43" s="297"/>
      <c r="I43" s="297"/>
      <c r="J43" s="297"/>
      <c r="K43" s="587"/>
    </row>
    <row r="44" spans="1:11" ht="43.5" customHeight="1">
      <c r="A44" s="589" t="s">
        <v>654</v>
      </c>
      <c r="B44" s="113" t="s">
        <v>655</v>
      </c>
      <c r="C44" s="603" t="s">
        <v>340</v>
      </c>
      <c r="D44" s="334">
        <f t="shared" si="2"/>
        <v>0</v>
      </c>
      <c r="E44" s="662">
        <f>E45</f>
        <v>0</v>
      </c>
      <c r="F44" s="297"/>
      <c r="G44" s="297"/>
      <c r="H44" s="297"/>
      <c r="I44" s="297"/>
      <c r="J44" s="297"/>
      <c r="K44" s="607" t="s">
        <v>657</v>
      </c>
    </row>
    <row r="45" spans="1:11" ht="43.5" customHeight="1">
      <c r="A45" s="300" t="s">
        <v>262</v>
      </c>
      <c r="B45" s="61" t="s">
        <v>656</v>
      </c>
      <c r="C45" s="607" t="s">
        <v>340</v>
      </c>
      <c r="D45" s="296">
        <f t="shared" si="2"/>
        <v>0</v>
      </c>
      <c r="E45" s="298">
        <f>0+5700-5700</f>
        <v>0</v>
      </c>
      <c r="F45" s="297"/>
      <c r="G45" s="297"/>
      <c r="H45" s="297"/>
      <c r="I45" s="297"/>
      <c r="J45" s="297"/>
      <c r="K45" s="607"/>
    </row>
    <row r="46" spans="1:11" ht="24" customHeight="1">
      <c r="A46" s="65"/>
      <c r="B46" s="56" t="s">
        <v>4</v>
      </c>
      <c r="C46" s="66"/>
      <c r="D46" s="142">
        <f>D16+D18+D35+D37+D41+D44</f>
        <v>3688.1000000000004</v>
      </c>
      <c r="E46" s="142">
        <f>E16+E18+E35+E37+E41+E44</f>
        <v>3028.7000000000003</v>
      </c>
      <c r="F46" s="142">
        <f>F16+F18+F35+F37</f>
        <v>320.1</v>
      </c>
      <c r="G46" s="142">
        <f>G16+G18+G35+G37</f>
        <v>0</v>
      </c>
      <c r="H46" s="142">
        <f>H16+H18+H35+H37</f>
        <v>0</v>
      </c>
      <c r="I46" s="142">
        <f>I16+I18+I35+I37</f>
        <v>0</v>
      </c>
      <c r="J46" s="142">
        <f>J16+J18+J35+J37</f>
        <v>339.3</v>
      </c>
      <c r="K46" s="67"/>
    </row>
    <row r="47" spans="1:11" ht="10.5" customHeight="1">
      <c r="A47" s="394"/>
      <c r="B47" s="50"/>
      <c r="C47" s="50"/>
      <c r="D47" s="254"/>
      <c r="E47" s="254"/>
      <c r="F47" s="254"/>
      <c r="G47" s="254"/>
      <c r="H47" s="254"/>
      <c r="I47" s="254"/>
      <c r="J47" s="254"/>
      <c r="K47" s="255"/>
    </row>
    <row r="48" spans="1:11" ht="18.75" hidden="1">
      <c r="A48" s="64"/>
      <c r="B48" s="50"/>
      <c r="C48" s="50"/>
      <c r="D48" s="254"/>
      <c r="E48" s="254"/>
      <c r="F48" s="254"/>
      <c r="G48" s="254"/>
      <c r="H48" s="254"/>
      <c r="I48" s="254"/>
      <c r="J48" s="254"/>
      <c r="K48" s="255"/>
    </row>
    <row r="49" spans="1:11" ht="18.75">
      <c r="A49" s="64"/>
      <c r="B49" s="50"/>
      <c r="C49" s="51"/>
      <c r="D49" s="64"/>
      <c r="E49" s="254"/>
      <c r="F49" s="254"/>
      <c r="G49" s="254"/>
      <c r="H49" s="254"/>
      <c r="I49" s="254"/>
      <c r="J49" s="254"/>
      <c r="K49" s="51"/>
    </row>
    <row r="50" spans="2:15" s="430" customFormat="1" ht="20.25">
      <c r="B50" s="785" t="s">
        <v>15</v>
      </c>
      <c r="C50" s="785"/>
      <c r="D50" s="417"/>
      <c r="E50" s="419"/>
      <c r="F50" s="419"/>
      <c r="J50" s="431"/>
      <c r="K50" s="807" t="s">
        <v>674</v>
      </c>
      <c r="L50" s="807"/>
      <c r="M50" s="807"/>
      <c r="N50" s="807"/>
      <c r="O50" s="807"/>
    </row>
    <row r="51" spans="1:11" ht="15" customHeight="1">
      <c r="A51" s="64"/>
      <c r="B51" s="264"/>
      <c r="C51" s="264"/>
      <c r="D51" s="264"/>
      <c r="E51" s="22"/>
      <c r="F51" s="22"/>
      <c r="G51" s="64"/>
      <c r="H51" s="64"/>
      <c r="I51" s="64"/>
      <c r="J51" s="23"/>
      <c r="K51" s="23"/>
    </row>
    <row r="52" spans="1:11" ht="18.75">
      <c r="A52" s="64"/>
      <c r="B52" s="694" t="s">
        <v>673</v>
      </c>
      <c r="C52" s="694"/>
      <c r="D52" s="25"/>
      <c r="E52" s="22"/>
      <c r="F52" s="22"/>
      <c r="G52" s="22"/>
      <c r="H52" s="22"/>
      <c r="I52" s="22"/>
      <c r="J52" s="253"/>
      <c r="K52" s="253"/>
    </row>
    <row r="53" spans="2:11" ht="15.75">
      <c r="B53" s="27"/>
      <c r="C53" s="27"/>
      <c r="D53" s="26"/>
      <c r="E53" s="26"/>
      <c r="F53" s="26"/>
      <c r="G53" s="26"/>
      <c r="H53" s="26"/>
      <c r="I53" s="26"/>
      <c r="J53" s="15"/>
      <c r="K53" s="15"/>
    </row>
    <row r="54" spans="2:11" ht="15.75">
      <c r="B54" s="28"/>
      <c r="C54" s="29"/>
      <c r="D54" s="30"/>
      <c r="E54" s="26"/>
      <c r="F54" s="26"/>
      <c r="G54" s="26"/>
      <c r="H54" s="26"/>
      <c r="I54" s="26"/>
      <c r="J54" s="15"/>
      <c r="K54" s="15"/>
    </row>
    <row r="55" spans="3:10" ht="15.75">
      <c r="C55" s="30"/>
      <c r="D55" s="26"/>
      <c r="E55" s="26"/>
      <c r="F55" s="26"/>
      <c r="G55" s="26"/>
      <c r="H55" s="26"/>
      <c r="I55" s="26"/>
      <c r="J55" s="26"/>
    </row>
    <row r="56" spans="3:10" ht="15.75">
      <c r="C56" s="31"/>
      <c r="D56" s="26"/>
      <c r="E56" s="26"/>
      <c r="F56" s="26"/>
      <c r="G56" s="26"/>
      <c r="H56" s="26"/>
      <c r="I56" s="26"/>
      <c r="J56" s="26"/>
    </row>
    <row r="58" ht="12.75">
      <c r="H58" s="32"/>
    </row>
  </sheetData>
  <sheetProtection/>
  <mergeCells count="35">
    <mergeCell ref="K50:O50"/>
    <mergeCell ref="J8:K8"/>
    <mergeCell ref="J7:O7"/>
    <mergeCell ref="B50:C50"/>
    <mergeCell ref="B52:C52"/>
    <mergeCell ref="C16:C17"/>
    <mergeCell ref="D16:D17"/>
    <mergeCell ref="E16:E17"/>
    <mergeCell ref="F16:F17"/>
    <mergeCell ref="C18:C19"/>
    <mergeCell ref="D18:D19"/>
    <mergeCell ref="E18:E19"/>
    <mergeCell ref="F18:F19"/>
    <mergeCell ref="K16:K17"/>
    <mergeCell ref="A18:A19"/>
    <mergeCell ref="B18:B19"/>
    <mergeCell ref="K18:K19"/>
    <mergeCell ref="J16:J17"/>
    <mergeCell ref="J18:J19"/>
    <mergeCell ref="G14:G15"/>
    <mergeCell ref="H14:H15"/>
    <mergeCell ref="I14:I15"/>
    <mergeCell ref="J14:J15"/>
    <mergeCell ref="A16:A17"/>
    <mergeCell ref="B16:B17"/>
    <mergeCell ref="A11:K11"/>
    <mergeCell ref="D12:H12"/>
    <mergeCell ref="A13:A15"/>
    <mergeCell ref="B13:B15"/>
    <mergeCell ref="C13:C15"/>
    <mergeCell ref="D13:D15"/>
    <mergeCell ref="E13:J13"/>
    <mergeCell ref="K13:K15"/>
    <mergeCell ref="E14:E15"/>
    <mergeCell ref="F14:F15"/>
  </mergeCells>
  <printOptions horizontalCentered="1"/>
  <pageMargins left="0.3937007874015748" right="0.3937007874015748" top="1.1811023622047245" bottom="0.1968503937007874" header="0" footer="0"/>
  <pageSetup fitToHeight="1" fitToWidth="1" horizontalDpi="600" verticalDpi="600" orientation="landscape" paperSize="9" scale="37" r:id="rId1"/>
</worksheet>
</file>

<file path=xl/worksheets/sheet19.xml><?xml version="1.0" encoding="utf-8"?>
<worksheet xmlns="http://schemas.openxmlformats.org/spreadsheetml/2006/main" xmlns:r="http://schemas.openxmlformats.org/officeDocument/2006/relationships">
  <sheetPr>
    <tabColor theme="0"/>
  </sheetPr>
  <dimension ref="A1:P83"/>
  <sheetViews>
    <sheetView view="pageBreakPreview" zoomScale="75" zoomScaleSheetLayoutView="75" zoomScalePageLayoutView="0" workbookViewId="0" topLeftCell="A1">
      <selection activeCell="K9" sqref="K9:L9"/>
    </sheetView>
  </sheetViews>
  <sheetFormatPr defaultColWidth="9.140625" defaultRowHeight="12.75"/>
  <cols>
    <col min="1" max="1" width="6.140625" style="149" bestFit="1" customWidth="1"/>
    <col min="2" max="2" width="73.7109375" style="0" customWidth="1"/>
    <col min="3" max="3" width="17.7109375" style="0" customWidth="1"/>
    <col min="4" max="4" width="14.421875" style="0" customWidth="1"/>
    <col min="5" max="5" width="13.421875" style="209"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676</v>
      </c>
      <c r="L1" s="344"/>
      <c r="M1" s="2"/>
    </row>
    <row r="2" spans="11:16" ht="15.75">
      <c r="K2" s="12" t="s">
        <v>9</v>
      </c>
      <c r="L2" s="12"/>
      <c r="M2" s="15"/>
      <c r="N2" s="12"/>
      <c r="O2" s="12"/>
      <c r="P2" s="12"/>
    </row>
    <row r="3" spans="11:16" ht="15.75">
      <c r="K3" s="12" t="s">
        <v>301</v>
      </c>
      <c r="L3" s="12"/>
      <c r="M3" s="15"/>
      <c r="N3" s="12"/>
      <c r="O3" s="12"/>
      <c r="P3" s="12"/>
    </row>
    <row r="4" spans="11:16" ht="15.75">
      <c r="K4" s="17" t="s">
        <v>302</v>
      </c>
      <c r="L4" s="17"/>
      <c r="M4" s="15"/>
      <c r="N4" s="12"/>
      <c r="O4" s="12"/>
      <c r="P4" s="12"/>
    </row>
    <row r="5" spans="2:16" ht="15.75">
      <c r="B5" s="1"/>
      <c r="C5" s="1"/>
      <c r="D5" s="1"/>
      <c r="E5" s="210"/>
      <c r="F5" s="1"/>
      <c r="G5" s="1"/>
      <c r="H5" s="1"/>
      <c r="I5" s="1"/>
      <c r="J5" s="2" t="s">
        <v>41</v>
      </c>
      <c r="K5" s="17" t="s">
        <v>564</v>
      </c>
      <c r="L5" s="17"/>
      <c r="M5" s="15"/>
      <c r="N5" s="12"/>
      <c r="O5" s="12"/>
      <c r="P5" s="12"/>
    </row>
    <row r="6" spans="2:16" ht="15.75">
      <c r="B6" s="1"/>
      <c r="C6" s="1"/>
      <c r="D6" s="1"/>
      <c r="E6" s="210"/>
      <c r="F6" s="1"/>
      <c r="G6" s="1"/>
      <c r="H6" s="1"/>
      <c r="I6" s="1"/>
      <c r="J6" s="2"/>
      <c r="K6" s="17" t="s">
        <v>582</v>
      </c>
      <c r="L6" s="17"/>
      <c r="M6" s="245"/>
      <c r="N6" s="12"/>
      <c r="O6" s="12"/>
      <c r="P6" s="12"/>
    </row>
    <row r="7" spans="2:16" ht="15.75">
      <c r="B7" s="1"/>
      <c r="C7" s="1"/>
      <c r="D7" s="1"/>
      <c r="E7" s="210"/>
      <c r="F7" s="1"/>
      <c r="G7" s="1"/>
      <c r="H7" s="1"/>
      <c r="I7" s="1"/>
      <c r="J7" s="2"/>
      <c r="K7" s="17" t="s">
        <v>583</v>
      </c>
      <c r="L7" s="17"/>
      <c r="M7" s="245"/>
      <c r="N7" s="12"/>
      <c r="O7" s="12"/>
      <c r="P7" s="12"/>
    </row>
    <row r="8" spans="2:16" ht="15.75">
      <c r="B8" s="1"/>
      <c r="C8" s="1"/>
      <c r="D8" s="1"/>
      <c r="E8" s="210"/>
      <c r="F8" s="1"/>
      <c r="G8" s="1"/>
      <c r="H8" s="1"/>
      <c r="I8" s="9"/>
      <c r="J8" s="3" t="s">
        <v>45</v>
      </c>
      <c r="K8" s="745" t="s">
        <v>591</v>
      </c>
      <c r="L8" s="745"/>
      <c r="M8" s="745"/>
      <c r="N8" s="745"/>
      <c r="O8" s="745"/>
      <c r="P8" s="745"/>
    </row>
    <row r="9" spans="2:16" ht="15.75">
      <c r="B9" s="1"/>
      <c r="C9" s="1"/>
      <c r="D9" s="1"/>
      <c r="E9" s="210"/>
      <c r="F9" s="1"/>
      <c r="G9" s="1"/>
      <c r="H9" s="1"/>
      <c r="I9" s="9"/>
      <c r="J9" s="3"/>
      <c r="K9" s="745" t="s">
        <v>687</v>
      </c>
      <c r="L9" s="745"/>
      <c r="M9" s="553"/>
      <c r="N9" s="553"/>
      <c r="O9" s="553"/>
      <c r="P9" s="553"/>
    </row>
    <row r="10" spans="2:14" ht="18.75">
      <c r="B10" s="1"/>
      <c r="C10" s="1"/>
      <c r="D10" s="1"/>
      <c r="E10" s="210"/>
      <c r="F10" s="1"/>
      <c r="G10" s="1"/>
      <c r="H10" s="1"/>
      <c r="I10" s="9"/>
      <c r="J10" s="3"/>
      <c r="K10" s="256"/>
      <c r="L10" s="53"/>
      <c r="M10" s="3"/>
      <c r="N10" s="3"/>
    </row>
    <row r="11" spans="2:11" ht="15.75">
      <c r="B11" s="1"/>
      <c r="C11" s="1"/>
      <c r="D11" s="1"/>
      <c r="E11" s="210"/>
      <c r="F11" s="1"/>
      <c r="G11" s="1"/>
      <c r="H11" s="1"/>
      <c r="I11" s="1"/>
      <c r="J11" s="1"/>
      <c r="K11" s="1"/>
    </row>
    <row r="12" spans="1:11" ht="51" customHeight="1">
      <c r="A12" s="389"/>
      <c r="B12" s="825" t="s">
        <v>566</v>
      </c>
      <c r="C12" s="825"/>
      <c r="D12" s="825"/>
      <c r="E12" s="825"/>
      <c r="F12" s="825"/>
      <c r="G12" s="825"/>
      <c r="H12" s="825"/>
      <c r="I12" s="825"/>
      <c r="J12" s="825"/>
      <c r="K12" s="825"/>
    </row>
    <row r="13" spans="1:11" ht="15.75">
      <c r="A13" s="389"/>
      <c r="B13" s="1"/>
      <c r="C13" s="1"/>
      <c r="D13" s="1"/>
      <c r="E13" s="210"/>
      <c r="F13" s="1"/>
      <c r="G13" s="1"/>
      <c r="H13" s="1"/>
      <c r="I13" s="1"/>
      <c r="J13" s="1"/>
      <c r="K13" s="44" t="s">
        <v>249</v>
      </c>
    </row>
    <row r="14" spans="1:11" ht="18.75">
      <c r="A14" s="763" t="s">
        <v>46</v>
      </c>
      <c r="B14" s="765" t="s">
        <v>10</v>
      </c>
      <c r="C14" s="765" t="s">
        <v>11</v>
      </c>
      <c r="D14" s="765" t="s">
        <v>235</v>
      </c>
      <c r="E14" s="766" t="s">
        <v>7</v>
      </c>
      <c r="F14" s="766"/>
      <c r="G14" s="766"/>
      <c r="H14" s="766"/>
      <c r="I14" s="766"/>
      <c r="J14" s="766"/>
      <c r="K14" s="765" t="s">
        <v>13</v>
      </c>
    </row>
    <row r="15" spans="1:11" ht="40.5" customHeight="1">
      <c r="A15" s="764"/>
      <c r="B15" s="765"/>
      <c r="C15" s="765"/>
      <c r="D15" s="765"/>
      <c r="E15" s="194">
        <v>2021</v>
      </c>
      <c r="F15" s="54">
        <v>2022</v>
      </c>
      <c r="G15" s="54">
        <v>2023</v>
      </c>
      <c r="H15" s="150" t="s">
        <v>22</v>
      </c>
      <c r="I15" s="150" t="s">
        <v>23</v>
      </c>
      <c r="J15" s="150" t="s">
        <v>24</v>
      </c>
      <c r="K15" s="765"/>
    </row>
    <row r="16" spans="1:11" ht="37.5" hidden="1">
      <c r="A16" s="752">
        <v>14</v>
      </c>
      <c r="B16" s="753" t="s">
        <v>147</v>
      </c>
      <c r="C16" s="546" t="s">
        <v>14</v>
      </c>
      <c r="D16" s="196">
        <f>E16+F16+G16</f>
        <v>0</v>
      </c>
      <c r="E16" s="196"/>
      <c r="F16" s="196"/>
      <c r="G16" s="196"/>
      <c r="H16" s="475"/>
      <c r="I16" s="475"/>
      <c r="J16" s="475"/>
      <c r="K16" s="756" t="s">
        <v>129</v>
      </c>
    </row>
    <row r="17" spans="1:11" ht="18.75" hidden="1">
      <c r="A17" s="752"/>
      <c r="B17" s="753"/>
      <c r="C17" s="546" t="s">
        <v>296</v>
      </c>
      <c r="D17" s="196">
        <f>E17+F17+G17</f>
        <v>0</v>
      </c>
      <c r="E17" s="196"/>
      <c r="F17" s="196"/>
      <c r="G17" s="196"/>
      <c r="H17" s="475"/>
      <c r="I17" s="475"/>
      <c r="J17" s="475"/>
      <c r="K17" s="758"/>
    </row>
    <row r="18" spans="1:11" ht="37.5" hidden="1">
      <c r="A18" s="546">
        <v>15</v>
      </c>
      <c r="B18" s="143" t="s">
        <v>160</v>
      </c>
      <c r="C18" s="550" t="s">
        <v>14</v>
      </c>
      <c r="D18" s="196">
        <f>E18+F18+G18</f>
        <v>0</v>
      </c>
      <c r="E18" s="225"/>
      <c r="F18" s="225"/>
      <c r="G18" s="225"/>
      <c r="H18" s="480"/>
      <c r="I18" s="480"/>
      <c r="J18" s="480"/>
      <c r="K18" s="550" t="s">
        <v>161</v>
      </c>
    </row>
    <row r="19" spans="1:11" s="470" customFormat="1" ht="46.5" customHeight="1">
      <c r="A19" s="547">
        <v>1</v>
      </c>
      <c r="B19" s="143" t="s">
        <v>558</v>
      </c>
      <c r="C19" s="550" t="s">
        <v>156</v>
      </c>
      <c r="D19" s="196">
        <f>E19+F19+G19</f>
        <v>950</v>
      </c>
      <c r="E19" s="481">
        <f>250+50</f>
        <v>300</v>
      </c>
      <c r="F19" s="225">
        <v>300</v>
      </c>
      <c r="G19" s="225">
        <v>350</v>
      </c>
      <c r="H19" s="468"/>
      <c r="I19" s="468"/>
      <c r="J19" s="468"/>
      <c r="K19" s="550" t="s">
        <v>161</v>
      </c>
    </row>
    <row r="20" spans="1:11" s="470" customFormat="1" ht="46.5" customHeight="1">
      <c r="A20" s="547">
        <v>2</v>
      </c>
      <c r="B20" s="143" t="s">
        <v>565</v>
      </c>
      <c r="C20" s="550" t="s">
        <v>156</v>
      </c>
      <c r="D20" s="196">
        <f>E20+F20+G20</f>
        <v>5207.6</v>
      </c>
      <c r="E20" s="481">
        <f>1500+407.6</f>
        <v>1907.6</v>
      </c>
      <c r="F20" s="481">
        <v>1600</v>
      </c>
      <c r="G20" s="481">
        <v>1700</v>
      </c>
      <c r="H20" s="481">
        <v>1500</v>
      </c>
      <c r="I20" s="481">
        <v>1500</v>
      </c>
      <c r="J20" s="481">
        <v>1500</v>
      </c>
      <c r="K20" s="550" t="s">
        <v>161</v>
      </c>
    </row>
    <row r="21" spans="1:11" ht="35.25" customHeight="1">
      <c r="A21" s="391"/>
      <c r="B21" s="538" t="s">
        <v>4</v>
      </c>
      <c r="C21" s="538"/>
      <c r="D21" s="231">
        <f>D19+D20</f>
        <v>6157.6</v>
      </c>
      <c r="E21" s="231">
        <f>E19+E20</f>
        <v>2207.6</v>
      </c>
      <c r="F21" s="231">
        <f>F19+F20</f>
        <v>1900</v>
      </c>
      <c r="G21" s="231">
        <f>G19+G20</f>
        <v>2050</v>
      </c>
      <c r="H21" s="231" t="e">
        <f>#REF!+#REF!+#REF!+#REF!+#REF!+#REF!+#REF!+#REF!+#REF!+#REF!+#REF!+#REF!+#REF!+#REF!+#REF!</f>
        <v>#REF!</v>
      </c>
      <c r="I21" s="231" t="e">
        <f>#REF!+#REF!+#REF!+#REF!+#REF!+#REF!+#REF!+#REF!+#REF!+#REF!+#REF!+#REF!+#REF!+#REF!+#REF!</f>
        <v>#REF!</v>
      </c>
      <c r="J21" s="231" t="e">
        <f>#REF!+#REF!+#REF!+#REF!+#REF!+#REF!+#REF!+#REF!+#REF!+#REF!+#REF!+#REF!+#REF!+#REF!+#REF!</f>
        <v>#REF!</v>
      </c>
      <c r="K21" s="232"/>
    </row>
    <row r="22" spans="1:11" ht="15.75" customHeight="1">
      <c r="A22" s="389"/>
      <c r="B22" s="4"/>
      <c r="C22" s="4"/>
      <c r="D22" s="152"/>
      <c r="E22" s="211"/>
      <c r="F22" s="152"/>
      <c r="G22" s="152"/>
      <c r="H22" s="152"/>
      <c r="I22" s="152"/>
      <c r="J22" s="152"/>
      <c r="K22" s="153"/>
    </row>
    <row r="23" spans="1:11" ht="22.5" customHeight="1">
      <c r="A23" s="389"/>
      <c r="B23" s="4"/>
      <c r="C23" s="4"/>
      <c r="D23" s="152"/>
      <c r="E23" s="211"/>
      <c r="F23" s="152"/>
      <c r="G23" s="152"/>
      <c r="H23" s="152"/>
      <c r="I23" s="152"/>
      <c r="J23" s="152"/>
      <c r="K23" s="153"/>
    </row>
    <row r="24" spans="1:11" ht="27.75" customHeight="1">
      <c r="A24" s="389"/>
      <c r="B24" s="4"/>
      <c r="C24" s="4"/>
      <c r="D24" s="152"/>
      <c r="E24" s="211"/>
      <c r="F24" s="152"/>
      <c r="G24" s="152"/>
      <c r="H24" s="152"/>
      <c r="I24" s="152"/>
      <c r="J24" s="152"/>
      <c r="K24" s="153"/>
    </row>
    <row r="25" spans="1:15" ht="33" customHeight="1">
      <c r="A25" s="389"/>
      <c r="B25" s="826" t="s">
        <v>15</v>
      </c>
      <c r="C25" s="826"/>
      <c r="D25" s="433"/>
      <c r="E25" s="434"/>
      <c r="F25" s="435"/>
      <c r="G25" s="435"/>
      <c r="H25" s="435"/>
      <c r="I25" s="435"/>
      <c r="J25" s="435"/>
      <c r="K25" s="807" t="s">
        <v>674</v>
      </c>
      <c r="L25" s="807"/>
      <c r="M25" s="807"/>
      <c r="N25" s="807"/>
      <c r="O25" s="807"/>
    </row>
    <row r="26" spans="1:12" ht="18.75">
      <c r="A26" s="389"/>
      <c r="B26" s="274"/>
      <c r="C26" s="47"/>
      <c r="D26" s="392"/>
      <c r="E26" s="275"/>
      <c r="F26" s="276"/>
      <c r="G26" s="276"/>
      <c r="H26" s="276"/>
      <c r="I26" s="276"/>
      <c r="J26" s="276"/>
      <c r="K26" s="47"/>
      <c r="L26" s="1"/>
    </row>
    <row r="27" spans="1:12" ht="18.75">
      <c r="A27" s="389"/>
      <c r="B27" s="694" t="s">
        <v>673</v>
      </c>
      <c r="C27" s="694"/>
      <c r="D27" s="47"/>
      <c r="E27" s="212"/>
      <c r="F27" s="8"/>
      <c r="G27" s="8"/>
      <c r="H27" s="392"/>
      <c r="I27" s="392"/>
      <c r="J27" s="392"/>
      <c r="K27" s="277"/>
      <c r="L27" s="1"/>
    </row>
    <row r="28" spans="2:11" ht="15.75">
      <c r="B28" s="1"/>
      <c r="C28" s="42"/>
      <c r="D28" s="7"/>
      <c r="E28" s="213"/>
      <c r="F28" s="7"/>
      <c r="G28" s="7"/>
      <c r="H28" s="7"/>
      <c r="I28" s="7"/>
      <c r="J28" s="7"/>
      <c r="K28" s="1"/>
    </row>
    <row r="29" spans="2:11" ht="15.75">
      <c r="B29" s="1"/>
      <c r="C29" s="43"/>
      <c r="D29" s="7"/>
      <c r="E29" s="213"/>
      <c r="F29" s="7"/>
      <c r="G29" s="7"/>
      <c r="H29" s="7"/>
      <c r="I29" s="7"/>
      <c r="J29" s="7"/>
      <c r="K29" s="1"/>
    </row>
    <row r="30" spans="2:11" ht="15.75">
      <c r="B30" s="1"/>
      <c r="C30" s="1"/>
      <c r="D30" s="1"/>
      <c r="E30" s="210"/>
      <c r="F30" s="1"/>
      <c r="G30" s="1"/>
      <c r="H30" s="1"/>
      <c r="I30" s="1"/>
      <c r="J30" s="1"/>
      <c r="K30" s="1"/>
    </row>
    <row r="31" spans="2:11" ht="15.75">
      <c r="B31" s="1"/>
      <c r="C31" s="1"/>
      <c r="D31" s="1"/>
      <c r="E31" s="210"/>
      <c r="F31" s="1"/>
      <c r="G31" s="1"/>
      <c r="H31" s="1"/>
      <c r="I31" s="1"/>
      <c r="J31" s="1"/>
      <c r="K31" s="1"/>
    </row>
    <row r="32" spans="2:11" ht="15.75">
      <c r="B32" s="1"/>
      <c r="C32" s="1"/>
      <c r="D32" s="1"/>
      <c r="E32" s="210"/>
      <c r="F32" s="1"/>
      <c r="G32" s="1"/>
      <c r="H32" s="1"/>
      <c r="I32" s="1"/>
      <c r="J32" s="1"/>
      <c r="K32" s="1"/>
    </row>
    <row r="33" spans="2:11" ht="15.75">
      <c r="B33" s="1"/>
      <c r="C33" s="1"/>
      <c r="D33" s="1"/>
      <c r="E33" s="210"/>
      <c r="F33" s="1"/>
      <c r="G33" s="1"/>
      <c r="H33" s="1"/>
      <c r="I33" s="1"/>
      <c r="J33" s="1"/>
      <c r="K33" s="1"/>
    </row>
    <row r="34" spans="2:11" ht="15.75">
      <c r="B34" s="1"/>
      <c r="C34" s="1"/>
      <c r="D34" s="1"/>
      <c r="E34" s="210"/>
      <c r="F34" s="1"/>
      <c r="G34" s="1"/>
      <c r="H34" s="1"/>
      <c r="I34" s="1"/>
      <c r="J34" s="1"/>
      <c r="K34" s="1"/>
    </row>
    <row r="35" spans="2:11" ht="15.75">
      <c r="B35" s="1"/>
      <c r="C35" s="1"/>
      <c r="D35" s="1"/>
      <c r="E35" s="210"/>
      <c r="F35" s="1"/>
      <c r="G35" s="1"/>
      <c r="H35" s="1"/>
      <c r="I35" s="1"/>
      <c r="J35" s="1"/>
      <c r="K35" s="1"/>
    </row>
    <row r="36" spans="2:11" ht="15.75">
      <c r="B36" s="1"/>
      <c r="C36" s="1"/>
      <c r="D36" s="1"/>
      <c r="E36" s="210"/>
      <c r="F36" s="1"/>
      <c r="G36" s="1"/>
      <c r="H36" s="1"/>
      <c r="I36" s="1"/>
      <c r="J36" s="1"/>
      <c r="K36" s="1"/>
    </row>
    <row r="37" spans="2:11" ht="15.75">
      <c r="B37" s="1"/>
      <c r="C37" s="1"/>
      <c r="D37" s="1"/>
      <c r="E37" s="210"/>
      <c r="F37" s="1"/>
      <c r="G37" s="1"/>
      <c r="H37" s="1"/>
      <c r="I37" s="1"/>
      <c r="J37" s="1"/>
      <c r="K37" s="1"/>
    </row>
    <row r="38" spans="2:11" ht="15.75">
      <c r="B38" s="1"/>
      <c r="C38" s="1"/>
      <c r="D38" s="1"/>
      <c r="E38" s="210"/>
      <c r="F38" s="1"/>
      <c r="G38" s="1"/>
      <c r="H38" s="1"/>
      <c r="I38" s="1"/>
      <c r="J38" s="1"/>
      <c r="K38" s="1"/>
    </row>
    <row r="39" spans="2:11" ht="15.75">
      <c r="B39" s="1"/>
      <c r="C39" s="1"/>
      <c r="D39" s="1"/>
      <c r="E39" s="210"/>
      <c r="F39" s="1"/>
      <c r="G39" s="1"/>
      <c r="H39" s="1"/>
      <c r="I39" s="1"/>
      <c r="J39" s="1"/>
      <c r="K39" s="1"/>
    </row>
    <row r="40" spans="2:11" ht="15.75">
      <c r="B40" s="1"/>
      <c r="C40" s="1"/>
      <c r="D40" s="1"/>
      <c r="E40" s="210"/>
      <c r="F40" s="1"/>
      <c r="G40" s="1"/>
      <c r="H40" s="1"/>
      <c r="I40" s="1"/>
      <c r="J40" s="1"/>
      <c r="K40" s="1"/>
    </row>
    <row r="41" spans="2:11" ht="15.75">
      <c r="B41" s="1"/>
      <c r="C41" s="1"/>
      <c r="D41" s="1"/>
      <c r="E41" s="210"/>
      <c r="F41" s="1"/>
      <c r="G41" s="1"/>
      <c r="H41" s="1"/>
      <c r="I41" s="1"/>
      <c r="J41" s="1"/>
      <c r="K41" s="1"/>
    </row>
    <row r="42" spans="2:11" ht="15.75">
      <c r="B42" s="1"/>
      <c r="C42" s="1"/>
      <c r="D42" s="1"/>
      <c r="E42" s="210"/>
      <c r="F42" s="1"/>
      <c r="G42" s="1"/>
      <c r="H42" s="1"/>
      <c r="I42" s="1"/>
      <c r="J42" s="1"/>
      <c r="K42" s="1"/>
    </row>
    <row r="43" spans="2:11" ht="15.75">
      <c r="B43" s="1"/>
      <c r="C43" s="1"/>
      <c r="D43" s="1"/>
      <c r="E43" s="210"/>
      <c r="F43" s="1"/>
      <c r="G43" s="1"/>
      <c r="H43" s="1"/>
      <c r="I43" s="1"/>
      <c r="J43" s="1"/>
      <c r="K43" s="1"/>
    </row>
    <row r="44" spans="2:11" ht="15.75">
      <c r="B44" s="1"/>
      <c r="C44" s="1"/>
      <c r="D44" s="1"/>
      <c r="E44" s="210"/>
      <c r="F44" s="1"/>
      <c r="G44" s="1"/>
      <c r="H44" s="1"/>
      <c r="I44" s="1"/>
      <c r="J44" s="1"/>
      <c r="K44" s="1"/>
    </row>
    <row r="45" spans="2:11" ht="15.75">
      <c r="B45" s="1"/>
      <c r="C45" s="1"/>
      <c r="D45" s="1"/>
      <c r="E45" s="210"/>
      <c r="F45" s="1"/>
      <c r="G45" s="1"/>
      <c r="H45" s="1"/>
      <c r="I45" s="1"/>
      <c r="J45" s="1"/>
      <c r="K45" s="1"/>
    </row>
    <row r="46" spans="2:11" ht="15.75">
      <c r="B46" s="1"/>
      <c r="C46" s="1"/>
      <c r="D46" s="1"/>
      <c r="E46" s="210"/>
      <c r="F46" s="1"/>
      <c r="G46" s="1"/>
      <c r="H46" s="1"/>
      <c r="I46" s="1"/>
      <c r="J46" s="1"/>
      <c r="K46" s="1"/>
    </row>
    <row r="47" spans="2:11" ht="15.75">
      <c r="B47" s="1"/>
      <c r="C47" s="1"/>
      <c r="D47" s="1"/>
      <c r="E47" s="210"/>
      <c r="F47" s="1"/>
      <c r="G47" s="1"/>
      <c r="H47" s="1"/>
      <c r="I47" s="1"/>
      <c r="J47" s="1"/>
      <c r="K47" s="1"/>
    </row>
    <row r="48" spans="2:11" ht="15.75">
      <c r="B48" s="1"/>
      <c r="C48" s="1"/>
      <c r="D48" s="1"/>
      <c r="E48" s="210"/>
      <c r="F48" s="1"/>
      <c r="G48" s="1"/>
      <c r="H48" s="1"/>
      <c r="I48" s="1"/>
      <c r="J48" s="1"/>
      <c r="K48" s="1"/>
    </row>
    <row r="49" spans="2:11" ht="15.75">
      <c r="B49" s="1"/>
      <c r="C49" s="1"/>
      <c r="D49" s="1"/>
      <c r="E49" s="210"/>
      <c r="F49" s="1"/>
      <c r="G49" s="1"/>
      <c r="H49" s="1"/>
      <c r="I49" s="1"/>
      <c r="J49" s="1"/>
      <c r="K49" s="1"/>
    </row>
    <row r="50" spans="2:11" ht="15.75">
      <c r="B50" s="1"/>
      <c r="C50" s="1"/>
      <c r="D50" s="1"/>
      <c r="E50" s="210"/>
      <c r="F50" s="1"/>
      <c r="G50" s="1"/>
      <c r="H50" s="1"/>
      <c r="I50" s="1"/>
      <c r="J50" s="1"/>
      <c r="K50" s="1"/>
    </row>
    <row r="51" spans="2:11" ht="15.75">
      <c r="B51" s="1"/>
      <c r="C51" s="1"/>
      <c r="D51" s="1"/>
      <c r="E51" s="210"/>
      <c r="F51" s="1"/>
      <c r="G51" s="1"/>
      <c r="H51" s="1"/>
      <c r="I51" s="1"/>
      <c r="J51" s="1"/>
      <c r="K51" s="1"/>
    </row>
    <row r="52" spans="2:11" ht="15.75">
      <c r="B52" s="1"/>
      <c r="C52" s="1"/>
      <c r="D52" s="1"/>
      <c r="E52" s="210"/>
      <c r="F52" s="1"/>
      <c r="G52" s="1"/>
      <c r="H52" s="1"/>
      <c r="I52" s="1"/>
      <c r="J52" s="1"/>
      <c r="K52" s="1"/>
    </row>
    <row r="53" spans="2:11" ht="15.75">
      <c r="B53" s="1"/>
      <c r="C53" s="1"/>
      <c r="D53" s="1"/>
      <c r="E53" s="210"/>
      <c r="F53" s="1"/>
      <c r="G53" s="1"/>
      <c r="H53" s="1"/>
      <c r="I53" s="1"/>
      <c r="J53" s="1"/>
      <c r="K53" s="1"/>
    </row>
    <row r="54" spans="2:11" ht="15.75">
      <c r="B54" s="1"/>
      <c r="C54" s="1"/>
      <c r="D54" s="1"/>
      <c r="E54" s="210"/>
      <c r="F54" s="1"/>
      <c r="G54" s="1"/>
      <c r="H54" s="1"/>
      <c r="I54" s="1"/>
      <c r="J54" s="1"/>
      <c r="K54" s="1"/>
    </row>
    <row r="55" spans="2:11" ht="15.75">
      <c r="B55" s="1"/>
      <c r="C55" s="1"/>
      <c r="D55" s="1"/>
      <c r="E55" s="210"/>
      <c r="F55" s="1"/>
      <c r="G55" s="1"/>
      <c r="H55" s="1"/>
      <c r="I55" s="1"/>
      <c r="J55" s="1"/>
      <c r="K55" s="1"/>
    </row>
    <row r="56" spans="2:11" ht="15.75">
      <c r="B56" s="1"/>
      <c r="C56" s="1"/>
      <c r="D56" s="1"/>
      <c r="E56" s="210"/>
      <c r="F56" s="1"/>
      <c r="G56" s="1"/>
      <c r="H56" s="1"/>
      <c r="I56" s="1"/>
      <c r="J56" s="1"/>
      <c r="K56" s="1"/>
    </row>
    <row r="57" spans="2:11" ht="15.75">
      <c r="B57" s="1"/>
      <c r="C57" s="1"/>
      <c r="D57" s="1"/>
      <c r="E57" s="210"/>
      <c r="F57" s="1"/>
      <c r="G57" s="1"/>
      <c r="H57" s="1"/>
      <c r="I57" s="1"/>
      <c r="J57" s="1"/>
      <c r="K57" s="1"/>
    </row>
    <row r="58" spans="2:11" ht="15.75">
      <c r="B58" s="1"/>
      <c r="C58" s="1"/>
      <c r="D58" s="1"/>
      <c r="E58" s="210"/>
      <c r="F58" s="1"/>
      <c r="G58" s="1"/>
      <c r="H58" s="1"/>
      <c r="I58" s="1"/>
      <c r="J58" s="1"/>
      <c r="K58" s="1"/>
    </row>
    <row r="59" spans="2:11" ht="15.75">
      <c r="B59" s="1"/>
      <c r="C59" s="1"/>
      <c r="D59" s="1"/>
      <c r="E59" s="210"/>
      <c r="F59" s="1"/>
      <c r="G59" s="1"/>
      <c r="H59" s="1"/>
      <c r="I59" s="1"/>
      <c r="J59" s="1"/>
      <c r="K59" s="1"/>
    </row>
    <row r="60" spans="2:11" ht="15.75">
      <c r="B60" s="1"/>
      <c r="C60" s="1"/>
      <c r="D60" s="1"/>
      <c r="E60" s="210"/>
      <c r="F60" s="1"/>
      <c r="G60" s="1"/>
      <c r="H60" s="1"/>
      <c r="I60" s="1"/>
      <c r="J60" s="1"/>
      <c r="K60" s="1"/>
    </row>
    <row r="61" spans="2:11" ht="15.75">
      <c r="B61" s="1"/>
      <c r="C61" s="1"/>
      <c r="D61" s="1"/>
      <c r="E61" s="210"/>
      <c r="F61" s="1"/>
      <c r="G61" s="1"/>
      <c r="H61" s="1"/>
      <c r="I61" s="1"/>
      <c r="J61" s="1"/>
      <c r="K61" s="1"/>
    </row>
    <row r="62" spans="2:11" ht="15.75">
      <c r="B62" s="1"/>
      <c r="C62" s="1"/>
      <c r="D62" s="1"/>
      <c r="E62" s="210"/>
      <c r="F62" s="1"/>
      <c r="G62" s="1"/>
      <c r="H62" s="1"/>
      <c r="I62" s="1"/>
      <c r="J62" s="1"/>
      <c r="K62" s="1"/>
    </row>
    <row r="63" spans="2:11" ht="15.75">
      <c r="B63" s="1"/>
      <c r="C63" s="1"/>
      <c r="D63" s="1"/>
      <c r="E63" s="210"/>
      <c r="F63" s="1"/>
      <c r="G63" s="1"/>
      <c r="H63" s="1"/>
      <c r="I63" s="1"/>
      <c r="J63" s="1"/>
      <c r="K63" s="1"/>
    </row>
    <row r="64" spans="2:11" ht="15.75">
      <c r="B64" s="1"/>
      <c r="C64" s="1"/>
      <c r="D64" s="1"/>
      <c r="E64" s="210"/>
      <c r="F64" s="1"/>
      <c r="G64" s="1"/>
      <c r="H64" s="1"/>
      <c r="I64" s="1"/>
      <c r="J64" s="1"/>
      <c r="K64" s="1"/>
    </row>
    <row r="65" spans="2:11" ht="15.75">
      <c r="B65" s="1"/>
      <c r="C65" s="1"/>
      <c r="D65" s="1"/>
      <c r="E65" s="210"/>
      <c r="F65" s="1"/>
      <c r="G65" s="1"/>
      <c r="H65" s="1"/>
      <c r="I65" s="1"/>
      <c r="J65" s="1"/>
      <c r="K65" s="1"/>
    </row>
    <row r="66" spans="2:11" ht="15.75">
      <c r="B66" s="1"/>
      <c r="C66" s="1"/>
      <c r="D66" s="1"/>
      <c r="E66" s="210"/>
      <c r="F66" s="1"/>
      <c r="G66" s="1"/>
      <c r="H66" s="1"/>
      <c r="I66" s="1"/>
      <c r="J66" s="1"/>
      <c r="K66" s="1"/>
    </row>
    <row r="67" spans="2:11" ht="15.75">
      <c r="B67" s="1"/>
      <c r="C67" s="1"/>
      <c r="D67" s="1"/>
      <c r="E67" s="210"/>
      <c r="F67" s="1"/>
      <c r="G67" s="1"/>
      <c r="H67" s="1"/>
      <c r="I67" s="1"/>
      <c r="J67" s="1"/>
      <c r="K67" s="1"/>
    </row>
    <row r="68" spans="2:11" ht="15.75">
      <c r="B68" s="1"/>
      <c r="C68" s="1"/>
      <c r="D68" s="1"/>
      <c r="E68" s="210"/>
      <c r="F68" s="1"/>
      <c r="G68" s="1"/>
      <c r="H68" s="1"/>
      <c r="I68" s="1"/>
      <c r="J68" s="1"/>
      <c r="K68" s="1"/>
    </row>
    <row r="69" spans="2:11" ht="15.75">
      <c r="B69" s="1"/>
      <c r="C69" s="1"/>
      <c r="D69" s="1"/>
      <c r="E69" s="210"/>
      <c r="F69" s="1"/>
      <c r="G69" s="1"/>
      <c r="H69" s="1"/>
      <c r="I69" s="1"/>
      <c r="J69" s="1"/>
      <c r="K69" s="1"/>
    </row>
    <row r="70" spans="2:11" ht="15.75">
      <c r="B70" s="1"/>
      <c r="C70" s="1"/>
      <c r="D70" s="1"/>
      <c r="E70" s="210"/>
      <c r="F70" s="1"/>
      <c r="G70" s="1"/>
      <c r="H70" s="1"/>
      <c r="I70" s="1"/>
      <c r="J70" s="1"/>
      <c r="K70" s="1"/>
    </row>
    <row r="71" spans="2:11" ht="15.75">
      <c r="B71" s="1"/>
      <c r="C71" s="1"/>
      <c r="D71" s="1"/>
      <c r="E71" s="210"/>
      <c r="F71" s="1"/>
      <c r="G71" s="1"/>
      <c r="H71" s="1"/>
      <c r="I71" s="1"/>
      <c r="J71" s="1"/>
      <c r="K71" s="1"/>
    </row>
    <row r="72" spans="2:11" ht="15.75">
      <c r="B72" s="1"/>
      <c r="C72" s="1"/>
      <c r="D72" s="1"/>
      <c r="E72" s="210"/>
      <c r="F72" s="1"/>
      <c r="G72" s="1"/>
      <c r="H72" s="1"/>
      <c r="I72" s="1"/>
      <c r="J72" s="1"/>
      <c r="K72" s="1"/>
    </row>
    <row r="73" spans="2:11" ht="15.75">
      <c r="B73" s="1"/>
      <c r="C73" s="1"/>
      <c r="D73" s="1"/>
      <c r="E73" s="210"/>
      <c r="F73" s="1"/>
      <c r="G73" s="1"/>
      <c r="H73" s="1"/>
      <c r="I73" s="1"/>
      <c r="J73" s="1"/>
      <c r="K73" s="1"/>
    </row>
    <row r="74" spans="2:11" ht="15.75">
      <c r="B74" s="1"/>
      <c r="C74" s="1"/>
      <c r="D74" s="1"/>
      <c r="E74" s="210"/>
      <c r="F74" s="1"/>
      <c r="G74" s="1"/>
      <c r="H74" s="1"/>
      <c r="I74" s="1"/>
      <c r="J74" s="1"/>
      <c r="K74" s="1"/>
    </row>
    <row r="75" spans="2:11" ht="15.75">
      <c r="B75" s="1"/>
      <c r="C75" s="1"/>
      <c r="D75" s="1"/>
      <c r="E75" s="210"/>
      <c r="F75" s="1"/>
      <c r="G75" s="1"/>
      <c r="H75" s="1"/>
      <c r="I75" s="1"/>
      <c r="J75" s="1"/>
      <c r="K75" s="1"/>
    </row>
    <row r="76" spans="2:11" ht="15.75">
      <c r="B76" s="1"/>
      <c r="C76" s="1"/>
      <c r="D76" s="1"/>
      <c r="E76" s="210"/>
      <c r="F76" s="1"/>
      <c r="G76" s="1"/>
      <c r="H76" s="1"/>
      <c r="I76" s="1"/>
      <c r="J76" s="1"/>
      <c r="K76" s="1"/>
    </row>
    <row r="77" spans="2:11" ht="15.75">
      <c r="B77" s="1"/>
      <c r="C77" s="1"/>
      <c r="D77" s="1"/>
      <c r="E77" s="210"/>
      <c r="F77" s="1"/>
      <c r="G77" s="1"/>
      <c r="H77" s="1"/>
      <c r="I77" s="1"/>
      <c r="J77" s="1"/>
      <c r="K77" s="1"/>
    </row>
    <row r="78" spans="2:11" ht="15.75">
      <c r="B78" s="1"/>
      <c r="C78" s="1"/>
      <c r="D78" s="1"/>
      <c r="E78" s="210"/>
      <c r="F78" s="1"/>
      <c r="G78" s="1"/>
      <c r="H78" s="1"/>
      <c r="I78" s="1"/>
      <c r="J78" s="1"/>
      <c r="K78" s="1"/>
    </row>
    <row r="79" spans="2:11" ht="15.75">
      <c r="B79" s="1"/>
      <c r="C79" s="1"/>
      <c r="D79" s="1"/>
      <c r="E79" s="210"/>
      <c r="F79" s="1"/>
      <c r="G79" s="1"/>
      <c r="H79" s="1"/>
      <c r="I79" s="1"/>
      <c r="J79" s="1"/>
      <c r="K79" s="1"/>
    </row>
    <row r="80" spans="2:11" ht="15.75">
      <c r="B80" s="1"/>
      <c r="C80" s="1"/>
      <c r="D80" s="1"/>
      <c r="E80" s="210"/>
      <c r="F80" s="1"/>
      <c r="G80" s="1"/>
      <c r="H80" s="1"/>
      <c r="I80" s="1"/>
      <c r="J80" s="1"/>
      <c r="K80" s="1"/>
    </row>
    <row r="81" spans="2:11" ht="15.75">
      <c r="B81" s="1"/>
      <c r="C81" s="1"/>
      <c r="D81" s="1"/>
      <c r="E81" s="210"/>
      <c r="F81" s="1"/>
      <c r="G81" s="1"/>
      <c r="H81" s="1"/>
      <c r="I81" s="1"/>
      <c r="J81" s="1"/>
      <c r="K81" s="1"/>
    </row>
    <row r="82" spans="2:11" ht="15.75">
      <c r="B82" s="1"/>
      <c r="C82" s="1"/>
      <c r="D82" s="1"/>
      <c r="E82" s="210"/>
      <c r="F82" s="1"/>
      <c r="G82" s="1"/>
      <c r="H82" s="1"/>
      <c r="I82" s="1"/>
      <c r="J82" s="1"/>
      <c r="K82" s="1"/>
    </row>
    <row r="83" spans="2:11" ht="15.75">
      <c r="B83" s="1"/>
      <c r="C83" s="1"/>
      <c r="D83" s="1"/>
      <c r="E83" s="210"/>
      <c r="F83" s="1"/>
      <c r="G83" s="1"/>
      <c r="H83" s="1"/>
      <c r="I83" s="1"/>
      <c r="J83" s="1"/>
      <c r="K83" s="1"/>
    </row>
  </sheetData>
  <sheetProtection/>
  <mergeCells count="15">
    <mergeCell ref="A16:A17"/>
    <mergeCell ref="B16:B17"/>
    <mergeCell ref="K16:K17"/>
    <mergeCell ref="K25:O25"/>
    <mergeCell ref="B27:C27"/>
    <mergeCell ref="B25:C25"/>
    <mergeCell ref="K9:L9"/>
    <mergeCell ref="K8:P8"/>
    <mergeCell ref="B12:K12"/>
    <mergeCell ref="A14:A15"/>
    <mergeCell ref="B14:B15"/>
    <mergeCell ref="C14:C15"/>
    <mergeCell ref="D14:D15"/>
    <mergeCell ref="E14:J14"/>
    <mergeCell ref="K14:K15"/>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2" customWidth="1"/>
    <col min="2" max="2" width="61.57421875" style="242" customWidth="1"/>
    <col min="3" max="3" width="13.421875" style="242" hidden="1" customWidth="1"/>
    <col min="4" max="4" width="16.421875" style="242" customWidth="1"/>
    <col min="5" max="6" width="15.7109375" style="242" customWidth="1"/>
    <col min="7" max="7" width="47.8515625" style="242" customWidth="1"/>
    <col min="8" max="8" width="65.57421875" style="242" customWidth="1"/>
    <col min="9" max="9" width="15.7109375" style="242" customWidth="1"/>
    <col min="10" max="10" width="16.00390625" style="242" customWidth="1"/>
    <col min="11" max="11" width="14.140625" style="242" customWidth="1"/>
    <col min="12" max="12" width="12.421875" style="242" hidden="1" customWidth="1"/>
    <col min="13" max="13" width="14.8515625" style="242" customWidth="1"/>
    <col min="14" max="14" width="14.28125" style="242" customWidth="1"/>
    <col min="15" max="15" width="27.7109375" style="242" customWidth="1"/>
    <col min="16" max="16" width="19.140625" style="242" customWidth="1"/>
    <col min="17" max="17" width="15.140625" style="242" customWidth="1"/>
    <col min="18" max="18" width="14.140625" style="242" customWidth="1"/>
    <col min="19" max="19" width="17.28125" style="242" customWidth="1"/>
    <col min="20" max="20" width="13.8515625" style="242" customWidth="1"/>
  </cols>
  <sheetData>
    <row r="1" ht="11.25" customHeight="1"/>
    <row r="2" spans="1:12" s="242" customFormat="1" ht="42" customHeight="1">
      <c r="A2" s="693" t="s">
        <v>240</v>
      </c>
      <c r="B2" s="693"/>
      <c r="C2" s="693"/>
      <c r="D2" s="693"/>
      <c r="E2" s="693"/>
      <c r="F2" s="693"/>
      <c r="G2" s="693"/>
      <c r="H2" s="693"/>
      <c r="I2" s="258"/>
      <c r="J2" s="258"/>
      <c r="K2" s="258"/>
      <c r="L2" s="258"/>
    </row>
    <row r="3" spans="1:12" s="242" customFormat="1" ht="12.75" customHeight="1">
      <c r="A3" s="233"/>
      <c r="B3" s="233"/>
      <c r="C3" s="233"/>
      <c r="D3" s="259"/>
      <c r="E3" s="233"/>
      <c r="F3" s="233"/>
      <c r="G3" s="258"/>
      <c r="H3" s="299" t="s">
        <v>233</v>
      </c>
      <c r="I3" s="258"/>
      <c r="J3" s="258"/>
      <c r="K3" s="258"/>
      <c r="L3" s="258"/>
    </row>
    <row r="4" spans="1:12" s="242" customFormat="1" ht="6" customHeight="1">
      <c r="A4" s="233"/>
      <c r="B4" s="233"/>
      <c r="C4" s="233"/>
      <c r="D4" s="259"/>
      <c r="E4" s="233"/>
      <c r="F4" s="233"/>
      <c r="G4" s="258"/>
      <c r="H4" s="258"/>
      <c r="I4" s="258"/>
      <c r="J4" s="258"/>
      <c r="K4" s="258"/>
      <c r="L4" s="258"/>
    </row>
    <row r="5" spans="1:12" s="242" customFormat="1" ht="37.5" customHeight="1">
      <c r="A5" s="707" t="s">
        <v>5</v>
      </c>
      <c r="B5" s="690" t="s">
        <v>73</v>
      </c>
      <c r="C5" s="690" t="s">
        <v>11</v>
      </c>
      <c r="D5" s="320" t="s">
        <v>179</v>
      </c>
      <c r="E5" s="320" t="s">
        <v>180</v>
      </c>
      <c r="F5" s="690" t="s">
        <v>231</v>
      </c>
      <c r="G5" s="690" t="s">
        <v>230</v>
      </c>
      <c r="H5" s="319" t="s">
        <v>181</v>
      </c>
      <c r="I5" s="258"/>
      <c r="J5" s="258"/>
      <c r="K5" s="258"/>
      <c r="L5" s="258"/>
    </row>
    <row r="6" spans="1:12" s="242" customFormat="1" ht="15" customHeight="1">
      <c r="A6" s="707"/>
      <c r="B6" s="691"/>
      <c r="C6" s="691"/>
      <c r="D6" s="690">
        <v>2020</v>
      </c>
      <c r="E6" s="690">
        <v>2020</v>
      </c>
      <c r="F6" s="691"/>
      <c r="G6" s="691"/>
      <c r="H6" s="283"/>
      <c r="I6" s="258"/>
      <c r="J6" s="258"/>
      <c r="K6" s="258"/>
      <c r="L6" s="258"/>
    </row>
    <row r="7" spans="1:12" s="242" customFormat="1" ht="15" customHeight="1">
      <c r="A7" s="707"/>
      <c r="B7" s="692"/>
      <c r="C7" s="692"/>
      <c r="D7" s="692"/>
      <c r="E7" s="692"/>
      <c r="F7" s="692"/>
      <c r="G7" s="692"/>
      <c r="H7" s="284"/>
      <c r="I7" s="258"/>
      <c r="J7" s="258"/>
      <c r="K7" s="258"/>
      <c r="L7" s="258"/>
    </row>
    <row r="8" spans="1:12" s="242" customFormat="1" ht="51" customHeight="1">
      <c r="A8" s="182">
        <v>1</v>
      </c>
      <c r="B8" s="138" t="s">
        <v>253</v>
      </c>
      <c r="C8" s="321" t="s">
        <v>14</v>
      </c>
      <c r="D8" s="244">
        <v>100</v>
      </c>
      <c r="E8" s="244">
        <f>100+E9+E10+E11</f>
        <v>9100</v>
      </c>
      <c r="F8" s="244">
        <f>E8-D8</f>
        <v>9000</v>
      </c>
      <c r="G8" s="708" t="s">
        <v>312</v>
      </c>
      <c r="H8" s="697" t="s">
        <v>313</v>
      </c>
      <c r="I8" s="258"/>
      <c r="J8" s="258"/>
      <c r="K8" s="258"/>
      <c r="L8" s="258"/>
    </row>
    <row r="9" spans="1:12" s="242" customFormat="1" ht="48.75" customHeight="1">
      <c r="A9" s="226" t="s">
        <v>162</v>
      </c>
      <c r="B9" s="317" t="s">
        <v>309</v>
      </c>
      <c r="C9" s="321"/>
      <c r="D9" s="244">
        <v>0</v>
      </c>
      <c r="E9" s="244">
        <v>2000</v>
      </c>
      <c r="F9" s="244">
        <f>E9-D9</f>
        <v>2000</v>
      </c>
      <c r="G9" s="709"/>
      <c r="H9" s="698"/>
      <c r="I9" s="258"/>
      <c r="J9" s="258"/>
      <c r="K9" s="258"/>
      <c r="L9" s="258"/>
    </row>
    <row r="10" spans="1:12" s="242" customFormat="1" ht="34.5" customHeight="1">
      <c r="A10" s="226" t="s">
        <v>169</v>
      </c>
      <c r="B10" s="317" t="s">
        <v>310</v>
      </c>
      <c r="C10" s="321"/>
      <c r="D10" s="244">
        <v>0</v>
      </c>
      <c r="E10" s="244">
        <v>6000</v>
      </c>
      <c r="F10" s="244">
        <f>E10-D10</f>
        <v>6000</v>
      </c>
      <c r="G10" s="709"/>
      <c r="H10" s="698"/>
      <c r="I10" s="258"/>
      <c r="J10" s="258"/>
      <c r="K10" s="258"/>
      <c r="L10" s="258"/>
    </row>
    <row r="11" spans="1:12" s="242" customFormat="1" ht="32.25" customHeight="1">
      <c r="A11" s="226" t="s">
        <v>170</v>
      </c>
      <c r="B11" s="317" t="s">
        <v>311</v>
      </c>
      <c r="C11" s="321"/>
      <c r="D11" s="244">
        <v>0</v>
      </c>
      <c r="E11" s="244">
        <v>1000</v>
      </c>
      <c r="F11" s="244">
        <f>E11-D11</f>
        <v>1000</v>
      </c>
      <c r="G11" s="710"/>
      <c r="H11" s="699"/>
      <c r="I11" s="258"/>
      <c r="J11" s="258"/>
      <c r="K11" s="258"/>
      <c r="L11" s="258"/>
    </row>
    <row r="12" spans="1:12" s="242" customFormat="1" ht="48.75" customHeight="1">
      <c r="A12" s="226" t="s">
        <v>314</v>
      </c>
      <c r="B12" s="138" t="s">
        <v>291</v>
      </c>
      <c r="C12" s="321"/>
      <c r="D12" s="244">
        <v>75377.3</v>
      </c>
      <c r="E12" s="244">
        <v>75487.3</v>
      </c>
      <c r="F12" s="244">
        <f>E12-D12</f>
        <v>110</v>
      </c>
      <c r="G12" s="708" t="s">
        <v>316</v>
      </c>
      <c r="H12" s="711" t="s">
        <v>308</v>
      </c>
      <c r="I12" s="258"/>
      <c r="J12" s="258"/>
      <c r="K12" s="258"/>
      <c r="L12" s="258"/>
    </row>
    <row r="13" spans="1:12" s="242" customFormat="1" ht="51.75" customHeight="1">
      <c r="A13" s="226" t="s">
        <v>208</v>
      </c>
      <c r="B13" s="317" t="s">
        <v>315</v>
      </c>
      <c r="C13" s="321"/>
      <c r="D13" s="244">
        <v>0</v>
      </c>
      <c r="E13" s="244">
        <v>110</v>
      </c>
      <c r="F13" s="244">
        <v>110</v>
      </c>
      <c r="G13" s="710"/>
      <c r="H13" s="711"/>
      <c r="I13" s="258"/>
      <c r="J13" s="258"/>
      <c r="K13" s="258"/>
      <c r="L13" s="258"/>
    </row>
    <row r="14" spans="1:12" s="242" customFormat="1" ht="18.75">
      <c r="A14" s="707" t="s">
        <v>4</v>
      </c>
      <c r="B14" s="707"/>
      <c r="C14" s="320"/>
      <c r="D14" s="114">
        <f>D8+D10+D12</f>
        <v>75477.3</v>
      </c>
      <c r="E14" s="114">
        <f>E8+E10+E12</f>
        <v>90587.3</v>
      </c>
      <c r="F14" s="114">
        <f>F8++F12</f>
        <v>9110</v>
      </c>
      <c r="G14" s="263"/>
      <c r="H14" s="263"/>
      <c r="I14" s="258"/>
      <c r="J14" s="258"/>
      <c r="K14" s="258"/>
      <c r="L14" s="258"/>
    </row>
    <row r="15" spans="1:12" s="242" customFormat="1" ht="15.75">
      <c r="A15" s="118"/>
      <c r="B15" s="118"/>
      <c r="C15" s="118"/>
      <c r="D15" s="118"/>
      <c r="E15" s="234"/>
      <c r="F15" s="234"/>
      <c r="G15" s="258"/>
      <c r="H15" s="258"/>
      <c r="I15" s="258"/>
      <c r="J15" s="258"/>
      <c r="K15" s="258"/>
      <c r="L15" s="258"/>
    </row>
    <row r="16" spans="1:12" s="242" customFormat="1" ht="15.75">
      <c r="A16" s="118"/>
      <c r="B16" s="118"/>
      <c r="C16" s="118"/>
      <c r="D16" s="118"/>
      <c r="E16" s="234"/>
      <c r="F16" s="234"/>
      <c r="G16" s="258"/>
      <c r="H16" s="258"/>
      <c r="I16" s="258"/>
      <c r="J16" s="258"/>
      <c r="K16" s="258"/>
      <c r="L16" s="258"/>
    </row>
    <row r="17" spans="1:12" s="242" customFormat="1" ht="15.75">
      <c r="A17" s="118"/>
      <c r="B17" s="118"/>
      <c r="C17" s="118"/>
      <c r="D17" s="118"/>
      <c r="E17" s="119"/>
      <c r="F17" s="119"/>
      <c r="G17" s="258"/>
      <c r="H17" s="258"/>
      <c r="I17" s="258"/>
      <c r="J17" s="258"/>
      <c r="K17" s="258"/>
      <c r="L17" s="258"/>
    </row>
    <row r="18" spans="1:12" s="242" customFormat="1" ht="33" customHeight="1">
      <c r="A18" s="694" t="s">
        <v>306</v>
      </c>
      <c r="B18" s="694"/>
      <c r="C18" s="694"/>
      <c r="D18" s="694"/>
      <c r="E18" s="148"/>
      <c r="F18" s="148"/>
      <c r="G18" s="64"/>
      <c r="H18" s="185" t="s">
        <v>307</v>
      </c>
      <c r="I18" s="258"/>
      <c r="J18" s="258"/>
      <c r="K18" s="258"/>
      <c r="L18" s="258"/>
    </row>
    <row r="19" spans="1:12" s="242" customFormat="1" ht="18.75">
      <c r="A19" s="265"/>
      <c r="B19" s="265"/>
      <c r="C19" s="265"/>
      <c r="D19" s="266"/>
      <c r="E19" s="119"/>
      <c r="F19" s="119"/>
      <c r="G19" s="238"/>
      <c r="H19" s="258"/>
      <c r="I19" s="258"/>
      <c r="J19" s="258"/>
      <c r="K19" s="258"/>
      <c r="L19" s="258"/>
    </row>
    <row r="20" spans="1:12" s="242" customFormat="1" ht="18.75">
      <c r="A20" s="700"/>
      <c r="B20" s="700"/>
      <c r="C20" s="318"/>
      <c r="D20" s="140"/>
      <c r="E20" s="267"/>
      <c r="F20" s="267"/>
      <c r="G20" s="258"/>
      <c r="H20" s="258"/>
      <c r="I20" s="258"/>
      <c r="J20" s="258"/>
      <c r="K20" s="258"/>
      <c r="L20" s="258"/>
    </row>
    <row r="21" s="242" customFormat="1" ht="15">
      <c r="A21" s="250"/>
    </row>
    <row r="22" s="242" customFormat="1" ht="15">
      <c r="A22" s="250"/>
    </row>
    <row r="23" s="242" customFormat="1" ht="15">
      <c r="A23" s="250"/>
    </row>
    <row r="24" s="242" customFormat="1" ht="15">
      <c r="A24" s="250"/>
    </row>
    <row r="25" s="242" customFormat="1" ht="15">
      <c r="A25" s="250"/>
    </row>
    <row r="26" s="242" customFormat="1" ht="15">
      <c r="A26" s="250"/>
    </row>
    <row r="27" s="242" customFormat="1" ht="15">
      <c r="A27" s="250"/>
    </row>
    <row r="28" s="242" customFormat="1" ht="15">
      <c r="A28" s="250"/>
    </row>
    <row r="29" s="242" customFormat="1" ht="15">
      <c r="A29" s="250"/>
    </row>
    <row r="30" s="242"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1">
      <selection activeCell="J9" sqref="J9:K9"/>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677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5"/>
      <c r="I8" s="12"/>
      <c r="J8" s="745" t="s">
        <v>577</v>
      </c>
      <c r="K8" s="745"/>
      <c r="L8" s="745"/>
      <c r="M8" s="745"/>
      <c r="N8" s="745"/>
      <c r="O8" s="745"/>
    </row>
    <row r="9" spans="2:15" ht="15.75">
      <c r="B9" s="15"/>
      <c r="C9" s="15"/>
      <c r="D9" s="15"/>
      <c r="E9" s="15"/>
      <c r="F9" s="15"/>
      <c r="G9" s="15"/>
      <c r="H9" s="16"/>
      <c r="I9" s="12" t="s">
        <v>19</v>
      </c>
      <c r="J9" s="745" t="s">
        <v>687</v>
      </c>
      <c r="K9" s="745"/>
      <c r="L9" s="553"/>
      <c r="M9" s="553"/>
      <c r="N9" s="553"/>
      <c r="O9" s="553"/>
    </row>
    <row r="10" spans="2:12" ht="15.75">
      <c r="B10" s="15"/>
      <c r="C10" s="15"/>
      <c r="D10" s="15"/>
      <c r="E10" s="15"/>
      <c r="F10" s="15"/>
      <c r="G10" s="15"/>
      <c r="H10" s="15"/>
      <c r="I10" s="15"/>
      <c r="J10" s="15"/>
      <c r="K10" s="15"/>
      <c r="L10" s="15"/>
    </row>
    <row r="11" spans="2:12" ht="21.75" customHeight="1">
      <c r="B11" s="735" t="s">
        <v>388</v>
      </c>
      <c r="C11" s="735"/>
      <c r="D11" s="735"/>
      <c r="E11" s="735"/>
      <c r="F11" s="735"/>
      <c r="G11" s="735"/>
      <c r="H11" s="735"/>
      <c r="I11" s="735"/>
      <c r="J11" s="735"/>
      <c r="K11" s="735"/>
      <c r="L11" s="15"/>
    </row>
    <row r="12" spans="2:12" ht="15.75">
      <c r="B12" s="15"/>
      <c r="C12" s="15"/>
      <c r="D12" s="743"/>
      <c r="E12" s="743"/>
      <c r="F12" s="743"/>
      <c r="G12" s="743"/>
      <c r="H12" s="743"/>
      <c r="I12" s="15"/>
      <c r="J12" s="15"/>
      <c r="K12" s="34" t="s">
        <v>249</v>
      </c>
      <c r="L12" s="15"/>
    </row>
    <row r="13" spans="1:12" ht="21" customHeight="1">
      <c r="A13" s="729" t="s">
        <v>26</v>
      </c>
      <c r="B13" s="729" t="s">
        <v>10</v>
      </c>
      <c r="C13" s="729" t="s">
        <v>11</v>
      </c>
      <c r="D13" s="729" t="s">
        <v>239</v>
      </c>
      <c r="E13" s="744" t="s">
        <v>7</v>
      </c>
      <c r="F13" s="744"/>
      <c r="G13" s="744"/>
      <c r="H13" s="744"/>
      <c r="I13" s="744"/>
      <c r="J13" s="786"/>
      <c r="K13" s="732" t="s">
        <v>13</v>
      </c>
      <c r="L13" s="15"/>
    </row>
    <row r="14" spans="1:12" ht="15.75">
      <c r="A14" s="730"/>
      <c r="B14" s="730"/>
      <c r="C14" s="730"/>
      <c r="D14" s="730"/>
      <c r="E14" s="729">
        <v>2021</v>
      </c>
      <c r="F14" s="831">
        <v>2022</v>
      </c>
      <c r="G14" s="744"/>
      <c r="H14" s="786"/>
      <c r="I14" s="729" t="s">
        <v>378</v>
      </c>
      <c r="J14" s="732">
        <v>2023</v>
      </c>
      <c r="K14" s="732"/>
      <c r="L14" s="15"/>
    </row>
    <row r="15" spans="1:12" ht="15.75">
      <c r="A15" s="731"/>
      <c r="B15" s="731"/>
      <c r="C15" s="731"/>
      <c r="D15" s="731"/>
      <c r="E15" s="731"/>
      <c r="F15" s="832"/>
      <c r="G15" s="833"/>
      <c r="H15" s="834"/>
      <c r="I15" s="731"/>
      <c r="J15" s="732"/>
      <c r="K15" s="732"/>
      <c r="L15" s="15"/>
    </row>
    <row r="16" spans="1:12" ht="26.25" customHeight="1">
      <c r="A16" s="736">
        <v>1</v>
      </c>
      <c r="B16" s="835" t="s">
        <v>601</v>
      </c>
      <c r="C16" s="737" t="s">
        <v>340</v>
      </c>
      <c r="D16" s="827">
        <f>E16+F16+J16</f>
        <v>3897</v>
      </c>
      <c r="E16" s="808">
        <f>1500-900</f>
        <v>600</v>
      </c>
      <c r="F16" s="829">
        <v>1600.5</v>
      </c>
      <c r="G16" s="59"/>
      <c r="H16" s="59"/>
      <c r="I16" s="59"/>
      <c r="J16" s="829">
        <v>1696.5</v>
      </c>
      <c r="K16" s="737" t="s">
        <v>452</v>
      </c>
      <c r="L16" s="15"/>
    </row>
    <row r="17" spans="1:14" ht="55.5" customHeight="1">
      <c r="A17" s="736"/>
      <c r="B17" s="836"/>
      <c r="C17" s="739"/>
      <c r="D17" s="828"/>
      <c r="E17" s="809"/>
      <c r="F17" s="830"/>
      <c r="G17" s="59"/>
      <c r="H17" s="59"/>
      <c r="I17" s="59"/>
      <c r="J17" s="830"/>
      <c r="K17" s="738"/>
      <c r="L17" s="15"/>
      <c r="N17" s="52">
        <v>441</v>
      </c>
    </row>
    <row r="18" spans="1:14" ht="56.25" customHeight="1">
      <c r="A18" s="737">
        <v>2</v>
      </c>
      <c r="B18" s="835" t="s">
        <v>507</v>
      </c>
      <c r="C18" s="737" t="s">
        <v>340</v>
      </c>
      <c r="D18" s="827">
        <f>E18+F18+J18</f>
        <v>6143.6</v>
      </c>
      <c r="E18" s="808">
        <f>2250-1052</f>
        <v>1198</v>
      </c>
      <c r="F18" s="808">
        <v>2400.8</v>
      </c>
      <c r="G18" s="449"/>
      <c r="H18" s="449"/>
      <c r="I18" s="449"/>
      <c r="J18" s="808">
        <v>2544.8</v>
      </c>
      <c r="K18" s="738"/>
      <c r="L18" s="15"/>
      <c r="N18" s="52"/>
    </row>
    <row r="19" spans="1:14" ht="38.25" customHeight="1">
      <c r="A19" s="739"/>
      <c r="B19" s="836"/>
      <c r="C19" s="739"/>
      <c r="D19" s="828"/>
      <c r="E19" s="809"/>
      <c r="F19" s="809"/>
      <c r="G19" s="449"/>
      <c r="H19" s="449"/>
      <c r="I19" s="449"/>
      <c r="J19" s="809"/>
      <c r="K19" s="738"/>
      <c r="L19" s="15"/>
      <c r="N19" s="52"/>
    </row>
    <row r="20" spans="1:14" ht="112.5">
      <c r="A20" s="221">
        <v>3</v>
      </c>
      <c r="B20" s="578" t="s">
        <v>663</v>
      </c>
      <c r="C20" s="580" t="s">
        <v>340</v>
      </c>
      <c r="D20" s="579">
        <f>E20+F20+J20</f>
        <v>200</v>
      </c>
      <c r="E20" s="669">
        <f>1000-800</f>
        <v>200</v>
      </c>
      <c r="F20" s="576"/>
      <c r="G20" s="576"/>
      <c r="H20" s="576"/>
      <c r="I20" s="576"/>
      <c r="J20" s="576"/>
      <c r="K20" s="739"/>
      <c r="L20" s="15"/>
      <c r="N20" s="52"/>
    </row>
    <row r="21" spans="1:12" ht="32.25" customHeight="1">
      <c r="A21" s="65"/>
      <c r="B21" s="56" t="s">
        <v>4</v>
      </c>
      <c r="C21" s="66"/>
      <c r="D21" s="58">
        <f aca="true" t="shared" si="0" ref="D21:J21">D16+D18+D20</f>
        <v>10240.6</v>
      </c>
      <c r="E21" s="58">
        <f t="shared" si="0"/>
        <v>1998</v>
      </c>
      <c r="F21" s="58">
        <f t="shared" si="0"/>
        <v>4001.3</v>
      </c>
      <c r="G21" s="58">
        <f t="shared" si="0"/>
        <v>0</v>
      </c>
      <c r="H21" s="58">
        <f t="shared" si="0"/>
        <v>0</v>
      </c>
      <c r="I21" s="58">
        <f t="shared" si="0"/>
        <v>0</v>
      </c>
      <c r="J21" s="58">
        <f t="shared" si="0"/>
        <v>4241.3</v>
      </c>
      <c r="K21" s="67"/>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9.75" customHeight="1">
      <c r="B25" s="50"/>
      <c r="C25" s="51"/>
      <c r="E25" s="19"/>
      <c r="F25" s="19"/>
      <c r="G25" s="19"/>
      <c r="H25" s="19"/>
      <c r="I25" s="19"/>
      <c r="J25" s="19"/>
      <c r="K25" s="51"/>
      <c r="L25" s="15"/>
    </row>
    <row r="26" spans="2:15" ht="18.75" customHeight="1">
      <c r="B26" s="785" t="s">
        <v>15</v>
      </c>
      <c r="C26" s="785"/>
      <c r="D26" s="264"/>
      <c r="E26" s="22"/>
      <c r="F26" s="22"/>
      <c r="G26" s="16"/>
      <c r="H26" s="16"/>
      <c r="I26" s="16"/>
      <c r="J26" s="23"/>
      <c r="K26" s="807" t="s">
        <v>674</v>
      </c>
      <c r="L26" s="807"/>
      <c r="M26" s="807"/>
      <c r="N26" s="807"/>
      <c r="O26" s="807"/>
    </row>
    <row r="27" spans="2:12" ht="14.25" customHeight="1">
      <c r="B27" s="264"/>
      <c r="C27" s="264"/>
      <c r="D27" s="264"/>
      <c r="E27" s="22"/>
      <c r="F27" s="22"/>
      <c r="G27" s="16"/>
      <c r="H27" s="16"/>
      <c r="I27" s="16"/>
      <c r="J27" s="23"/>
      <c r="K27" s="23"/>
      <c r="L27" s="23"/>
    </row>
    <row r="28" spans="2:11" ht="18.75">
      <c r="B28" s="694" t="s">
        <v>673</v>
      </c>
      <c r="C28" s="694"/>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32">
    <mergeCell ref="K26:O26"/>
    <mergeCell ref="K16:K20"/>
    <mergeCell ref="J9:K9"/>
    <mergeCell ref="J8:O8"/>
    <mergeCell ref="B11:K11"/>
    <mergeCell ref="A18:A19"/>
    <mergeCell ref="B16:B17"/>
    <mergeCell ref="B18:B19"/>
    <mergeCell ref="K13:K15"/>
    <mergeCell ref="A13:A15"/>
    <mergeCell ref="D12:H12"/>
    <mergeCell ref="J18:J19"/>
    <mergeCell ref="J14:J15"/>
    <mergeCell ref="C18:C19"/>
    <mergeCell ref="E18:E19"/>
    <mergeCell ref="J16:J17"/>
    <mergeCell ref="F14:H15"/>
    <mergeCell ref="B28:C28"/>
    <mergeCell ref="C16:C17"/>
    <mergeCell ref="D16:D17"/>
    <mergeCell ref="E16:E17"/>
    <mergeCell ref="F16:F17"/>
    <mergeCell ref="C13:C15"/>
    <mergeCell ref="D13:D15"/>
    <mergeCell ref="E13:J13"/>
    <mergeCell ref="B13:B15"/>
    <mergeCell ref="A16:A17"/>
    <mergeCell ref="B26:C26"/>
    <mergeCell ref="E14:E15"/>
    <mergeCell ref="I14:I15"/>
    <mergeCell ref="D18:D19"/>
    <mergeCell ref="F18:F19"/>
  </mergeCells>
  <printOptions horizontalCentered="1"/>
  <pageMargins left="0" right="0" top="1.1811023622047245" bottom="0" header="0" footer="0"/>
  <pageSetup fitToHeight="1" fitToWidth="1" horizontalDpi="600" verticalDpi="600" orientation="landscape" paperSize="9" scale="77"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P143"/>
  <sheetViews>
    <sheetView view="pageBreakPreview" zoomScaleSheetLayoutView="100" zoomScalePageLayoutView="0" workbookViewId="0" topLeftCell="A41">
      <selection activeCell="E53" sqref="E53"/>
    </sheetView>
  </sheetViews>
  <sheetFormatPr defaultColWidth="9.140625" defaultRowHeight="12.75"/>
  <cols>
    <col min="1" max="1" width="5.28125" style="16" customWidth="1"/>
    <col min="2" max="2" width="84.00390625" style="112"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0"/>
      <c r="C1" s="15"/>
      <c r="D1" s="15"/>
      <c r="E1" s="15"/>
      <c r="F1" s="15"/>
      <c r="G1" s="15"/>
      <c r="H1" s="15"/>
      <c r="I1" s="1" t="s">
        <v>696</v>
      </c>
      <c r="J1"/>
      <c r="K1" s="13" t="s">
        <v>16</v>
      </c>
    </row>
    <row r="2" spans="2:14" ht="15.75">
      <c r="B2" s="80"/>
      <c r="C2" s="15"/>
      <c r="D2" s="15"/>
      <c r="E2" s="15"/>
      <c r="F2" s="15"/>
      <c r="G2" s="15"/>
      <c r="H2" s="15"/>
      <c r="I2" s="12" t="s">
        <v>9</v>
      </c>
      <c r="J2" s="12"/>
      <c r="K2" s="15"/>
      <c r="L2" s="12"/>
      <c r="M2" s="12"/>
      <c r="N2" s="12"/>
    </row>
    <row r="3" spans="2:14" ht="15.75">
      <c r="B3" s="80"/>
      <c r="C3" s="15"/>
      <c r="D3" s="15"/>
      <c r="E3" s="15"/>
      <c r="F3" s="15"/>
      <c r="G3" s="15"/>
      <c r="H3" s="15"/>
      <c r="I3" s="12" t="s">
        <v>301</v>
      </c>
      <c r="J3" s="12"/>
      <c r="K3" s="15"/>
      <c r="L3" s="12"/>
      <c r="M3" s="12"/>
      <c r="N3" s="12"/>
    </row>
    <row r="4" spans="2:14" ht="15.75">
      <c r="B4" s="80"/>
      <c r="C4" s="15"/>
      <c r="D4" s="15"/>
      <c r="E4" s="15"/>
      <c r="F4" s="15"/>
      <c r="G4" s="15"/>
      <c r="H4" s="15"/>
      <c r="I4" s="17" t="s">
        <v>302</v>
      </c>
      <c r="J4" s="17"/>
      <c r="K4" s="15"/>
      <c r="L4" s="12"/>
      <c r="M4" s="12"/>
      <c r="N4" s="12"/>
    </row>
    <row r="5" spans="2:14" ht="15.75">
      <c r="B5" s="80"/>
      <c r="C5" s="15"/>
      <c r="D5" s="15"/>
      <c r="E5" s="15"/>
      <c r="F5" s="15"/>
      <c r="G5" s="15"/>
      <c r="H5" s="15"/>
      <c r="I5" s="17" t="s">
        <v>564</v>
      </c>
      <c r="J5" s="17"/>
      <c r="K5" s="15"/>
      <c r="L5" s="12"/>
      <c r="M5" s="12"/>
      <c r="N5" s="12"/>
    </row>
    <row r="6" spans="2:14" ht="15.75">
      <c r="B6" s="80"/>
      <c r="C6" s="15"/>
      <c r="D6" s="15"/>
      <c r="E6" s="15"/>
      <c r="F6" s="15"/>
      <c r="G6" s="15"/>
      <c r="H6" s="15"/>
      <c r="I6" s="17" t="s">
        <v>581</v>
      </c>
      <c r="J6" s="17"/>
      <c r="K6" s="245"/>
      <c r="L6" s="12"/>
      <c r="M6" s="12"/>
      <c r="N6" s="12"/>
    </row>
    <row r="7" spans="2:14" ht="15.75" customHeight="1">
      <c r="B7" s="80"/>
      <c r="C7" s="15"/>
      <c r="D7" s="15"/>
      <c r="E7" s="15"/>
      <c r="F7" s="15"/>
      <c r="G7" s="15"/>
      <c r="H7" s="15"/>
      <c r="I7" s="745" t="s">
        <v>577</v>
      </c>
      <c r="J7" s="745"/>
      <c r="K7" s="745"/>
      <c r="L7" s="745"/>
      <c r="M7" s="745"/>
      <c r="N7" s="745"/>
    </row>
    <row r="8" spans="2:14" ht="15.75" customHeight="1">
      <c r="B8" s="80"/>
      <c r="C8" s="15"/>
      <c r="D8" s="15"/>
      <c r="E8" s="15"/>
      <c r="F8" s="15"/>
      <c r="G8" s="15"/>
      <c r="I8" s="745" t="s">
        <v>689</v>
      </c>
      <c r="J8" s="745"/>
      <c r="K8" s="745"/>
      <c r="L8" s="745"/>
      <c r="M8" s="745"/>
      <c r="N8" s="745"/>
    </row>
    <row r="9" spans="2:14" ht="15.75" customHeight="1">
      <c r="B9" s="80"/>
      <c r="C9" s="15"/>
      <c r="D9" s="15"/>
      <c r="E9" s="15"/>
      <c r="F9" s="15"/>
      <c r="G9" s="15"/>
      <c r="I9" s="745"/>
      <c r="J9" s="745"/>
      <c r="K9" s="17"/>
      <c r="L9" s="17"/>
      <c r="M9" s="17"/>
      <c r="N9" s="17"/>
    </row>
    <row r="10" spans="2:11" ht="15.75">
      <c r="B10" s="80"/>
      <c r="C10" s="15"/>
      <c r="D10" s="15"/>
      <c r="E10" s="15"/>
      <c r="F10" s="15"/>
      <c r="G10" s="15"/>
      <c r="H10" s="15"/>
      <c r="I10" s="15"/>
      <c r="J10" s="15"/>
      <c r="K10" s="15"/>
    </row>
    <row r="11" spans="1:11" ht="18.75" customHeight="1">
      <c r="A11" s="787" t="s">
        <v>389</v>
      </c>
      <c r="B11" s="787"/>
      <c r="C11" s="787"/>
      <c r="D11" s="787"/>
      <c r="E11" s="787"/>
      <c r="F11" s="787"/>
      <c r="G11" s="787"/>
      <c r="H11" s="787"/>
      <c r="I11" s="787"/>
      <c r="J11" s="787"/>
      <c r="K11" s="15"/>
    </row>
    <row r="12" spans="2:11" ht="15.75">
      <c r="B12" s="80"/>
      <c r="C12" s="15"/>
      <c r="D12" s="743"/>
      <c r="E12" s="743"/>
      <c r="F12" s="743"/>
      <c r="G12" s="743"/>
      <c r="H12" s="743"/>
      <c r="I12" s="15"/>
      <c r="J12" s="34" t="s">
        <v>233</v>
      </c>
      <c r="K12" s="15"/>
    </row>
    <row r="13" spans="1:11" ht="15.75" customHeight="1">
      <c r="A13" s="732" t="s">
        <v>5</v>
      </c>
      <c r="B13" s="707" t="s">
        <v>10</v>
      </c>
      <c r="C13" s="831" t="s">
        <v>11</v>
      </c>
      <c r="D13" s="729" t="s">
        <v>237</v>
      </c>
      <c r="E13" s="831" t="s">
        <v>7</v>
      </c>
      <c r="F13" s="744"/>
      <c r="G13" s="744"/>
      <c r="H13" s="744"/>
      <c r="I13" s="744"/>
      <c r="J13" s="732" t="s">
        <v>13</v>
      </c>
      <c r="K13" s="15"/>
    </row>
    <row r="14" spans="1:11" ht="15.75" customHeight="1">
      <c r="A14" s="732"/>
      <c r="B14" s="707"/>
      <c r="C14" s="845"/>
      <c r="D14" s="730"/>
      <c r="E14" s="729">
        <v>2021</v>
      </c>
      <c r="F14" s="831">
        <v>2022</v>
      </c>
      <c r="G14" s="744"/>
      <c r="H14" s="786"/>
      <c r="I14" s="729">
        <v>2023</v>
      </c>
      <c r="J14" s="732"/>
      <c r="K14" s="15"/>
    </row>
    <row r="15" spans="1:11" ht="23.25" customHeight="1">
      <c r="A15" s="732"/>
      <c r="B15" s="707"/>
      <c r="C15" s="832"/>
      <c r="D15" s="731"/>
      <c r="E15" s="731"/>
      <c r="F15" s="832"/>
      <c r="G15" s="833"/>
      <c r="H15" s="834"/>
      <c r="I15" s="731"/>
      <c r="J15" s="732"/>
      <c r="K15" s="15"/>
    </row>
    <row r="16" spans="1:13" ht="56.25" customHeight="1" hidden="1">
      <c r="A16" s="35">
        <v>1</v>
      </c>
      <c r="B16" s="101" t="s">
        <v>0</v>
      </c>
      <c r="C16" s="100" t="s">
        <v>77</v>
      </c>
      <c r="D16" s="63">
        <f aca="true" t="shared" si="0" ref="D16:D22">E16</f>
        <v>10230</v>
      </c>
      <c r="E16" s="79">
        <f>E17+E18+E19+E20+E21+E22</f>
        <v>10230</v>
      </c>
      <c r="F16" s="79">
        <f>F17+F18+F19+F20+F21+F22</f>
        <v>0</v>
      </c>
      <c r="G16" s="79">
        <f>G17+G18+G19+G20+G21+G22</f>
        <v>0</v>
      </c>
      <c r="H16" s="79">
        <f>H17+H18+H19+H20+H21+H22</f>
        <v>0</v>
      </c>
      <c r="I16" s="79">
        <f>I17+I18+I19+I20+I21+I22</f>
        <v>0</v>
      </c>
      <c r="J16" s="35" t="s">
        <v>31</v>
      </c>
      <c r="K16" s="15"/>
      <c r="M16" s="99"/>
    </row>
    <row r="17" spans="1:13" ht="42" customHeight="1" hidden="1">
      <c r="A17" s="35"/>
      <c r="B17" s="197" t="s">
        <v>131</v>
      </c>
      <c r="C17" s="100" t="s">
        <v>77</v>
      </c>
      <c r="D17" s="63">
        <f t="shared" si="0"/>
        <v>1980</v>
      </c>
      <c r="E17" s="198">
        <v>1980</v>
      </c>
      <c r="F17" s="69"/>
      <c r="G17" s="59"/>
      <c r="H17" s="59"/>
      <c r="I17" s="102"/>
      <c r="J17" s="35"/>
      <c r="K17" s="15"/>
      <c r="M17" s="99"/>
    </row>
    <row r="18" spans="1:13" ht="48" customHeight="1" hidden="1">
      <c r="A18" s="35"/>
      <c r="B18" s="197" t="s">
        <v>132</v>
      </c>
      <c r="C18" s="100" t="s">
        <v>77</v>
      </c>
      <c r="D18" s="63">
        <f t="shared" si="0"/>
        <v>3000</v>
      </c>
      <c r="E18" s="198">
        <v>3000</v>
      </c>
      <c r="F18" s="69"/>
      <c r="G18" s="59"/>
      <c r="H18" s="59"/>
      <c r="I18" s="102"/>
      <c r="J18" s="35"/>
      <c r="K18" s="15"/>
      <c r="M18" s="99"/>
    </row>
    <row r="19" spans="1:13" ht="63" customHeight="1" hidden="1">
      <c r="A19" s="35"/>
      <c r="B19" s="197" t="s">
        <v>238</v>
      </c>
      <c r="C19" s="100" t="s">
        <v>77</v>
      </c>
      <c r="D19" s="63">
        <f t="shared" si="0"/>
        <v>3700</v>
      </c>
      <c r="E19" s="170">
        <v>3700</v>
      </c>
      <c r="F19" s="69"/>
      <c r="G19" s="59"/>
      <c r="H19" s="59"/>
      <c r="I19" s="102"/>
      <c r="J19" s="35"/>
      <c r="K19" s="15"/>
      <c r="M19" s="99"/>
    </row>
    <row r="20" spans="1:13" ht="60.75" customHeight="1" hidden="1">
      <c r="A20" s="70"/>
      <c r="B20" s="197" t="s">
        <v>133</v>
      </c>
      <c r="C20" s="100" t="s">
        <v>77</v>
      </c>
      <c r="D20" s="63">
        <f t="shared" si="0"/>
        <v>350</v>
      </c>
      <c r="E20" s="170">
        <v>350</v>
      </c>
      <c r="F20" s="69"/>
      <c r="G20" s="59"/>
      <c r="H20" s="59"/>
      <c r="I20" s="102"/>
      <c r="J20" s="35"/>
      <c r="K20" s="15"/>
      <c r="M20" s="99"/>
    </row>
    <row r="21" spans="1:13" ht="56.25" customHeight="1" hidden="1">
      <c r="A21" s="35"/>
      <c r="B21" s="197" t="s">
        <v>134</v>
      </c>
      <c r="C21" s="100" t="s">
        <v>77</v>
      </c>
      <c r="D21" s="63">
        <f t="shared" si="0"/>
        <v>500</v>
      </c>
      <c r="E21" s="170">
        <v>500</v>
      </c>
      <c r="F21" s="69"/>
      <c r="G21" s="59"/>
      <c r="H21" s="59"/>
      <c r="I21" s="103"/>
      <c r="J21" s="35"/>
      <c r="K21" s="15"/>
      <c r="M21" s="99"/>
    </row>
    <row r="22" spans="1:13" ht="59.25" customHeight="1" hidden="1">
      <c r="A22" s="35"/>
      <c r="B22" s="197" t="s">
        <v>135</v>
      </c>
      <c r="C22" s="100" t="s">
        <v>77</v>
      </c>
      <c r="D22" s="63">
        <f t="shared" si="0"/>
        <v>700</v>
      </c>
      <c r="E22" s="170">
        <v>700</v>
      </c>
      <c r="F22" s="69"/>
      <c r="G22" s="59"/>
      <c r="H22" s="59"/>
      <c r="I22" s="103"/>
      <c r="J22" s="35"/>
      <c r="K22" s="15"/>
      <c r="M22" s="99"/>
    </row>
    <row r="23" spans="1:13" ht="57" customHeight="1" hidden="1">
      <c r="A23" s="35">
        <v>2</v>
      </c>
      <c r="B23" s="101" t="s">
        <v>1</v>
      </c>
      <c r="C23" s="100" t="s">
        <v>77</v>
      </c>
      <c r="D23" s="63">
        <f>E23+F23</f>
        <v>25400</v>
      </c>
      <c r="E23" s="79">
        <f>E24+E25+E26+E27</f>
        <v>10400</v>
      </c>
      <c r="F23" s="79">
        <f>F24+F25+F26+F27+F28+F29+F30</f>
        <v>15000</v>
      </c>
      <c r="G23" s="79">
        <f>G24+G25+G26+G27+G28+G29+G30</f>
        <v>0</v>
      </c>
      <c r="H23" s="79">
        <f>H24+H25+H26+H27+H28+H29+H30</f>
        <v>0</v>
      </c>
      <c r="I23" s="79">
        <f>I24+I25+I26+I27+I28+I29+I30</f>
        <v>0</v>
      </c>
      <c r="J23" s="35" t="s">
        <v>32</v>
      </c>
      <c r="K23" s="15"/>
      <c r="M23" s="99"/>
    </row>
    <row r="24" spans="1:13" ht="45" customHeight="1" hidden="1">
      <c r="A24" s="35"/>
      <c r="B24" s="197" t="s">
        <v>136</v>
      </c>
      <c r="C24" s="100" t="s">
        <v>77</v>
      </c>
      <c r="D24" s="63">
        <f aca="true" t="shared" si="1" ref="D24:D30">E24+F24</f>
        <v>4000</v>
      </c>
      <c r="E24" s="170">
        <v>4000</v>
      </c>
      <c r="F24" s="69"/>
      <c r="G24" s="59"/>
      <c r="H24" s="59"/>
      <c r="I24" s="102"/>
      <c r="J24" s="35"/>
      <c r="K24" s="15"/>
      <c r="M24" s="99"/>
    </row>
    <row r="25" spans="1:13" ht="48" customHeight="1" hidden="1">
      <c r="A25" s="35"/>
      <c r="B25" s="197" t="s">
        <v>137</v>
      </c>
      <c r="C25" s="100" t="s">
        <v>77</v>
      </c>
      <c r="D25" s="63">
        <f t="shared" si="1"/>
        <v>2500</v>
      </c>
      <c r="E25" s="170">
        <v>2500</v>
      </c>
      <c r="F25" s="69"/>
      <c r="G25" s="59"/>
      <c r="H25" s="59"/>
      <c r="I25" s="102"/>
      <c r="J25" s="35"/>
      <c r="K25" s="15"/>
      <c r="M25" s="99"/>
    </row>
    <row r="26" spans="1:13" ht="38.25" customHeight="1" hidden="1">
      <c r="A26" s="35"/>
      <c r="B26" s="197" t="s">
        <v>138</v>
      </c>
      <c r="C26" s="100" t="s">
        <v>77</v>
      </c>
      <c r="D26" s="63">
        <f t="shared" si="1"/>
        <v>3000</v>
      </c>
      <c r="E26" s="170">
        <v>3000</v>
      </c>
      <c r="F26" s="69"/>
      <c r="G26" s="59"/>
      <c r="H26" s="59"/>
      <c r="I26" s="102"/>
      <c r="J26" s="35"/>
      <c r="K26" s="15"/>
      <c r="M26" s="99"/>
    </row>
    <row r="27" spans="1:13" ht="45.75" customHeight="1" hidden="1">
      <c r="A27" s="35"/>
      <c r="B27" s="197" t="s">
        <v>139</v>
      </c>
      <c r="C27" s="100" t="s">
        <v>77</v>
      </c>
      <c r="D27" s="63">
        <f t="shared" si="1"/>
        <v>900</v>
      </c>
      <c r="E27" s="170">
        <v>900</v>
      </c>
      <c r="F27" s="69"/>
      <c r="G27" s="59"/>
      <c r="H27" s="59"/>
      <c r="I27" s="102"/>
      <c r="J27" s="35"/>
      <c r="K27" s="15"/>
      <c r="M27" s="99"/>
    </row>
    <row r="28" spans="1:13" ht="45.75" customHeight="1" hidden="1">
      <c r="A28" s="35"/>
      <c r="B28" s="197" t="s">
        <v>183</v>
      </c>
      <c r="C28" s="100" t="s">
        <v>77</v>
      </c>
      <c r="D28" s="63">
        <f t="shared" si="1"/>
        <v>5000</v>
      </c>
      <c r="E28" s="170"/>
      <c r="F28" s="69">
        <v>5000</v>
      </c>
      <c r="G28" s="59"/>
      <c r="H28" s="59"/>
      <c r="I28" s="102"/>
      <c r="J28" s="35"/>
      <c r="K28" s="15"/>
      <c r="M28" s="99"/>
    </row>
    <row r="29" spans="1:13" ht="45.75" customHeight="1" hidden="1">
      <c r="A29" s="35"/>
      <c r="B29" s="197" t="s">
        <v>184</v>
      </c>
      <c r="C29" s="100" t="s">
        <v>77</v>
      </c>
      <c r="D29" s="63">
        <f t="shared" si="1"/>
        <v>7000</v>
      </c>
      <c r="E29" s="170"/>
      <c r="F29" s="69">
        <v>7000</v>
      </c>
      <c r="G29" s="59"/>
      <c r="H29" s="59"/>
      <c r="I29" s="102"/>
      <c r="J29" s="35"/>
      <c r="K29" s="15"/>
      <c r="M29" s="99"/>
    </row>
    <row r="30" spans="1:13" ht="45.75" customHeight="1" hidden="1">
      <c r="A30" s="35"/>
      <c r="B30" s="197" t="s">
        <v>185</v>
      </c>
      <c r="C30" s="100" t="s">
        <v>77</v>
      </c>
      <c r="D30" s="63">
        <f t="shared" si="1"/>
        <v>3000</v>
      </c>
      <c r="E30" s="170"/>
      <c r="F30" s="69">
        <v>3000</v>
      </c>
      <c r="G30" s="59"/>
      <c r="H30" s="59"/>
      <c r="I30" s="102"/>
      <c r="J30" s="35"/>
      <c r="K30" s="15"/>
      <c r="M30" s="99"/>
    </row>
    <row r="31" spans="1:13" ht="58.5" customHeight="1">
      <c r="A31" s="35">
        <v>1</v>
      </c>
      <c r="B31" s="101" t="s">
        <v>34</v>
      </c>
      <c r="C31" s="100" t="s">
        <v>464</v>
      </c>
      <c r="D31" s="63">
        <f>E31+F31</f>
        <v>0</v>
      </c>
      <c r="E31" s="215">
        <f>E32+E33</f>
        <v>0</v>
      </c>
      <c r="F31" s="58">
        <v>0</v>
      </c>
      <c r="G31" s="58">
        <f>G36+G37</f>
        <v>0</v>
      </c>
      <c r="H31" s="58">
        <f>H36+H37</f>
        <v>0</v>
      </c>
      <c r="I31" s="58">
        <f>I36+I37</f>
        <v>0</v>
      </c>
      <c r="J31" s="35" t="s">
        <v>459</v>
      </c>
      <c r="K31" s="15"/>
      <c r="M31" s="99"/>
    </row>
    <row r="32" spans="1:13" ht="49.5" customHeight="1">
      <c r="A32" s="35"/>
      <c r="B32" s="199" t="s">
        <v>381</v>
      </c>
      <c r="C32" s="100" t="s">
        <v>464</v>
      </c>
      <c r="D32" s="63">
        <f aca="true" t="shared" si="2" ref="D32:D44">E32</f>
        <v>0</v>
      </c>
      <c r="E32" s="200">
        <f>5500-5500</f>
        <v>0</v>
      </c>
      <c r="F32" s="69"/>
      <c r="G32" s="59"/>
      <c r="H32" s="59"/>
      <c r="I32" s="105"/>
      <c r="J32" s="35"/>
      <c r="K32" s="15"/>
      <c r="M32" s="99"/>
    </row>
    <row r="33" spans="1:13" ht="42.75" customHeight="1">
      <c r="A33" s="35"/>
      <c r="B33" s="199" t="s">
        <v>380</v>
      </c>
      <c r="C33" s="100" t="s">
        <v>464</v>
      </c>
      <c r="D33" s="63">
        <f t="shared" si="2"/>
        <v>0</v>
      </c>
      <c r="E33" s="200">
        <f>3200-3200</f>
        <v>0</v>
      </c>
      <c r="F33" s="69"/>
      <c r="G33" s="59"/>
      <c r="H33" s="59"/>
      <c r="I33" s="106" t="s">
        <v>671</v>
      </c>
      <c r="J33" s="35"/>
      <c r="K33" s="15"/>
      <c r="M33" s="99"/>
    </row>
    <row r="34" spans="1:13" ht="36.75" customHeight="1" hidden="1">
      <c r="A34" s="35"/>
      <c r="B34" s="199" t="s">
        <v>140</v>
      </c>
      <c r="C34" s="100" t="s">
        <v>379</v>
      </c>
      <c r="D34" s="63">
        <f t="shared" si="2"/>
        <v>5000</v>
      </c>
      <c r="E34" s="200">
        <v>5000</v>
      </c>
      <c r="F34" s="69"/>
      <c r="G34" s="59"/>
      <c r="H34" s="59"/>
      <c r="I34" s="106"/>
      <c r="J34" s="35"/>
      <c r="K34" s="15"/>
      <c r="M34" s="99"/>
    </row>
    <row r="35" spans="1:13" ht="51" customHeight="1" hidden="1">
      <c r="A35" s="35"/>
      <c r="B35" s="199" t="s">
        <v>141</v>
      </c>
      <c r="C35" s="100" t="s">
        <v>379</v>
      </c>
      <c r="D35" s="63">
        <f t="shared" si="2"/>
        <v>2700</v>
      </c>
      <c r="E35" s="200">
        <v>2700</v>
      </c>
      <c r="F35" s="69"/>
      <c r="G35" s="59"/>
      <c r="H35" s="59"/>
      <c r="I35" s="106"/>
      <c r="J35" s="35"/>
      <c r="K35" s="15"/>
      <c r="M35" s="99"/>
    </row>
    <row r="36" spans="1:13" ht="51" customHeight="1" hidden="1">
      <c r="A36" s="35"/>
      <c r="B36" s="199" t="s">
        <v>211</v>
      </c>
      <c r="C36" s="100" t="s">
        <v>379</v>
      </c>
      <c r="D36" s="63">
        <f>E36+F36</f>
        <v>9987.2</v>
      </c>
      <c r="E36" s="200"/>
      <c r="F36" s="69">
        <v>9987.2</v>
      </c>
      <c r="G36" s="59"/>
      <c r="H36" s="59"/>
      <c r="I36" s="106"/>
      <c r="J36" s="35"/>
      <c r="K36" s="15"/>
      <c r="M36" s="99"/>
    </row>
    <row r="37" spans="1:13" ht="51" customHeight="1" hidden="1">
      <c r="A37" s="35"/>
      <c r="B37" s="199" t="s">
        <v>212</v>
      </c>
      <c r="C37" s="100" t="s">
        <v>379</v>
      </c>
      <c r="D37" s="63">
        <f>E37+F37</f>
        <v>6265.2</v>
      </c>
      <c r="E37" s="200"/>
      <c r="F37" s="69">
        <v>6265.2</v>
      </c>
      <c r="G37" s="59"/>
      <c r="H37" s="59"/>
      <c r="I37" s="106"/>
      <c r="J37" s="35"/>
      <c r="K37" s="15"/>
      <c r="M37" s="99"/>
    </row>
    <row r="38" spans="1:13" ht="51" customHeight="1" hidden="1">
      <c r="A38" s="35"/>
      <c r="B38" s="199" t="s">
        <v>217</v>
      </c>
      <c r="C38" s="100" t="s">
        <v>379</v>
      </c>
      <c r="D38" s="63">
        <f>E38+F38</f>
        <v>85</v>
      </c>
      <c r="E38" s="200">
        <f>0+85</f>
        <v>85</v>
      </c>
      <c r="F38" s="69"/>
      <c r="G38" s="59"/>
      <c r="H38" s="59"/>
      <c r="I38" s="106"/>
      <c r="J38" s="35"/>
      <c r="K38" s="15"/>
      <c r="M38" s="99"/>
    </row>
    <row r="39" spans="1:13" ht="51" customHeight="1" hidden="1">
      <c r="A39" s="35"/>
      <c r="B39" s="199" t="s">
        <v>218</v>
      </c>
      <c r="C39" s="100" t="s">
        <v>379</v>
      </c>
      <c r="D39" s="63">
        <f>E39+F39</f>
        <v>44.1</v>
      </c>
      <c r="E39" s="200">
        <v>44.1</v>
      </c>
      <c r="F39" s="69"/>
      <c r="G39" s="59"/>
      <c r="H39" s="59"/>
      <c r="I39" s="106"/>
      <c r="J39" s="35"/>
      <c r="K39" s="15"/>
      <c r="M39" s="99"/>
    </row>
    <row r="40" spans="1:13" ht="47.25" customHeight="1">
      <c r="A40" s="35">
        <v>2</v>
      </c>
      <c r="B40" s="101" t="s">
        <v>2</v>
      </c>
      <c r="C40" s="100" t="s">
        <v>464</v>
      </c>
      <c r="D40" s="63">
        <f>E40+F40+I40</f>
        <v>0</v>
      </c>
      <c r="E40" s="215">
        <f>E41</f>
        <v>0</v>
      </c>
      <c r="F40" s="79">
        <f>F41+F42+F43+F44</f>
        <v>0</v>
      </c>
      <c r="G40" s="79">
        <f>G41+G42+G43+G44</f>
        <v>0</v>
      </c>
      <c r="H40" s="79">
        <f>H41+H42+H43+H44</f>
        <v>0</v>
      </c>
      <c r="I40" s="79">
        <f>I41+I42+I43+I44</f>
        <v>0</v>
      </c>
      <c r="J40" s="35" t="s">
        <v>460</v>
      </c>
      <c r="K40" s="15"/>
      <c r="M40" s="99"/>
    </row>
    <row r="41" spans="1:13" ht="45" customHeight="1">
      <c r="A41" s="35"/>
      <c r="B41" s="197" t="s">
        <v>382</v>
      </c>
      <c r="C41" s="100" t="s">
        <v>464</v>
      </c>
      <c r="D41" s="63">
        <f t="shared" si="2"/>
        <v>0</v>
      </c>
      <c r="E41" s="201">
        <f>27.52-27.52</f>
        <v>0</v>
      </c>
      <c r="F41" s="69"/>
      <c r="G41" s="59"/>
      <c r="H41" s="59"/>
      <c r="I41" s="104"/>
      <c r="J41" s="35"/>
      <c r="K41" s="15"/>
      <c r="M41" s="99"/>
    </row>
    <row r="42" spans="1:13" ht="67.5" customHeight="1" hidden="1">
      <c r="A42" s="35"/>
      <c r="B42" s="197" t="s">
        <v>142</v>
      </c>
      <c r="C42" s="100" t="s">
        <v>77</v>
      </c>
      <c r="D42" s="63">
        <f t="shared" si="2"/>
        <v>9</v>
      </c>
      <c r="E42" s="201">
        <v>9</v>
      </c>
      <c r="F42" s="69"/>
      <c r="G42" s="59"/>
      <c r="H42" s="59"/>
      <c r="I42" s="104"/>
      <c r="J42" s="35"/>
      <c r="K42" s="15"/>
      <c r="M42" s="99"/>
    </row>
    <row r="43" spans="1:13" ht="67.5" customHeight="1" hidden="1">
      <c r="A43" s="35"/>
      <c r="B43" s="197" t="s">
        <v>148</v>
      </c>
      <c r="C43" s="100" t="s">
        <v>77</v>
      </c>
      <c r="D43" s="63">
        <f t="shared" si="2"/>
        <v>200</v>
      </c>
      <c r="E43" s="201">
        <v>200</v>
      </c>
      <c r="F43" s="69"/>
      <c r="G43" s="59"/>
      <c r="H43" s="59"/>
      <c r="I43" s="104"/>
      <c r="J43" s="35"/>
      <c r="K43" s="15"/>
      <c r="M43" s="99"/>
    </row>
    <row r="44" spans="1:13" ht="63" customHeight="1" hidden="1">
      <c r="A44" s="35"/>
      <c r="B44" s="197" t="s">
        <v>143</v>
      </c>
      <c r="C44" s="100" t="s">
        <v>77</v>
      </c>
      <c r="D44" s="63">
        <f t="shared" si="2"/>
        <v>315.8</v>
      </c>
      <c r="E44" s="201">
        <v>315.8</v>
      </c>
      <c r="F44" s="69"/>
      <c r="G44" s="59"/>
      <c r="H44" s="59"/>
      <c r="I44" s="105"/>
      <c r="J44" s="35"/>
      <c r="K44" s="15"/>
      <c r="M44" s="99"/>
    </row>
    <row r="45" spans="1:13" ht="25.5" customHeight="1">
      <c r="A45" s="737">
        <v>3</v>
      </c>
      <c r="B45" s="843" t="s">
        <v>461</v>
      </c>
      <c r="C45" s="841" t="s">
        <v>464</v>
      </c>
      <c r="D45" s="812">
        <f>E45+F45+I45</f>
        <v>5054.53</v>
      </c>
      <c r="E45" s="846">
        <f>E53+E47+E48+E49+E50+E51</f>
        <v>5054.53</v>
      </c>
      <c r="F45" s="839">
        <f>F53</f>
        <v>0</v>
      </c>
      <c r="G45" s="79" t="e">
        <f>#REF!+#REF!+#REF!+#REF!+#REF!+#REF!+G47+G48+G49+G50+G51+G52+#REF!+#REF!+#REF!+#REF!+#REF!+#REF!</f>
        <v>#REF!</v>
      </c>
      <c r="H45" s="79" t="e">
        <f>#REF!+#REF!+#REF!+#REF!+#REF!+#REF!+H47+H48+H49+H50+H51+H52+#REF!+#REF!+#REF!+#REF!+#REF!+#REF!</f>
        <v>#REF!</v>
      </c>
      <c r="I45" s="839">
        <f>I53</f>
        <v>0</v>
      </c>
      <c r="J45" s="737" t="s">
        <v>462</v>
      </c>
      <c r="K45" s="15"/>
      <c r="M45" s="99"/>
    </row>
    <row r="46" spans="1:13" ht="19.5" customHeight="1">
      <c r="A46" s="739"/>
      <c r="B46" s="844"/>
      <c r="C46" s="842"/>
      <c r="D46" s="813"/>
      <c r="E46" s="847"/>
      <c r="F46" s="840"/>
      <c r="G46" s="311"/>
      <c r="H46" s="311"/>
      <c r="I46" s="840"/>
      <c r="J46" s="739"/>
      <c r="K46" s="15"/>
      <c r="M46" s="99"/>
    </row>
    <row r="47" spans="1:16" s="52" customFormat="1" ht="38.25" customHeight="1">
      <c r="A47" s="495"/>
      <c r="B47" s="197" t="s">
        <v>532</v>
      </c>
      <c r="C47" s="501" t="s">
        <v>464</v>
      </c>
      <c r="D47" s="114">
        <f>E47+F47</f>
        <v>1400</v>
      </c>
      <c r="E47" s="179">
        <f>1400</f>
        <v>1400</v>
      </c>
      <c r="F47" s="110"/>
      <c r="G47" s="496"/>
      <c r="H47" s="496"/>
      <c r="I47" s="502"/>
      <c r="J47" s="495"/>
      <c r="K47" s="486"/>
      <c r="L47" s="500"/>
      <c r="M47" s="500"/>
      <c r="N47" s="500"/>
      <c r="O47" s="500"/>
      <c r="P47" s="500"/>
    </row>
    <row r="48" spans="1:13" ht="38.25" customHeight="1">
      <c r="A48" s="495"/>
      <c r="B48" s="197" t="s">
        <v>186</v>
      </c>
      <c r="C48" s="501" t="s">
        <v>464</v>
      </c>
      <c r="D48" s="114">
        <f>E48+F48</f>
        <v>700</v>
      </c>
      <c r="E48" s="179">
        <f>700</f>
        <v>700</v>
      </c>
      <c r="F48" s="110"/>
      <c r="G48" s="496"/>
      <c r="H48" s="496"/>
      <c r="I48" s="502"/>
      <c r="J48" s="495"/>
      <c r="K48" s="15"/>
      <c r="M48" s="99"/>
    </row>
    <row r="49" spans="1:13" ht="53.25" customHeight="1">
      <c r="A49" s="495"/>
      <c r="B49" s="197" t="s">
        <v>187</v>
      </c>
      <c r="C49" s="501" t="s">
        <v>464</v>
      </c>
      <c r="D49" s="114">
        <f>E49+F49</f>
        <v>1670</v>
      </c>
      <c r="E49" s="179">
        <f>1670</f>
        <v>1670</v>
      </c>
      <c r="F49" s="110"/>
      <c r="G49" s="496"/>
      <c r="H49" s="496"/>
      <c r="I49" s="502"/>
      <c r="J49" s="495"/>
      <c r="K49" s="15"/>
      <c r="M49" s="99"/>
    </row>
    <row r="50" spans="1:13" ht="44.25" customHeight="1">
      <c r="A50" s="495"/>
      <c r="B50" s="197" t="s">
        <v>265</v>
      </c>
      <c r="C50" s="501" t="s">
        <v>464</v>
      </c>
      <c r="D50" s="114">
        <f aca="true" t="shared" si="3" ref="D50:D58">E50</f>
        <v>57</v>
      </c>
      <c r="E50" s="179">
        <f>57</f>
        <v>57</v>
      </c>
      <c r="F50" s="110"/>
      <c r="G50" s="496"/>
      <c r="H50" s="496"/>
      <c r="I50" s="502"/>
      <c r="J50" s="495"/>
      <c r="K50" s="15"/>
      <c r="M50" s="99"/>
    </row>
    <row r="51" spans="1:13" ht="66" customHeight="1">
      <c r="A51" s="495"/>
      <c r="B51" s="197" t="s">
        <v>533</v>
      </c>
      <c r="C51" s="501" t="s">
        <v>464</v>
      </c>
      <c r="D51" s="114">
        <f t="shared" si="3"/>
        <v>1190.53</v>
      </c>
      <c r="E51" s="179">
        <f>1190.53</f>
        <v>1190.53</v>
      </c>
      <c r="F51" s="110"/>
      <c r="G51" s="496"/>
      <c r="H51" s="496"/>
      <c r="I51" s="502"/>
      <c r="J51" s="495"/>
      <c r="K51" s="15"/>
      <c r="M51" s="99"/>
    </row>
    <row r="52" spans="1:13" ht="38.25" customHeight="1" hidden="1">
      <c r="A52" s="495"/>
      <c r="B52" s="197" t="s">
        <v>144</v>
      </c>
      <c r="C52" s="501" t="s">
        <v>77</v>
      </c>
      <c r="D52" s="114">
        <f t="shared" si="3"/>
        <v>399</v>
      </c>
      <c r="E52" s="179">
        <v>399</v>
      </c>
      <c r="F52" s="110"/>
      <c r="G52" s="496"/>
      <c r="H52" s="496"/>
      <c r="I52" s="502"/>
      <c r="J52" s="495"/>
      <c r="K52" s="15"/>
      <c r="M52" s="99"/>
    </row>
    <row r="53" spans="1:16" s="52" customFormat="1" ht="38.25" customHeight="1">
      <c r="A53" s="495"/>
      <c r="B53" s="197" t="s">
        <v>383</v>
      </c>
      <c r="C53" s="501" t="s">
        <v>464</v>
      </c>
      <c r="D53" s="114">
        <f>E53+F53+I53</f>
        <v>37</v>
      </c>
      <c r="E53" s="179">
        <f>37</f>
        <v>37</v>
      </c>
      <c r="F53" s="110"/>
      <c r="G53" s="496"/>
      <c r="H53" s="496"/>
      <c r="I53" s="502"/>
      <c r="J53" s="495"/>
      <c r="K53" s="486"/>
      <c r="L53" s="500"/>
      <c r="M53" s="500"/>
      <c r="N53" s="500"/>
      <c r="O53" s="500"/>
      <c r="P53" s="500"/>
    </row>
    <row r="54" spans="1:13" ht="22.5" customHeight="1" hidden="1">
      <c r="A54" s="737">
        <v>6</v>
      </c>
      <c r="B54" s="843" t="s">
        <v>3</v>
      </c>
      <c r="C54" s="100" t="s">
        <v>77</v>
      </c>
      <c r="D54" s="63">
        <f>E54+F54+I54</f>
        <v>6506.2</v>
      </c>
      <c r="E54" s="215">
        <f>E56+E57+E58</f>
        <v>3006.2</v>
      </c>
      <c r="F54" s="79">
        <f>F56+F57+F58+F59</f>
        <v>3500</v>
      </c>
      <c r="G54" s="79">
        <f>G56+G57+G58+G59</f>
        <v>0</v>
      </c>
      <c r="H54" s="79">
        <f>H56+H57+H58+H59</f>
        <v>0</v>
      </c>
      <c r="I54" s="79"/>
      <c r="J54" s="737" t="s">
        <v>33</v>
      </c>
      <c r="K54" s="15"/>
      <c r="M54" s="99"/>
    </row>
    <row r="55" spans="1:13" ht="30" customHeight="1" hidden="1">
      <c r="A55" s="739"/>
      <c r="B55" s="844"/>
      <c r="C55" s="100" t="s">
        <v>296</v>
      </c>
      <c r="D55" s="63">
        <f>E55+F55+I55</f>
        <v>3500</v>
      </c>
      <c r="E55" s="215"/>
      <c r="F55" s="79"/>
      <c r="G55" s="311"/>
      <c r="H55" s="311"/>
      <c r="I55" s="79">
        <v>3500</v>
      </c>
      <c r="J55" s="739"/>
      <c r="K55" s="15"/>
      <c r="M55" s="99"/>
    </row>
    <row r="56" spans="1:13" ht="56.25" customHeight="1" hidden="1">
      <c r="A56" s="35"/>
      <c r="B56" s="202" t="s">
        <v>91</v>
      </c>
      <c r="C56" s="100" t="s">
        <v>77</v>
      </c>
      <c r="D56" s="63">
        <f t="shared" si="3"/>
        <v>1812</v>
      </c>
      <c r="E56" s="170">
        <v>1812</v>
      </c>
      <c r="F56" s="173"/>
      <c r="G56" s="59"/>
      <c r="H56" s="59"/>
      <c r="I56" s="103"/>
      <c r="J56" s="35"/>
      <c r="K56" s="15"/>
      <c r="M56" s="99"/>
    </row>
    <row r="57" spans="1:13" ht="53.25" customHeight="1" hidden="1">
      <c r="A57" s="35"/>
      <c r="B57" s="202" t="s">
        <v>92</v>
      </c>
      <c r="C57" s="100" t="s">
        <v>77</v>
      </c>
      <c r="D57" s="63">
        <f t="shared" si="3"/>
        <v>597.1</v>
      </c>
      <c r="E57" s="170">
        <v>597.1</v>
      </c>
      <c r="F57" s="173"/>
      <c r="G57" s="59"/>
      <c r="H57" s="59"/>
      <c r="I57" s="103"/>
      <c r="J57" s="35"/>
      <c r="K57" s="15"/>
      <c r="M57" s="99"/>
    </row>
    <row r="58" spans="1:13" ht="45" customHeight="1" hidden="1">
      <c r="A58" s="35"/>
      <c r="B58" s="202" t="s">
        <v>93</v>
      </c>
      <c r="C58" s="100" t="s">
        <v>77</v>
      </c>
      <c r="D58" s="63">
        <f t="shared" si="3"/>
        <v>597.1</v>
      </c>
      <c r="E58" s="170">
        <v>597.1</v>
      </c>
      <c r="F58" s="173"/>
      <c r="G58" s="59"/>
      <c r="H58" s="59"/>
      <c r="I58" s="103"/>
      <c r="J58" s="35"/>
      <c r="K58" s="15"/>
      <c r="M58" s="99"/>
    </row>
    <row r="59" spans="1:13" ht="19.5" customHeight="1" hidden="1">
      <c r="A59" s="737"/>
      <c r="B59" s="837" t="s">
        <v>210</v>
      </c>
      <c r="C59" s="100" t="s">
        <v>77</v>
      </c>
      <c r="D59" s="63">
        <f>E59+F59</f>
        <v>3500</v>
      </c>
      <c r="E59" s="170"/>
      <c r="F59" s="173">
        <v>3500</v>
      </c>
      <c r="G59" s="59"/>
      <c r="H59" s="59"/>
      <c r="I59" s="103"/>
      <c r="J59" s="737"/>
      <c r="K59" s="15"/>
      <c r="M59" s="99"/>
    </row>
    <row r="60" spans="1:13" ht="20.25" customHeight="1" hidden="1">
      <c r="A60" s="739"/>
      <c r="B60" s="838"/>
      <c r="C60" s="100" t="s">
        <v>296</v>
      </c>
      <c r="D60" s="63">
        <f>E60+F60+I60</f>
        <v>3500</v>
      </c>
      <c r="E60" s="170"/>
      <c r="F60" s="173"/>
      <c r="G60" s="59"/>
      <c r="H60" s="59"/>
      <c r="I60" s="103">
        <v>3500</v>
      </c>
      <c r="J60" s="739"/>
      <c r="K60" s="15"/>
      <c r="M60" s="99"/>
    </row>
    <row r="61" spans="1:13" ht="58.5" customHeight="1">
      <c r="A61" s="35">
        <v>4</v>
      </c>
      <c r="B61" s="101" t="s">
        <v>30</v>
      </c>
      <c r="C61" s="100" t="s">
        <v>464</v>
      </c>
      <c r="D61" s="63">
        <f>E61+F61+I61</f>
        <v>0</v>
      </c>
      <c r="E61" s="215">
        <f>E62+E63+E64</f>
        <v>0</v>
      </c>
      <c r="F61" s="79">
        <f>F62+F63+F64</f>
        <v>0</v>
      </c>
      <c r="G61" s="79">
        <f>G62+G63+G64+G65+G66+G67+G68+G69+G70+G71+G72+G73+G74+G75+G76+G77+G78+G79+G80+G81+G82+G83+G84+G85+G86+G87+G88+G89+G90+G91+G92+G93+G94+G95+G96+G97+G98+G99+G100+G101+G102+G103+G104+G105+G106+G107+G108+G109+G110+G111+G112+G113+G114+G115</f>
        <v>0</v>
      </c>
      <c r="H61" s="79">
        <f>H62+H63+H64+H65+H66+H67+H68+H69+H70+H71+H72+H73+H74+H75+H76+H77+H78+H79+H80+H81+H82+H83+H84+H85+H86+H87+H88+H89+H90+H91+H92+H93+H94+H95+H96+H97+H98+H99+H100+H101+H102+H103+H104+H105+H106+H107+H108+H109+H110+H111+H112+H113+H114+H115</f>
        <v>0</v>
      </c>
      <c r="I61" s="79">
        <f>I62+I63+I64</f>
        <v>0</v>
      </c>
      <c r="J61" s="35" t="s">
        <v>454</v>
      </c>
      <c r="K61" s="15"/>
      <c r="M61" s="99"/>
    </row>
    <row r="62" spans="1:13" ht="81.75" customHeight="1">
      <c r="A62" s="35"/>
      <c r="B62" s="203" t="s">
        <v>384</v>
      </c>
      <c r="C62" s="100" t="s">
        <v>464</v>
      </c>
      <c r="D62" s="180">
        <f>E62+F62+I62</f>
        <v>0</v>
      </c>
      <c r="E62" s="170">
        <f>1500-1500</f>
        <v>0</v>
      </c>
      <c r="F62" s="177"/>
      <c r="G62" s="59"/>
      <c r="H62" s="59"/>
      <c r="I62" s="107"/>
      <c r="J62" s="35"/>
      <c r="K62" s="15"/>
      <c r="M62" s="99"/>
    </row>
    <row r="63" spans="1:13" ht="72.75" customHeight="1">
      <c r="A63" s="35"/>
      <c r="B63" s="203" t="s">
        <v>385</v>
      </c>
      <c r="C63" s="100" t="s">
        <v>464</v>
      </c>
      <c r="D63" s="180">
        <f aca="true" t="shared" si="4" ref="D63:D92">E63+F63+I63</f>
        <v>0</v>
      </c>
      <c r="E63" s="170">
        <f>1500-1500</f>
        <v>0</v>
      </c>
      <c r="F63" s="177"/>
      <c r="G63" s="59"/>
      <c r="H63" s="59"/>
      <c r="I63" s="107"/>
      <c r="J63" s="35"/>
      <c r="K63" s="15"/>
      <c r="M63" s="99"/>
    </row>
    <row r="64" spans="1:13" ht="60.75" customHeight="1">
      <c r="A64" s="35"/>
      <c r="B64" s="395" t="s">
        <v>386</v>
      </c>
      <c r="C64" s="100" t="s">
        <v>464</v>
      </c>
      <c r="D64" s="180">
        <f t="shared" si="4"/>
        <v>0</v>
      </c>
      <c r="E64" s="170">
        <f>2700-2700</f>
        <v>0</v>
      </c>
      <c r="F64" s="177"/>
      <c r="G64" s="59"/>
      <c r="H64" s="59"/>
      <c r="I64" s="107"/>
      <c r="J64" s="35"/>
      <c r="K64" s="15"/>
      <c r="M64" s="99"/>
    </row>
    <row r="65" spans="1:13" ht="58.5" customHeight="1" hidden="1">
      <c r="A65" s="35"/>
      <c r="B65" s="396" t="s">
        <v>94</v>
      </c>
      <c r="C65" s="100" t="s">
        <v>77</v>
      </c>
      <c r="D65" s="180">
        <f t="shared" si="4"/>
        <v>650</v>
      </c>
      <c r="E65" s="170">
        <v>650</v>
      </c>
      <c r="F65" s="177"/>
      <c r="G65" s="59"/>
      <c r="H65" s="59"/>
      <c r="I65" s="107"/>
      <c r="J65" s="35"/>
      <c r="K65" s="15"/>
      <c r="M65" s="99"/>
    </row>
    <row r="66" spans="1:13" ht="38.25" customHeight="1" hidden="1">
      <c r="A66" s="35"/>
      <c r="B66" s="396" t="s">
        <v>95</v>
      </c>
      <c r="C66" s="100" t="s">
        <v>77</v>
      </c>
      <c r="D66" s="180">
        <f t="shared" si="4"/>
        <v>1100</v>
      </c>
      <c r="E66" s="170">
        <v>1100</v>
      </c>
      <c r="F66" s="177"/>
      <c r="G66" s="59"/>
      <c r="H66" s="59"/>
      <c r="I66" s="107"/>
      <c r="J66" s="35"/>
      <c r="K66" s="15"/>
      <c r="M66" s="99"/>
    </row>
    <row r="67" spans="1:13" ht="93" customHeight="1" hidden="1">
      <c r="A67" s="35"/>
      <c r="B67" s="204" t="s">
        <v>96</v>
      </c>
      <c r="C67" s="100" t="s">
        <v>77</v>
      </c>
      <c r="D67" s="180">
        <f t="shared" si="4"/>
        <v>30</v>
      </c>
      <c r="E67" s="178">
        <v>30</v>
      </c>
      <c r="F67" s="177"/>
      <c r="G67" s="59"/>
      <c r="H67" s="59"/>
      <c r="I67" s="107"/>
      <c r="J67" s="35"/>
      <c r="K67" s="15"/>
      <c r="M67" s="99"/>
    </row>
    <row r="68" spans="1:13" ht="58.5" customHeight="1" hidden="1">
      <c r="A68" s="35"/>
      <c r="B68" s="204" t="s">
        <v>97</v>
      </c>
      <c r="C68" s="100" t="s">
        <v>77</v>
      </c>
      <c r="D68" s="180">
        <f t="shared" si="4"/>
        <v>6500</v>
      </c>
      <c r="E68" s="179">
        <v>6500</v>
      </c>
      <c r="F68" s="177"/>
      <c r="G68" s="59"/>
      <c r="H68" s="59"/>
      <c r="I68" s="107"/>
      <c r="J68" s="35"/>
      <c r="K68" s="15"/>
      <c r="M68" s="99"/>
    </row>
    <row r="69" spans="1:13" ht="58.5" customHeight="1" hidden="1">
      <c r="A69" s="35"/>
      <c r="B69" s="397" t="s">
        <v>98</v>
      </c>
      <c r="C69" s="100" t="s">
        <v>77</v>
      </c>
      <c r="D69" s="180">
        <f t="shared" si="4"/>
        <v>1535</v>
      </c>
      <c r="E69" s="179">
        <v>1535</v>
      </c>
      <c r="F69" s="177"/>
      <c r="G69" s="59"/>
      <c r="H69" s="59"/>
      <c r="I69" s="107"/>
      <c r="J69" s="35"/>
      <c r="K69" s="15"/>
      <c r="M69" s="99"/>
    </row>
    <row r="70" spans="1:13" ht="58.5" customHeight="1" hidden="1">
      <c r="A70" s="35"/>
      <c r="B70" s="205" t="s">
        <v>99</v>
      </c>
      <c r="C70" s="100" t="s">
        <v>77</v>
      </c>
      <c r="D70" s="180">
        <f t="shared" si="4"/>
        <v>70</v>
      </c>
      <c r="E70" s="179">
        <v>70</v>
      </c>
      <c r="F70" s="177"/>
      <c r="G70" s="59"/>
      <c r="H70" s="59"/>
      <c r="I70" s="107"/>
      <c r="J70" s="35"/>
      <c r="K70" s="15"/>
      <c r="M70" s="99"/>
    </row>
    <row r="71" spans="1:13" ht="55.5" customHeight="1" hidden="1">
      <c r="A71" s="35"/>
      <c r="B71" s="205" t="s">
        <v>100</v>
      </c>
      <c r="C71" s="100" t="s">
        <v>77</v>
      </c>
      <c r="D71" s="180">
        <f t="shared" si="4"/>
        <v>850</v>
      </c>
      <c r="E71" s="179">
        <v>850</v>
      </c>
      <c r="F71" s="177"/>
      <c r="G71" s="59"/>
      <c r="H71" s="59"/>
      <c r="I71" s="107"/>
      <c r="J71" s="35"/>
      <c r="K71" s="15"/>
      <c r="M71" s="99"/>
    </row>
    <row r="72" spans="1:13" ht="77.25" customHeight="1" hidden="1">
      <c r="A72" s="35"/>
      <c r="B72" s="205" t="s">
        <v>101</v>
      </c>
      <c r="C72" s="100" t="s">
        <v>77</v>
      </c>
      <c r="D72" s="180">
        <f t="shared" si="4"/>
        <v>300</v>
      </c>
      <c r="E72" s="179">
        <v>300</v>
      </c>
      <c r="F72" s="177"/>
      <c r="G72" s="59"/>
      <c r="H72" s="59"/>
      <c r="I72" s="107"/>
      <c r="J72" s="35"/>
      <c r="K72" s="15"/>
      <c r="M72" s="99"/>
    </row>
    <row r="73" spans="1:13" ht="100.5" customHeight="1" hidden="1">
      <c r="A73" s="35"/>
      <c r="B73" s="205" t="s">
        <v>102</v>
      </c>
      <c r="C73" s="100" t="s">
        <v>77</v>
      </c>
      <c r="D73" s="180">
        <f t="shared" si="4"/>
        <v>280</v>
      </c>
      <c r="E73" s="179">
        <v>280</v>
      </c>
      <c r="F73" s="177"/>
      <c r="G73" s="59"/>
      <c r="H73" s="59"/>
      <c r="I73" s="107"/>
      <c r="J73" s="35"/>
      <c r="K73" s="15"/>
      <c r="M73" s="99"/>
    </row>
    <row r="74" spans="1:13" ht="79.5" customHeight="1" hidden="1">
      <c r="A74" s="35"/>
      <c r="B74" s="205" t="s">
        <v>103</v>
      </c>
      <c r="C74" s="100" t="s">
        <v>77</v>
      </c>
      <c r="D74" s="180">
        <f t="shared" si="4"/>
        <v>80</v>
      </c>
      <c r="E74" s="179">
        <v>80</v>
      </c>
      <c r="F74" s="177"/>
      <c r="G74" s="59"/>
      <c r="H74" s="59"/>
      <c r="I74" s="107"/>
      <c r="J74" s="35"/>
      <c r="K74" s="15"/>
      <c r="M74" s="99"/>
    </row>
    <row r="75" spans="1:13" ht="58.5" customHeight="1" hidden="1">
      <c r="A75" s="35"/>
      <c r="B75" s="205" t="s">
        <v>104</v>
      </c>
      <c r="C75" s="100" t="s">
        <v>77</v>
      </c>
      <c r="D75" s="180">
        <f t="shared" si="4"/>
        <v>350</v>
      </c>
      <c r="E75" s="179">
        <v>350</v>
      </c>
      <c r="F75" s="177"/>
      <c r="G75" s="59"/>
      <c r="H75" s="59"/>
      <c r="I75" s="107"/>
      <c r="J75" s="35"/>
      <c r="K75" s="15"/>
      <c r="M75" s="99"/>
    </row>
    <row r="76" spans="1:13" ht="84" customHeight="1" hidden="1">
      <c r="A76" s="35"/>
      <c r="B76" s="205" t="s">
        <v>105</v>
      </c>
      <c r="C76" s="100" t="s">
        <v>77</v>
      </c>
      <c r="D76" s="180">
        <f t="shared" si="4"/>
        <v>80</v>
      </c>
      <c r="E76" s="179">
        <v>80</v>
      </c>
      <c r="F76" s="177"/>
      <c r="G76" s="59"/>
      <c r="H76" s="59"/>
      <c r="I76" s="107"/>
      <c r="J76" s="35"/>
      <c r="K76" s="15"/>
      <c r="M76" s="99"/>
    </row>
    <row r="77" spans="1:13" ht="58.5" customHeight="1" hidden="1">
      <c r="A77" s="35"/>
      <c r="B77" s="205" t="s">
        <v>106</v>
      </c>
      <c r="C77" s="100" t="s">
        <v>77</v>
      </c>
      <c r="D77" s="180">
        <f t="shared" si="4"/>
        <v>550</v>
      </c>
      <c r="E77" s="179">
        <v>550</v>
      </c>
      <c r="F77" s="177"/>
      <c r="G77" s="59"/>
      <c r="H77" s="59"/>
      <c r="I77" s="107"/>
      <c r="J77" s="35"/>
      <c r="K77" s="15"/>
      <c r="M77" s="99"/>
    </row>
    <row r="78" spans="1:13" ht="97.5" customHeight="1" hidden="1">
      <c r="A78" s="35"/>
      <c r="B78" s="205" t="s">
        <v>107</v>
      </c>
      <c r="C78" s="100" t="s">
        <v>77</v>
      </c>
      <c r="D78" s="180">
        <f t="shared" si="4"/>
        <v>80</v>
      </c>
      <c r="E78" s="179">
        <v>80</v>
      </c>
      <c r="F78" s="177"/>
      <c r="G78" s="59"/>
      <c r="H78" s="59"/>
      <c r="I78" s="107"/>
      <c r="J78" s="35"/>
      <c r="K78" s="15"/>
      <c r="M78" s="99"/>
    </row>
    <row r="79" spans="1:13" ht="77.25" customHeight="1" hidden="1">
      <c r="A79" s="35"/>
      <c r="B79" s="205" t="s">
        <v>108</v>
      </c>
      <c r="C79" s="100" t="s">
        <v>77</v>
      </c>
      <c r="D79" s="180">
        <f t="shared" si="4"/>
        <v>320</v>
      </c>
      <c r="E79" s="179">
        <v>320</v>
      </c>
      <c r="F79" s="177"/>
      <c r="G79" s="59"/>
      <c r="H79" s="59"/>
      <c r="I79" s="107"/>
      <c r="J79" s="35"/>
      <c r="K79" s="15"/>
      <c r="M79" s="99"/>
    </row>
    <row r="80" spans="1:13" ht="72.75" customHeight="1" hidden="1">
      <c r="A80" s="35"/>
      <c r="B80" s="205" t="s">
        <v>109</v>
      </c>
      <c r="C80" s="100" t="s">
        <v>77</v>
      </c>
      <c r="D80" s="180">
        <f t="shared" si="4"/>
        <v>210</v>
      </c>
      <c r="E80" s="179">
        <v>210</v>
      </c>
      <c r="F80" s="177"/>
      <c r="G80" s="59"/>
      <c r="H80" s="59"/>
      <c r="I80" s="107"/>
      <c r="J80" s="35"/>
      <c r="K80" s="15"/>
      <c r="M80" s="99"/>
    </row>
    <row r="81" spans="1:13" ht="86.25" customHeight="1" hidden="1">
      <c r="A81" s="35"/>
      <c r="B81" s="205" t="s">
        <v>110</v>
      </c>
      <c r="C81" s="100" t="s">
        <v>77</v>
      </c>
      <c r="D81" s="180">
        <f t="shared" si="4"/>
        <v>215</v>
      </c>
      <c r="E81" s="179">
        <v>215</v>
      </c>
      <c r="F81" s="177"/>
      <c r="G81" s="59"/>
      <c r="H81" s="59"/>
      <c r="I81" s="107"/>
      <c r="J81" s="35"/>
      <c r="K81" s="15"/>
      <c r="M81" s="99"/>
    </row>
    <row r="82" spans="1:13" ht="81" customHeight="1" hidden="1">
      <c r="A82" s="35"/>
      <c r="B82" s="205" t="s">
        <v>111</v>
      </c>
      <c r="C82" s="100" t="s">
        <v>77</v>
      </c>
      <c r="D82" s="180">
        <f t="shared" si="4"/>
        <v>205.2</v>
      </c>
      <c r="E82" s="179">
        <v>205.2</v>
      </c>
      <c r="F82" s="177"/>
      <c r="G82" s="59"/>
      <c r="H82" s="59"/>
      <c r="I82" s="107"/>
      <c r="J82" s="35"/>
      <c r="K82" s="15"/>
      <c r="M82" s="99"/>
    </row>
    <row r="83" spans="1:13" ht="58.5" customHeight="1" hidden="1">
      <c r="A83" s="35"/>
      <c r="B83" s="205" t="s">
        <v>112</v>
      </c>
      <c r="C83" s="100" t="s">
        <v>77</v>
      </c>
      <c r="D83" s="180">
        <f t="shared" si="4"/>
        <v>8950</v>
      </c>
      <c r="E83" s="179">
        <v>8950</v>
      </c>
      <c r="F83" s="177"/>
      <c r="G83" s="59"/>
      <c r="H83" s="59"/>
      <c r="I83" s="107"/>
      <c r="J83" s="35"/>
      <c r="K83" s="15"/>
      <c r="M83" s="99"/>
    </row>
    <row r="84" spans="1:13" ht="58.5" customHeight="1" hidden="1">
      <c r="A84" s="35"/>
      <c r="B84" s="205" t="s">
        <v>113</v>
      </c>
      <c r="C84" s="100" t="s">
        <v>77</v>
      </c>
      <c r="D84" s="180">
        <f t="shared" si="4"/>
        <v>2100</v>
      </c>
      <c r="E84" s="179">
        <v>2100</v>
      </c>
      <c r="F84" s="177"/>
      <c r="G84" s="59"/>
      <c r="H84" s="59"/>
      <c r="I84" s="107"/>
      <c r="J84" s="35"/>
      <c r="K84" s="15"/>
      <c r="M84" s="99"/>
    </row>
    <row r="85" spans="1:13" ht="58.5" customHeight="1" hidden="1">
      <c r="A85" s="35"/>
      <c r="B85" s="206" t="s">
        <v>114</v>
      </c>
      <c r="C85" s="100" t="s">
        <v>77</v>
      </c>
      <c r="D85" s="180">
        <f t="shared" si="4"/>
        <v>3000</v>
      </c>
      <c r="E85" s="179">
        <v>3000</v>
      </c>
      <c r="F85" s="177"/>
      <c r="G85" s="59"/>
      <c r="H85" s="59"/>
      <c r="I85" s="107"/>
      <c r="J85" s="35"/>
      <c r="K85" s="15"/>
      <c r="M85" s="99"/>
    </row>
    <row r="86" spans="1:13" ht="43.5" customHeight="1" hidden="1">
      <c r="A86" s="35"/>
      <c r="B86" s="206" t="s">
        <v>115</v>
      </c>
      <c r="C86" s="100" t="s">
        <v>77</v>
      </c>
      <c r="D86" s="180">
        <f t="shared" si="4"/>
        <v>4475</v>
      </c>
      <c r="E86" s="179">
        <v>4475</v>
      </c>
      <c r="F86" s="177"/>
      <c r="G86" s="59"/>
      <c r="H86" s="59"/>
      <c r="I86" s="107"/>
      <c r="J86" s="35"/>
      <c r="K86" s="15"/>
      <c r="M86" s="99"/>
    </row>
    <row r="87" spans="1:13" ht="35.25" customHeight="1" hidden="1">
      <c r="A87" s="35"/>
      <c r="B87" s="206" t="s">
        <v>116</v>
      </c>
      <c r="C87" s="100" t="s">
        <v>77</v>
      </c>
      <c r="D87" s="180">
        <f t="shared" si="4"/>
        <v>2300</v>
      </c>
      <c r="E87" s="179">
        <v>2300</v>
      </c>
      <c r="F87" s="177"/>
      <c r="G87" s="59"/>
      <c r="H87" s="59"/>
      <c r="I87" s="107"/>
      <c r="J87" s="35"/>
      <c r="K87" s="15"/>
      <c r="M87" s="99"/>
    </row>
    <row r="88" spans="1:13" ht="37.5" customHeight="1" hidden="1">
      <c r="A88" s="35"/>
      <c r="B88" s="206" t="s">
        <v>117</v>
      </c>
      <c r="C88" s="100" t="s">
        <v>77</v>
      </c>
      <c r="D88" s="180">
        <f t="shared" si="4"/>
        <v>4806</v>
      </c>
      <c r="E88" s="179">
        <v>2403</v>
      </c>
      <c r="F88" s="177">
        <v>2403</v>
      </c>
      <c r="G88" s="59"/>
      <c r="H88" s="59"/>
      <c r="I88" s="108"/>
      <c r="J88" s="35"/>
      <c r="K88" s="15"/>
      <c r="M88" s="99"/>
    </row>
    <row r="89" spans="1:13" ht="36.75" customHeight="1" hidden="1">
      <c r="A89" s="35"/>
      <c r="B89" s="205" t="s">
        <v>118</v>
      </c>
      <c r="C89" s="100" t="s">
        <v>77</v>
      </c>
      <c r="D89" s="180">
        <f t="shared" si="4"/>
        <v>3429</v>
      </c>
      <c r="E89" s="179">
        <v>3429</v>
      </c>
      <c r="F89" s="177"/>
      <c r="G89" s="59"/>
      <c r="H89" s="59"/>
      <c r="I89" s="108"/>
      <c r="J89" s="35"/>
      <c r="K89" s="15"/>
      <c r="M89" s="99"/>
    </row>
    <row r="90" spans="1:13" ht="39" customHeight="1" hidden="1">
      <c r="A90" s="35"/>
      <c r="B90" s="205" t="s">
        <v>119</v>
      </c>
      <c r="C90" s="100" t="s">
        <v>77</v>
      </c>
      <c r="D90" s="180">
        <f t="shared" si="4"/>
        <v>1950</v>
      </c>
      <c r="E90" s="179">
        <v>1950</v>
      </c>
      <c r="F90" s="177"/>
      <c r="G90" s="59"/>
      <c r="H90" s="59"/>
      <c r="I90" s="108"/>
      <c r="J90" s="35"/>
      <c r="K90" s="15"/>
      <c r="M90" s="99"/>
    </row>
    <row r="91" spans="1:13" ht="40.5" customHeight="1" hidden="1">
      <c r="A91" s="35"/>
      <c r="B91" s="205" t="s">
        <v>120</v>
      </c>
      <c r="C91" s="100" t="s">
        <v>77</v>
      </c>
      <c r="D91" s="180">
        <f t="shared" si="4"/>
        <v>2100</v>
      </c>
      <c r="E91" s="179">
        <v>2100</v>
      </c>
      <c r="F91" s="172"/>
      <c r="G91" s="59"/>
      <c r="H91" s="59"/>
      <c r="I91" s="36"/>
      <c r="J91" s="35"/>
      <c r="K91" s="15"/>
      <c r="M91" s="99"/>
    </row>
    <row r="92" spans="1:13" ht="38.25" customHeight="1" hidden="1">
      <c r="A92" s="35"/>
      <c r="B92" s="205" t="s">
        <v>121</v>
      </c>
      <c r="C92" s="100" t="s">
        <v>77</v>
      </c>
      <c r="D92" s="180">
        <f t="shared" si="4"/>
        <v>2500</v>
      </c>
      <c r="E92" s="179">
        <v>2500</v>
      </c>
      <c r="F92" s="172"/>
      <c r="G92" s="109"/>
      <c r="H92" s="109"/>
      <c r="I92" s="110"/>
      <c r="J92" s="35"/>
      <c r="K92" s="15"/>
      <c r="M92" s="99"/>
    </row>
    <row r="93" spans="1:13" ht="65.25" customHeight="1" hidden="1">
      <c r="A93" s="35"/>
      <c r="B93" s="205" t="s">
        <v>122</v>
      </c>
      <c r="C93" s="100" t="s">
        <v>77</v>
      </c>
      <c r="D93" s="180">
        <f>E93+F93+I93</f>
        <v>625</v>
      </c>
      <c r="E93" s="179">
        <v>625</v>
      </c>
      <c r="F93" s="172"/>
      <c r="G93" s="109"/>
      <c r="H93" s="109"/>
      <c r="I93" s="110"/>
      <c r="J93" s="35"/>
      <c r="K93" s="15"/>
      <c r="M93" s="99"/>
    </row>
    <row r="94" spans="1:13" ht="55.5" customHeight="1" hidden="1">
      <c r="A94" s="35"/>
      <c r="B94" s="205" t="s">
        <v>188</v>
      </c>
      <c r="C94" s="100" t="s">
        <v>77</v>
      </c>
      <c r="D94" s="180">
        <f aca="true" t="shared" si="5" ref="D94:D132">E94+F94+I94</f>
        <v>4800</v>
      </c>
      <c r="E94" s="179"/>
      <c r="F94" s="172">
        <v>4800</v>
      </c>
      <c r="G94" s="109"/>
      <c r="H94" s="109"/>
      <c r="I94" s="110"/>
      <c r="J94" s="35"/>
      <c r="K94" s="15"/>
      <c r="M94" s="99"/>
    </row>
    <row r="95" spans="1:13" ht="34.5" customHeight="1" hidden="1">
      <c r="A95" s="35"/>
      <c r="B95" s="205" t="s">
        <v>189</v>
      </c>
      <c r="C95" s="100" t="s">
        <v>77</v>
      </c>
      <c r="D95" s="180">
        <f t="shared" si="5"/>
        <v>2600</v>
      </c>
      <c r="E95" s="179"/>
      <c r="F95" s="172">
        <v>2600</v>
      </c>
      <c r="G95" s="109"/>
      <c r="H95" s="109"/>
      <c r="I95" s="110"/>
      <c r="J95" s="35"/>
      <c r="K95" s="15"/>
      <c r="M95" s="99"/>
    </row>
    <row r="96" spans="1:13" ht="37.5" customHeight="1" hidden="1">
      <c r="A96" s="35"/>
      <c r="B96" s="205" t="s">
        <v>190</v>
      </c>
      <c r="C96" s="100" t="s">
        <v>77</v>
      </c>
      <c r="D96" s="180">
        <f t="shared" si="5"/>
        <v>2800</v>
      </c>
      <c r="E96" s="179"/>
      <c r="F96" s="172">
        <v>2800</v>
      </c>
      <c r="G96" s="109"/>
      <c r="H96" s="109"/>
      <c r="I96" s="110"/>
      <c r="J96" s="35"/>
      <c r="K96" s="15"/>
      <c r="M96" s="99"/>
    </row>
    <row r="97" spans="1:13" ht="36.75" customHeight="1" hidden="1">
      <c r="A97" s="35"/>
      <c r="B97" s="205" t="s">
        <v>191</v>
      </c>
      <c r="C97" s="100" t="s">
        <v>77</v>
      </c>
      <c r="D97" s="180">
        <f t="shared" si="5"/>
        <v>1755</v>
      </c>
      <c r="E97" s="179"/>
      <c r="F97" s="172">
        <v>1755</v>
      </c>
      <c r="G97" s="109"/>
      <c r="H97" s="109"/>
      <c r="I97" s="110"/>
      <c r="J97" s="35"/>
      <c r="K97" s="15"/>
      <c r="M97" s="99"/>
    </row>
    <row r="98" spans="1:13" ht="36" customHeight="1" hidden="1">
      <c r="A98" s="35"/>
      <c r="B98" s="205" t="s">
        <v>192</v>
      </c>
      <c r="C98" s="100" t="s">
        <v>77</v>
      </c>
      <c r="D98" s="180">
        <f t="shared" si="5"/>
        <v>3511</v>
      </c>
      <c r="E98" s="179"/>
      <c r="F98" s="172">
        <v>3511</v>
      </c>
      <c r="G98" s="109"/>
      <c r="H98" s="109"/>
      <c r="I98" s="110"/>
      <c r="J98" s="35"/>
      <c r="K98" s="15"/>
      <c r="M98" s="99"/>
    </row>
    <row r="99" spans="1:13" ht="52.5" customHeight="1" hidden="1">
      <c r="A99" s="35"/>
      <c r="B99" s="205" t="s">
        <v>193</v>
      </c>
      <c r="C99" s="100" t="s">
        <v>77</v>
      </c>
      <c r="D99" s="180">
        <f t="shared" si="5"/>
        <v>1260</v>
      </c>
      <c r="E99" s="179"/>
      <c r="F99" s="172">
        <v>1260</v>
      </c>
      <c r="G99" s="109"/>
      <c r="H99" s="109"/>
      <c r="I99" s="110"/>
      <c r="J99" s="35"/>
      <c r="K99" s="15"/>
      <c r="M99" s="99"/>
    </row>
    <row r="100" spans="1:13" ht="36.75" customHeight="1" hidden="1">
      <c r="A100" s="35"/>
      <c r="B100" s="205" t="s">
        <v>194</v>
      </c>
      <c r="C100" s="100" t="s">
        <v>77</v>
      </c>
      <c r="D100" s="180">
        <f t="shared" si="5"/>
        <v>667</v>
      </c>
      <c r="E100" s="179"/>
      <c r="F100" s="172">
        <v>667</v>
      </c>
      <c r="G100" s="109"/>
      <c r="H100" s="109"/>
      <c r="I100" s="110"/>
      <c r="J100" s="35"/>
      <c r="K100" s="15"/>
      <c r="M100" s="99"/>
    </row>
    <row r="101" spans="1:13" ht="35.25" customHeight="1" hidden="1">
      <c r="A101" s="35"/>
      <c r="B101" s="205" t="s">
        <v>195</v>
      </c>
      <c r="C101" s="100" t="s">
        <v>77</v>
      </c>
      <c r="D101" s="180">
        <f t="shared" si="5"/>
        <v>6.092</v>
      </c>
      <c r="E101" s="179"/>
      <c r="F101" s="172">
        <v>6.092</v>
      </c>
      <c r="G101" s="109"/>
      <c r="H101" s="109"/>
      <c r="I101" s="110"/>
      <c r="J101" s="35"/>
      <c r="K101" s="15"/>
      <c r="M101" s="99"/>
    </row>
    <row r="102" spans="1:13" ht="35.25" customHeight="1" hidden="1">
      <c r="A102" s="35"/>
      <c r="B102" s="205" t="s">
        <v>196</v>
      </c>
      <c r="C102" s="100" t="s">
        <v>77</v>
      </c>
      <c r="D102" s="180">
        <f t="shared" si="5"/>
        <v>7.38</v>
      </c>
      <c r="E102" s="179"/>
      <c r="F102" s="172">
        <v>7.38</v>
      </c>
      <c r="G102" s="109"/>
      <c r="H102" s="109"/>
      <c r="I102" s="110"/>
      <c r="J102" s="35"/>
      <c r="K102" s="15"/>
      <c r="M102" s="99"/>
    </row>
    <row r="103" spans="1:13" ht="35.25" customHeight="1" hidden="1">
      <c r="A103" s="35"/>
      <c r="B103" s="205" t="s">
        <v>197</v>
      </c>
      <c r="C103" s="100" t="s">
        <v>77</v>
      </c>
      <c r="D103" s="180">
        <f t="shared" si="5"/>
        <v>9.68</v>
      </c>
      <c r="E103" s="179"/>
      <c r="F103" s="172">
        <v>9.68</v>
      </c>
      <c r="G103" s="109"/>
      <c r="H103" s="109"/>
      <c r="I103" s="110"/>
      <c r="J103" s="35"/>
      <c r="K103" s="15"/>
      <c r="M103" s="99"/>
    </row>
    <row r="104" spans="1:13" ht="53.25" customHeight="1" hidden="1">
      <c r="A104" s="35"/>
      <c r="B104" s="205" t="s">
        <v>198</v>
      </c>
      <c r="C104" s="100" t="s">
        <v>77</v>
      </c>
      <c r="D104" s="180">
        <f t="shared" si="5"/>
        <v>257.38</v>
      </c>
      <c r="E104" s="179"/>
      <c r="F104" s="172">
        <v>257.38</v>
      </c>
      <c r="G104" s="109"/>
      <c r="H104" s="109"/>
      <c r="I104" s="110"/>
      <c r="J104" s="35"/>
      <c r="K104" s="15"/>
      <c r="M104" s="99"/>
    </row>
    <row r="105" spans="1:13" ht="53.25" customHeight="1" hidden="1">
      <c r="A105" s="35"/>
      <c r="B105" s="205" t="s">
        <v>199</v>
      </c>
      <c r="C105" s="100" t="s">
        <v>77</v>
      </c>
      <c r="D105" s="180">
        <f t="shared" si="5"/>
        <v>79.86</v>
      </c>
      <c r="E105" s="179"/>
      <c r="F105" s="172">
        <v>79.86</v>
      </c>
      <c r="G105" s="109"/>
      <c r="H105" s="109"/>
      <c r="I105" s="110"/>
      <c r="J105" s="35"/>
      <c r="K105" s="15"/>
      <c r="M105" s="99"/>
    </row>
    <row r="106" spans="1:13" ht="56.25" customHeight="1" hidden="1">
      <c r="A106" s="35"/>
      <c r="B106" s="205" t="s">
        <v>200</v>
      </c>
      <c r="C106" s="100" t="s">
        <v>77</v>
      </c>
      <c r="D106" s="180">
        <f t="shared" si="5"/>
        <v>746.83</v>
      </c>
      <c r="E106" s="179"/>
      <c r="F106" s="172">
        <v>746.83</v>
      </c>
      <c r="G106" s="109"/>
      <c r="H106" s="109"/>
      <c r="I106" s="110"/>
      <c r="J106" s="35"/>
      <c r="K106" s="15"/>
      <c r="M106" s="99"/>
    </row>
    <row r="107" spans="1:13" ht="37.5" customHeight="1" hidden="1">
      <c r="A107" s="35"/>
      <c r="B107" s="205" t="s">
        <v>201</v>
      </c>
      <c r="C107" s="100" t="s">
        <v>77</v>
      </c>
      <c r="D107" s="180">
        <f t="shared" si="5"/>
        <v>35.75</v>
      </c>
      <c r="E107" s="179"/>
      <c r="F107" s="172">
        <v>35.75</v>
      </c>
      <c r="G107" s="109"/>
      <c r="H107" s="109"/>
      <c r="I107" s="110"/>
      <c r="J107" s="35"/>
      <c r="K107" s="15"/>
      <c r="M107" s="99"/>
    </row>
    <row r="108" spans="1:13" ht="36" customHeight="1" hidden="1">
      <c r="A108" s="35"/>
      <c r="B108" s="205" t="s">
        <v>202</v>
      </c>
      <c r="C108" s="100" t="s">
        <v>77</v>
      </c>
      <c r="D108" s="180">
        <f t="shared" si="5"/>
        <v>15.4</v>
      </c>
      <c r="E108" s="179"/>
      <c r="F108" s="172">
        <v>15.4</v>
      </c>
      <c r="G108" s="109"/>
      <c r="H108" s="109"/>
      <c r="I108" s="110"/>
      <c r="J108" s="35"/>
      <c r="K108" s="15"/>
      <c r="M108" s="99"/>
    </row>
    <row r="109" spans="1:13" ht="36" customHeight="1" hidden="1">
      <c r="A109" s="35"/>
      <c r="B109" s="205" t="s">
        <v>203</v>
      </c>
      <c r="C109" s="100" t="s">
        <v>77</v>
      </c>
      <c r="D109" s="180">
        <f t="shared" si="5"/>
        <v>310</v>
      </c>
      <c r="E109" s="179"/>
      <c r="F109" s="172">
        <v>310</v>
      </c>
      <c r="G109" s="109"/>
      <c r="H109" s="109"/>
      <c r="I109" s="110"/>
      <c r="J109" s="35"/>
      <c r="K109" s="15"/>
      <c r="M109" s="99"/>
    </row>
    <row r="110" spans="1:13" ht="36" customHeight="1" hidden="1">
      <c r="A110" s="35"/>
      <c r="B110" s="205" t="s">
        <v>204</v>
      </c>
      <c r="C110" s="100" t="s">
        <v>77</v>
      </c>
      <c r="D110" s="180">
        <f t="shared" si="5"/>
        <v>92</v>
      </c>
      <c r="E110" s="179"/>
      <c r="F110" s="172">
        <v>92</v>
      </c>
      <c r="G110" s="109"/>
      <c r="H110" s="109"/>
      <c r="I110" s="110"/>
      <c r="J110" s="35"/>
      <c r="K110" s="15"/>
      <c r="M110" s="99"/>
    </row>
    <row r="111" spans="1:13" ht="36" customHeight="1" hidden="1">
      <c r="A111" s="35"/>
      <c r="B111" s="205" t="s">
        <v>205</v>
      </c>
      <c r="C111" s="100" t="s">
        <v>77</v>
      </c>
      <c r="D111" s="180">
        <f t="shared" si="5"/>
        <v>1715</v>
      </c>
      <c r="E111" s="179"/>
      <c r="F111" s="172">
        <v>1715</v>
      </c>
      <c r="G111" s="109"/>
      <c r="H111" s="109"/>
      <c r="I111" s="110"/>
      <c r="J111" s="35"/>
      <c r="K111" s="15"/>
      <c r="M111" s="99"/>
    </row>
    <row r="112" spans="1:13" ht="36" customHeight="1" hidden="1">
      <c r="A112" s="35"/>
      <c r="B112" s="205" t="s">
        <v>206</v>
      </c>
      <c r="C112" s="100" t="s">
        <v>77</v>
      </c>
      <c r="D112" s="180">
        <f t="shared" si="5"/>
        <v>2836.5</v>
      </c>
      <c r="E112" s="179"/>
      <c r="F112" s="172">
        <v>2836.5</v>
      </c>
      <c r="G112" s="109"/>
      <c r="H112" s="109"/>
      <c r="I112" s="110"/>
      <c r="J112" s="35"/>
      <c r="K112" s="15"/>
      <c r="M112" s="99"/>
    </row>
    <row r="113" spans="1:13" ht="41.25" customHeight="1" hidden="1">
      <c r="A113" s="35"/>
      <c r="B113" s="205" t="s">
        <v>207</v>
      </c>
      <c r="C113" s="100" t="s">
        <v>77</v>
      </c>
      <c r="D113" s="180">
        <f t="shared" si="5"/>
        <v>625</v>
      </c>
      <c r="E113" s="179"/>
      <c r="F113" s="172">
        <v>625</v>
      </c>
      <c r="G113" s="109"/>
      <c r="H113" s="109"/>
      <c r="I113" s="110"/>
      <c r="J113" s="35"/>
      <c r="K113" s="15"/>
      <c r="M113" s="99"/>
    </row>
    <row r="114" spans="1:13" ht="35.25" customHeight="1" hidden="1">
      <c r="A114" s="35"/>
      <c r="B114" s="256" t="s">
        <v>261</v>
      </c>
      <c r="C114" s="100" t="s">
        <v>77</v>
      </c>
      <c r="D114" s="180">
        <f t="shared" si="5"/>
        <v>0</v>
      </c>
      <c r="E114" s="179"/>
      <c r="F114" s="172">
        <f>1000-1000</f>
        <v>0</v>
      </c>
      <c r="G114" s="109"/>
      <c r="H114" s="109"/>
      <c r="I114" s="110"/>
      <c r="J114" s="35"/>
      <c r="K114" s="15"/>
      <c r="M114" s="99"/>
    </row>
    <row r="115" spans="1:13" ht="94.5" customHeight="1" hidden="1">
      <c r="A115" s="35"/>
      <c r="B115" s="256" t="s">
        <v>292</v>
      </c>
      <c r="C115" s="100" t="s">
        <v>77</v>
      </c>
      <c r="D115" s="180">
        <f t="shared" si="5"/>
        <v>100</v>
      </c>
      <c r="E115" s="179"/>
      <c r="F115" s="172">
        <v>100</v>
      </c>
      <c r="G115" s="109"/>
      <c r="H115" s="109"/>
      <c r="I115" s="110"/>
      <c r="J115" s="35"/>
      <c r="K115" s="15"/>
      <c r="M115" s="99"/>
    </row>
    <row r="116" spans="1:13" ht="56.25" hidden="1">
      <c r="A116" s="35">
        <v>8</v>
      </c>
      <c r="B116" s="113" t="s">
        <v>85</v>
      </c>
      <c r="C116" s="100"/>
      <c r="D116" s="114">
        <f t="shared" si="5"/>
        <v>2112.7</v>
      </c>
      <c r="E116" s="215">
        <f>E117+E118+E119+E120+E121</f>
        <v>2112.7</v>
      </c>
      <c r="F116" s="215">
        <f>F117+F118+F119+F120+F121</f>
        <v>0</v>
      </c>
      <c r="G116" s="215">
        <f>G117+G118+G119+G120+G121</f>
        <v>0</v>
      </c>
      <c r="H116" s="215">
        <f>H117+H118+H119+H120+H121</f>
        <v>0</v>
      </c>
      <c r="I116" s="215">
        <f>I117+I118+I119+I120+I121</f>
        <v>0</v>
      </c>
      <c r="J116" s="35" t="s">
        <v>86</v>
      </c>
      <c r="K116" s="15"/>
      <c r="M116" s="99"/>
    </row>
    <row r="117" spans="1:13" ht="75" hidden="1">
      <c r="A117" s="35"/>
      <c r="B117" s="202" t="s">
        <v>149</v>
      </c>
      <c r="C117" s="100" t="s">
        <v>77</v>
      </c>
      <c r="D117" s="114">
        <f t="shared" si="5"/>
        <v>1568.6</v>
      </c>
      <c r="E117" s="170">
        <v>1568.6</v>
      </c>
      <c r="F117" s="173"/>
      <c r="G117" s="111"/>
      <c r="H117" s="111"/>
      <c r="I117" s="114"/>
      <c r="J117" s="35"/>
      <c r="K117" s="15"/>
      <c r="M117" s="99"/>
    </row>
    <row r="118" spans="1:13" ht="37.5" hidden="1">
      <c r="A118" s="35"/>
      <c r="B118" s="202" t="s">
        <v>87</v>
      </c>
      <c r="C118" s="100" t="s">
        <v>77</v>
      </c>
      <c r="D118" s="114">
        <f t="shared" si="5"/>
        <v>171.5</v>
      </c>
      <c r="E118" s="176">
        <v>171.5</v>
      </c>
      <c r="F118" s="173"/>
      <c r="G118" s="111"/>
      <c r="H118" s="111"/>
      <c r="I118" s="114"/>
      <c r="J118" s="35"/>
      <c r="K118" s="15"/>
      <c r="M118" s="99"/>
    </row>
    <row r="119" spans="1:13" ht="56.25" hidden="1">
      <c r="A119" s="35"/>
      <c r="B119" s="202" t="s">
        <v>88</v>
      </c>
      <c r="C119" s="100" t="s">
        <v>77</v>
      </c>
      <c r="D119" s="114">
        <f t="shared" si="5"/>
        <v>107.7</v>
      </c>
      <c r="E119" s="170">
        <v>107.7</v>
      </c>
      <c r="F119" s="173"/>
      <c r="G119" s="111"/>
      <c r="H119" s="111"/>
      <c r="I119" s="114"/>
      <c r="J119" s="35"/>
      <c r="K119" s="15"/>
      <c r="M119" s="99"/>
    </row>
    <row r="120" spans="1:13" ht="56.25" hidden="1">
      <c r="A120" s="35"/>
      <c r="B120" s="202" t="s">
        <v>89</v>
      </c>
      <c r="C120" s="100" t="s">
        <v>77</v>
      </c>
      <c r="D120" s="114">
        <f t="shared" si="5"/>
        <v>182.8</v>
      </c>
      <c r="E120" s="170">
        <v>182.8</v>
      </c>
      <c r="F120" s="173"/>
      <c r="G120" s="111"/>
      <c r="H120" s="111"/>
      <c r="I120" s="114"/>
      <c r="J120" s="35"/>
      <c r="K120" s="15"/>
      <c r="M120" s="99"/>
    </row>
    <row r="121" spans="1:13" ht="56.25" hidden="1">
      <c r="A121" s="35"/>
      <c r="B121" s="202" t="s">
        <v>90</v>
      </c>
      <c r="C121" s="100" t="s">
        <v>77</v>
      </c>
      <c r="D121" s="114">
        <f t="shared" si="5"/>
        <v>82.1</v>
      </c>
      <c r="E121" s="170">
        <v>82.1</v>
      </c>
      <c r="F121" s="173"/>
      <c r="G121" s="111"/>
      <c r="H121" s="111"/>
      <c r="I121" s="114"/>
      <c r="J121" s="35"/>
      <c r="K121" s="15"/>
      <c r="M121" s="99"/>
    </row>
    <row r="122" spans="1:13" ht="55.5" customHeight="1">
      <c r="A122" s="35">
        <v>5</v>
      </c>
      <c r="B122" s="115" t="s">
        <v>39</v>
      </c>
      <c r="C122" s="100" t="s">
        <v>464</v>
      </c>
      <c r="D122" s="174">
        <f>E122+F122+I122</f>
        <v>565</v>
      </c>
      <c r="E122" s="175">
        <f>E123+E124</f>
        <v>565</v>
      </c>
      <c r="F122" s="175">
        <f>F123+F124</f>
        <v>0</v>
      </c>
      <c r="G122" s="175">
        <f>G123+G124</f>
        <v>0</v>
      </c>
      <c r="H122" s="175">
        <f>H123+H124</f>
        <v>0</v>
      </c>
      <c r="I122" s="175">
        <f>I123+I124</f>
        <v>0</v>
      </c>
      <c r="J122" s="35" t="s">
        <v>463</v>
      </c>
      <c r="K122" s="15"/>
      <c r="M122" s="99"/>
    </row>
    <row r="123" spans="1:13" ht="45" customHeight="1">
      <c r="A123" s="35"/>
      <c r="B123" s="202" t="s">
        <v>387</v>
      </c>
      <c r="C123" s="100" t="s">
        <v>464</v>
      </c>
      <c r="D123" s="174">
        <f t="shared" si="5"/>
        <v>25</v>
      </c>
      <c r="E123" s="219">
        <f>20+5</f>
        <v>25</v>
      </c>
      <c r="F123" s="173"/>
      <c r="G123" s="111"/>
      <c r="H123" s="111"/>
      <c r="I123" s="110"/>
      <c r="J123" s="35"/>
      <c r="K123" s="15"/>
      <c r="M123" s="99"/>
    </row>
    <row r="124" spans="1:13" ht="45" customHeight="1">
      <c r="A124" s="35"/>
      <c r="B124" s="202" t="s">
        <v>658</v>
      </c>
      <c r="C124" s="100" t="s">
        <v>464</v>
      </c>
      <c r="D124" s="174">
        <f t="shared" si="5"/>
        <v>540</v>
      </c>
      <c r="E124" s="219">
        <f>540</f>
        <v>540</v>
      </c>
      <c r="F124" s="173"/>
      <c r="G124" s="111"/>
      <c r="H124" s="111"/>
      <c r="I124" s="110"/>
      <c r="J124" s="35"/>
      <c r="K124" s="15"/>
      <c r="M124" s="99"/>
    </row>
    <row r="125" spans="1:13" ht="45" customHeight="1" hidden="1">
      <c r="A125" s="35"/>
      <c r="B125" s="202" t="s">
        <v>159</v>
      </c>
      <c r="C125" s="100" t="s">
        <v>77</v>
      </c>
      <c r="D125" s="174">
        <f t="shared" si="5"/>
        <v>500</v>
      </c>
      <c r="E125" s="219">
        <v>500</v>
      </c>
      <c r="F125" s="173"/>
      <c r="G125" s="111"/>
      <c r="H125" s="111"/>
      <c r="I125" s="110"/>
      <c r="J125" s="35"/>
      <c r="K125" s="15"/>
      <c r="M125" s="99"/>
    </row>
    <row r="126" spans="1:13" ht="45" customHeight="1" hidden="1">
      <c r="A126" s="35"/>
      <c r="B126" s="202" t="s">
        <v>228</v>
      </c>
      <c r="C126" s="216"/>
      <c r="D126" s="174">
        <f t="shared" si="5"/>
        <v>20.8</v>
      </c>
      <c r="E126" s="219"/>
      <c r="F126" s="173">
        <v>20.8</v>
      </c>
      <c r="G126" s="111"/>
      <c r="H126" s="111"/>
      <c r="I126" s="110"/>
      <c r="J126" s="35"/>
      <c r="K126" s="15"/>
      <c r="M126" s="99"/>
    </row>
    <row r="127" spans="1:13" ht="45" customHeight="1" hidden="1">
      <c r="A127" s="35"/>
      <c r="B127" s="202" t="s">
        <v>229</v>
      </c>
      <c r="C127" s="216"/>
      <c r="D127" s="174">
        <f t="shared" si="5"/>
        <v>42.2</v>
      </c>
      <c r="E127" s="219"/>
      <c r="F127" s="173">
        <v>42.2</v>
      </c>
      <c r="G127" s="111"/>
      <c r="H127" s="111"/>
      <c r="I127" s="110"/>
      <c r="J127" s="35"/>
      <c r="K127" s="15"/>
      <c r="M127" s="99"/>
    </row>
    <row r="128" spans="1:13" ht="53.25" customHeight="1" hidden="1">
      <c r="A128" s="35">
        <v>10</v>
      </c>
      <c r="B128" s="115" t="s">
        <v>150</v>
      </c>
      <c r="C128" s="216"/>
      <c r="D128" s="174">
        <f t="shared" si="5"/>
        <v>30680</v>
      </c>
      <c r="E128" s="218">
        <f>E129+E130+E131+E132</f>
        <v>30680</v>
      </c>
      <c r="F128" s="218">
        <f>F129+F130+F131+F132</f>
        <v>0</v>
      </c>
      <c r="G128" s="218">
        <f>G129+G130+G131+G132</f>
        <v>0</v>
      </c>
      <c r="H128" s="218">
        <f>H129+H130+H131+H132</f>
        <v>0</v>
      </c>
      <c r="I128" s="218">
        <f>I129+I130+I131+I132</f>
        <v>0</v>
      </c>
      <c r="J128" s="35" t="s">
        <v>155</v>
      </c>
      <c r="K128" s="15"/>
      <c r="M128" s="99"/>
    </row>
    <row r="129" spans="1:13" ht="39.75" customHeight="1" hidden="1">
      <c r="A129" s="35"/>
      <c r="B129" s="217" t="s">
        <v>151</v>
      </c>
      <c r="C129" s="100" t="s">
        <v>77</v>
      </c>
      <c r="D129" s="174">
        <f t="shared" si="5"/>
        <v>15500</v>
      </c>
      <c r="E129" s="220">
        <v>15500</v>
      </c>
      <c r="F129" s="173"/>
      <c r="G129" s="111"/>
      <c r="H129" s="111"/>
      <c r="I129" s="110"/>
      <c r="J129" s="35"/>
      <c r="K129" s="15"/>
      <c r="M129" s="99"/>
    </row>
    <row r="130" spans="1:13" ht="42" customHeight="1" hidden="1">
      <c r="A130" s="35"/>
      <c r="B130" s="217" t="s">
        <v>152</v>
      </c>
      <c r="C130" s="100" t="s">
        <v>77</v>
      </c>
      <c r="D130" s="174">
        <f t="shared" si="5"/>
        <v>4700</v>
      </c>
      <c r="E130" s="220">
        <v>4700</v>
      </c>
      <c r="F130" s="173"/>
      <c r="G130" s="111"/>
      <c r="H130" s="111"/>
      <c r="I130" s="110"/>
      <c r="J130" s="35"/>
      <c r="K130" s="15"/>
      <c r="M130" s="99"/>
    </row>
    <row r="131" spans="1:13" ht="40.5" customHeight="1" hidden="1">
      <c r="A131" s="35"/>
      <c r="B131" s="217" t="s">
        <v>153</v>
      </c>
      <c r="C131" s="100" t="s">
        <v>77</v>
      </c>
      <c r="D131" s="174">
        <f t="shared" si="5"/>
        <v>4780</v>
      </c>
      <c r="E131" s="219">
        <v>4780</v>
      </c>
      <c r="F131" s="173"/>
      <c r="G131" s="111"/>
      <c r="H131" s="111"/>
      <c r="I131" s="110"/>
      <c r="J131" s="35"/>
      <c r="K131" s="15"/>
      <c r="M131" s="99"/>
    </row>
    <row r="132" spans="1:13" ht="37.5" customHeight="1" hidden="1">
      <c r="A132" s="35"/>
      <c r="B132" s="217" t="s">
        <v>154</v>
      </c>
      <c r="C132" s="100" t="s">
        <v>77</v>
      </c>
      <c r="D132" s="174">
        <f t="shared" si="5"/>
        <v>5700</v>
      </c>
      <c r="E132" s="219">
        <v>5700</v>
      </c>
      <c r="F132" s="173"/>
      <c r="G132" s="111"/>
      <c r="H132" s="111"/>
      <c r="I132" s="110"/>
      <c r="J132" s="35"/>
      <c r="K132" s="15"/>
      <c r="M132" s="99"/>
    </row>
    <row r="133" spans="1:11" ht="20.25">
      <c r="A133" s="65"/>
      <c r="B133" s="207" t="s">
        <v>4</v>
      </c>
      <c r="C133" s="100"/>
      <c r="D133" s="208">
        <f aca="true" t="shared" si="6" ref="D133:I133">D122+D61+D45+D40+D31</f>
        <v>5619.53</v>
      </c>
      <c r="E133" s="208">
        <f>E122+E61+E45+E40+E31</f>
        <v>5619.53</v>
      </c>
      <c r="F133" s="208">
        <f t="shared" si="6"/>
        <v>0</v>
      </c>
      <c r="G133" s="208" t="e">
        <f t="shared" si="6"/>
        <v>#REF!</v>
      </c>
      <c r="H133" s="208" t="e">
        <f t="shared" si="6"/>
        <v>#REF!</v>
      </c>
      <c r="I133" s="208">
        <f t="shared" si="6"/>
        <v>0</v>
      </c>
      <c r="J133" s="67"/>
      <c r="K133" s="15"/>
    </row>
    <row r="134" spans="1:11" ht="15.75">
      <c r="A134" s="117"/>
      <c r="B134" s="118"/>
      <c r="C134" s="118"/>
      <c r="D134" s="119"/>
      <c r="E134" s="119"/>
      <c r="F134" s="119"/>
      <c r="G134" s="119"/>
      <c r="H134" s="119"/>
      <c r="I134" s="119"/>
      <c r="J134" s="20"/>
      <c r="K134" s="15"/>
    </row>
    <row r="135" spans="1:11" ht="15.75" hidden="1">
      <c r="A135" s="117"/>
      <c r="B135" s="118"/>
      <c r="C135" s="18"/>
      <c r="D135" s="19"/>
      <c r="E135" s="19"/>
      <c r="F135" s="19"/>
      <c r="G135" s="19"/>
      <c r="H135" s="19"/>
      <c r="I135" s="19"/>
      <c r="J135" s="20"/>
      <c r="K135" s="15"/>
    </row>
    <row r="136" spans="2:11" ht="15.75" hidden="1">
      <c r="B136" s="118"/>
      <c r="C136" s="18"/>
      <c r="D136" s="19"/>
      <c r="E136" s="19"/>
      <c r="F136" s="19"/>
      <c r="G136" s="19"/>
      <c r="H136" s="19"/>
      <c r="I136" s="19"/>
      <c r="J136" s="20"/>
      <c r="K136" s="15"/>
    </row>
    <row r="137" spans="2:14" ht="30.75" customHeight="1">
      <c r="B137" s="785" t="s">
        <v>15</v>
      </c>
      <c r="C137" s="785"/>
      <c r="D137" s="264"/>
      <c r="E137" s="264"/>
      <c r="F137" s="22"/>
      <c r="I137" s="23"/>
      <c r="J137" s="807" t="s">
        <v>674</v>
      </c>
      <c r="K137" s="807"/>
      <c r="L137" s="807"/>
      <c r="M137" s="807"/>
      <c r="N137" s="807"/>
    </row>
    <row r="138" spans="2:11" ht="16.5" customHeight="1">
      <c r="B138" s="264"/>
      <c r="C138" s="264"/>
      <c r="D138" s="264"/>
      <c r="E138" s="264"/>
      <c r="F138" s="22"/>
      <c r="I138" s="23"/>
      <c r="J138" s="23"/>
      <c r="K138" s="23"/>
    </row>
    <row r="139" spans="2:11" ht="21" customHeight="1">
      <c r="B139" s="694" t="s">
        <v>673</v>
      </c>
      <c r="C139" s="694"/>
      <c r="D139" s="264"/>
      <c r="E139" s="264"/>
      <c r="F139" s="22"/>
      <c r="I139" s="23"/>
      <c r="J139" s="23"/>
      <c r="K139" s="23"/>
    </row>
    <row r="140" spans="3:9" ht="15.75">
      <c r="C140" s="30"/>
      <c r="D140" s="26"/>
      <c r="E140" s="26"/>
      <c r="F140" s="26"/>
      <c r="G140" s="26"/>
      <c r="H140" s="26"/>
      <c r="I140" s="26"/>
    </row>
    <row r="141" spans="3:9" ht="15.75">
      <c r="C141" s="31"/>
      <c r="D141" s="26"/>
      <c r="E141" s="26"/>
      <c r="F141" s="26"/>
      <c r="G141" s="26"/>
      <c r="H141" s="26"/>
      <c r="I141" s="26"/>
    </row>
    <row r="143" ht="12.75">
      <c r="H143" s="121"/>
    </row>
  </sheetData>
  <sheetProtection/>
  <mergeCells count="31">
    <mergeCell ref="F14:H15"/>
    <mergeCell ref="I7:N7"/>
    <mergeCell ref="E14:E15"/>
    <mergeCell ref="F45:F46"/>
    <mergeCell ref="I14:I15"/>
    <mergeCell ref="D13:D15"/>
    <mergeCell ref="D45:D46"/>
    <mergeCell ref="I9:J9"/>
    <mergeCell ref="A11:J11"/>
    <mergeCell ref="D12:H12"/>
    <mergeCell ref="A13:A15"/>
    <mergeCell ref="C45:C46"/>
    <mergeCell ref="J45:J46"/>
    <mergeCell ref="B54:B55"/>
    <mergeCell ref="B13:B15"/>
    <mergeCell ref="B45:B46"/>
    <mergeCell ref="J54:J55"/>
    <mergeCell ref="C13:C15"/>
    <mergeCell ref="E45:E46"/>
    <mergeCell ref="E13:I13"/>
    <mergeCell ref="J13:J15"/>
    <mergeCell ref="A54:A55"/>
    <mergeCell ref="I8:N8"/>
    <mergeCell ref="A45:A46"/>
    <mergeCell ref="B139:C139"/>
    <mergeCell ref="B137:C137"/>
    <mergeCell ref="J137:N137"/>
    <mergeCell ref="B59:B60"/>
    <mergeCell ref="J59:J60"/>
    <mergeCell ref="A59:A60"/>
    <mergeCell ref="I45:I46"/>
  </mergeCells>
  <printOptions horizontalCentered="1"/>
  <pageMargins left="0.3937007874015748" right="0.3937007874015748" top="1.1811023622047245" bottom="0.3937007874015748" header="0" footer="0"/>
  <pageSetup fitToHeight="2" fitToWidth="1" horizontalDpi="600" verticalDpi="600" orientation="landscape" paperSize="9" scale="61" r:id="rId1"/>
  <rowBreaks count="1" manualBreakCount="1">
    <brk id="60" max="9" man="1"/>
  </rowBreaks>
</worksheet>
</file>

<file path=xl/worksheets/sheet22.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E24" sqref="E24"/>
    </sheetView>
  </sheetViews>
  <sheetFormatPr defaultColWidth="9.140625" defaultRowHeight="12.75"/>
  <cols>
    <col min="1" max="1" width="6.7109375" style="14" customWidth="1"/>
    <col min="2" max="2" width="49.7109375" style="14" customWidth="1"/>
    <col min="3" max="3" width="19.00390625" style="14" customWidth="1"/>
    <col min="4" max="4" width="14.00390625" style="14" customWidth="1"/>
    <col min="5" max="5" width="13.8515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5" ht="15.75">
      <c r="B1" s="15"/>
      <c r="C1" s="15"/>
      <c r="D1" s="15"/>
      <c r="E1" s="15"/>
      <c r="F1" s="15"/>
      <c r="G1" s="15"/>
      <c r="H1" s="15"/>
      <c r="I1" s="13" t="s">
        <v>16</v>
      </c>
      <c r="J1" s="210" t="s">
        <v>659</v>
      </c>
      <c r="K1" s="209"/>
      <c r="L1" s="288" t="s">
        <v>16</v>
      </c>
      <c r="M1" s="258"/>
      <c r="N1" s="258"/>
      <c r="O1" s="258"/>
    </row>
    <row r="2" spans="2:15" ht="15.75">
      <c r="B2" s="15"/>
      <c r="C2" s="15"/>
      <c r="D2" s="15"/>
      <c r="E2" s="15"/>
      <c r="F2" s="15"/>
      <c r="G2" s="15"/>
      <c r="H2" s="15"/>
      <c r="I2" s="12" t="s">
        <v>9</v>
      </c>
      <c r="J2" s="305" t="s">
        <v>9</v>
      </c>
      <c r="K2" s="305"/>
      <c r="L2" s="233"/>
      <c r="M2" s="305"/>
      <c r="N2" s="305"/>
      <c r="O2" s="305"/>
    </row>
    <row r="3" spans="2:15" ht="15.75">
      <c r="B3" s="15"/>
      <c r="C3" s="15"/>
      <c r="D3" s="15"/>
      <c r="E3" s="15"/>
      <c r="F3" s="15"/>
      <c r="G3" s="15"/>
      <c r="H3" s="15"/>
      <c r="I3" s="12"/>
      <c r="J3" s="305" t="s">
        <v>301</v>
      </c>
      <c r="K3" s="305"/>
      <c r="L3" s="233"/>
      <c r="M3" s="305"/>
      <c r="N3" s="305"/>
      <c r="O3" s="305"/>
    </row>
    <row r="4" spans="2:15" ht="15.75">
      <c r="B4" s="15"/>
      <c r="C4" s="15"/>
      <c r="D4" s="15"/>
      <c r="E4" s="15"/>
      <c r="F4" s="15"/>
      <c r="G4" s="15"/>
      <c r="H4" s="15"/>
      <c r="I4" s="12" t="s">
        <v>17</v>
      </c>
      <c r="J4" s="241" t="s">
        <v>302</v>
      </c>
      <c r="K4" s="241"/>
      <c r="L4" s="233"/>
      <c r="M4" s="305"/>
      <c r="N4" s="305"/>
      <c r="O4" s="305"/>
    </row>
    <row r="5" spans="2:15" ht="15.75">
      <c r="B5" s="15"/>
      <c r="C5" s="15"/>
      <c r="D5" s="15"/>
      <c r="E5" s="15"/>
      <c r="F5" s="15"/>
      <c r="G5" s="15"/>
      <c r="H5" s="15"/>
      <c r="I5" s="12" t="s">
        <v>18</v>
      </c>
      <c r="J5" s="241" t="s">
        <v>564</v>
      </c>
      <c r="K5" s="241"/>
      <c r="L5" s="233"/>
      <c r="M5" s="305"/>
      <c r="N5" s="305"/>
      <c r="O5" s="305"/>
    </row>
    <row r="6" spans="2:15" ht="15.75">
      <c r="B6" s="15"/>
      <c r="C6" s="15"/>
      <c r="D6" s="15"/>
      <c r="E6" s="15"/>
      <c r="F6" s="15"/>
      <c r="G6" s="15"/>
      <c r="H6" s="15"/>
      <c r="I6" s="12"/>
      <c r="J6" s="241" t="s">
        <v>585</v>
      </c>
      <c r="K6" s="241"/>
      <c r="L6" s="242"/>
      <c r="M6" s="305"/>
      <c r="N6" s="305"/>
      <c r="O6" s="305"/>
    </row>
    <row r="7" spans="2:15" ht="15.75">
      <c r="B7" s="15"/>
      <c r="C7" s="15"/>
      <c r="D7" s="15"/>
      <c r="E7" s="15"/>
      <c r="F7" s="15"/>
      <c r="G7" s="15"/>
      <c r="H7" s="15"/>
      <c r="I7" s="12"/>
      <c r="J7" s="241" t="s">
        <v>586</v>
      </c>
      <c r="K7" s="241"/>
      <c r="L7" s="242"/>
      <c r="M7" s="305"/>
      <c r="N7" s="305"/>
      <c r="O7" s="305"/>
    </row>
    <row r="8" spans="2:15" ht="15.75" customHeight="1">
      <c r="B8" s="15"/>
      <c r="C8" s="15"/>
      <c r="D8" s="15"/>
      <c r="E8" s="15"/>
      <c r="F8" s="15"/>
      <c r="G8" s="15"/>
      <c r="H8" s="15"/>
      <c r="I8" s="12"/>
      <c r="J8" s="734" t="s">
        <v>577</v>
      </c>
      <c r="K8" s="734"/>
      <c r="L8" s="734"/>
      <c r="M8" s="734"/>
      <c r="N8" s="734"/>
      <c r="O8" s="734"/>
    </row>
    <row r="9" spans="2:15" ht="15.75" customHeight="1">
      <c r="B9" s="15"/>
      <c r="C9" s="15"/>
      <c r="D9" s="15"/>
      <c r="E9" s="15"/>
      <c r="F9" s="15"/>
      <c r="G9" s="15"/>
      <c r="H9" s="15"/>
      <c r="I9" s="12"/>
      <c r="J9" s="745" t="s">
        <v>649</v>
      </c>
      <c r="K9" s="745"/>
      <c r="L9" s="597"/>
      <c r="M9" s="597"/>
      <c r="N9" s="597"/>
      <c r="O9" s="597"/>
    </row>
    <row r="10" spans="2:12" ht="15.75">
      <c r="B10" s="15"/>
      <c r="C10" s="15"/>
      <c r="D10" s="15"/>
      <c r="E10" s="15"/>
      <c r="F10" s="15"/>
      <c r="G10" s="15"/>
      <c r="H10" s="15"/>
      <c r="I10" s="15"/>
      <c r="J10" s="15"/>
      <c r="K10" s="15"/>
      <c r="L10" s="15"/>
    </row>
    <row r="11" spans="1:12" ht="35.25" customHeight="1">
      <c r="A11" s="735" t="s">
        <v>485</v>
      </c>
      <c r="B11" s="735"/>
      <c r="C11" s="735"/>
      <c r="D11" s="735"/>
      <c r="E11" s="735"/>
      <c r="F11" s="735"/>
      <c r="G11" s="735"/>
      <c r="H11" s="735"/>
      <c r="I11" s="735"/>
      <c r="J11" s="735"/>
      <c r="K11" s="735"/>
      <c r="L11" s="15"/>
    </row>
    <row r="12" spans="2:12" ht="23.25" customHeight="1">
      <c r="B12" s="15"/>
      <c r="C12" s="15"/>
      <c r="D12" s="743"/>
      <c r="E12" s="743"/>
      <c r="F12" s="743"/>
      <c r="G12" s="743"/>
      <c r="H12" s="743"/>
      <c r="I12" s="15"/>
      <c r="J12" s="15"/>
      <c r="K12" s="34" t="s">
        <v>233</v>
      </c>
      <c r="L12" s="15"/>
    </row>
    <row r="13" spans="1:12" ht="15.75" customHeight="1">
      <c r="A13" s="729" t="s">
        <v>26</v>
      </c>
      <c r="B13" s="729" t="s">
        <v>10</v>
      </c>
      <c r="C13" s="729" t="s">
        <v>11</v>
      </c>
      <c r="D13" s="729" t="s">
        <v>239</v>
      </c>
      <c r="E13" s="744" t="s">
        <v>7</v>
      </c>
      <c r="F13" s="744"/>
      <c r="G13" s="744"/>
      <c r="H13" s="744"/>
      <c r="I13" s="744"/>
      <c r="J13" s="786"/>
      <c r="K13" s="732" t="s">
        <v>13</v>
      </c>
      <c r="L13" s="15"/>
    </row>
    <row r="14" spans="1:12" ht="15.75">
      <c r="A14" s="730"/>
      <c r="B14" s="730"/>
      <c r="C14" s="730"/>
      <c r="D14" s="730"/>
      <c r="E14" s="729">
        <v>2021</v>
      </c>
      <c r="F14" s="729">
        <v>2022</v>
      </c>
      <c r="G14" s="729" t="s">
        <v>22</v>
      </c>
      <c r="H14" s="729" t="s">
        <v>23</v>
      </c>
      <c r="I14" s="729" t="s">
        <v>24</v>
      </c>
      <c r="J14" s="732">
        <v>2023</v>
      </c>
      <c r="K14" s="732"/>
      <c r="L14" s="15"/>
    </row>
    <row r="15" spans="1:12" ht="15.75">
      <c r="A15" s="731"/>
      <c r="B15" s="731"/>
      <c r="C15" s="731"/>
      <c r="D15" s="731"/>
      <c r="E15" s="731"/>
      <c r="F15" s="731"/>
      <c r="G15" s="731"/>
      <c r="H15" s="731"/>
      <c r="I15" s="731"/>
      <c r="J15" s="732"/>
      <c r="K15" s="732"/>
      <c r="L15" s="15"/>
    </row>
    <row r="16" spans="1:12" ht="25.5" customHeight="1">
      <c r="A16" s="737">
        <v>1</v>
      </c>
      <c r="B16" s="835" t="s">
        <v>465</v>
      </c>
      <c r="C16" s="737" t="s">
        <v>340</v>
      </c>
      <c r="D16" s="850">
        <f>E16+F16+J16</f>
        <v>15000</v>
      </c>
      <c r="E16" s="848">
        <f>7000+8000</f>
        <v>15000</v>
      </c>
      <c r="F16" s="848"/>
      <c r="G16" s="93"/>
      <c r="H16" s="93"/>
      <c r="I16" s="93"/>
      <c r="J16" s="848"/>
      <c r="K16" s="737" t="s">
        <v>466</v>
      </c>
      <c r="L16" s="15"/>
    </row>
    <row r="17" spans="1:14" ht="53.25" customHeight="1">
      <c r="A17" s="739"/>
      <c r="B17" s="836"/>
      <c r="C17" s="739"/>
      <c r="D17" s="851"/>
      <c r="E17" s="849"/>
      <c r="F17" s="849"/>
      <c r="G17" s="93"/>
      <c r="H17" s="93"/>
      <c r="I17" s="93"/>
      <c r="J17" s="849"/>
      <c r="K17" s="739"/>
      <c r="L17" s="15"/>
      <c r="N17" s="52">
        <v>441</v>
      </c>
    </row>
    <row r="18" spans="1:12" ht="32.25" customHeight="1">
      <c r="A18" s="65"/>
      <c r="B18" s="56" t="s">
        <v>4</v>
      </c>
      <c r="C18" s="66"/>
      <c r="D18" s="92">
        <f>E18+F18+J18</f>
        <v>15000</v>
      </c>
      <c r="E18" s="92">
        <f aca="true" t="shared" si="0" ref="E18:J18">E16</f>
        <v>15000</v>
      </c>
      <c r="F18" s="92">
        <f t="shared" si="0"/>
        <v>0</v>
      </c>
      <c r="G18" s="92">
        <f t="shared" si="0"/>
        <v>0</v>
      </c>
      <c r="H18" s="92">
        <f t="shared" si="0"/>
        <v>0</v>
      </c>
      <c r="I18" s="92">
        <f t="shared" si="0"/>
        <v>0</v>
      </c>
      <c r="J18" s="92">
        <f t="shared" si="0"/>
        <v>0</v>
      </c>
      <c r="K18" s="67"/>
      <c r="L18" s="15"/>
    </row>
    <row r="19" spans="2:12" ht="11.25" customHeight="1">
      <c r="B19" s="18"/>
      <c r="C19" s="18"/>
      <c r="D19" s="144"/>
      <c r="E19" s="144"/>
      <c r="F19" s="144"/>
      <c r="G19" s="144"/>
      <c r="H19" s="144"/>
      <c r="I19" s="144"/>
      <c r="J19" s="144"/>
      <c r="K19" s="20"/>
      <c r="L19" s="15"/>
    </row>
    <row r="20" spans="2:12" ht="11.25" customHeight="1">
      <c r="B20" s="18"/>
      <c r="C20" s="18"/>
      <c r="D20" s="19"/>
      <c r="E20" s="19"/>
      <c r="F20" s="19"/>
      <c r="G20" s="19"/>
      <c r="H20" s="19"/>
      <c r="I20" s="19"/>
      <c r="J20" s="19"/>
      <c r="K20" s="20"/>
      <c r="L20" s="15"/>
    </row>
    <row r="21" spans="2:12" ht="11.25" customHeight="1">
      <c r="B21" s="50"/>
      <c r="C21" s="51"/>
      <c r="E21" s="19"/>
      <c r="F21" s="19"/>
      <c r="G21" s="19"/>
      <c r="H21" s="19"/>
      <c r="I21" s="19"/>
      <c r="J21" s="19"/>
      <c r="K21" s="51"/>
      <c r="L21" s="15"/>
    </row>
    <row r="22" spans="1:12" ht="16.5" customHeight="1">
      <c r="A22" s="16"/>
      <c r="B22" s="725" t="s">
        <v>650</v>
      </c>
      <c r="C22" s="725"/>
      <c r="D22" s="264"/>
      <c r="E22" s="22"/>
      <c r="F22" s="22"/>
      <c r="G22" s="16"/>
      <c r="H22" s="16"/>
      <c r="I22" s="16"/>
      <c r="J22" s="23"/>
      <c r="K22" s="185" t="s">
        <v>651</v>
      </c>
      <c r="L22" s="23"/>
    </row>
    <row r="23" spans="1:12" ht="10.5" customHeight="1">
      <c r="A23" s="16"/>
      <c r="B23" s="264"/>
      <c r="C23" s="264"/>
      <c r="D23" s="264"/>
      <c r="E23" s="22"/>
      <c r="F23" s="22"/>
      <c r="G23" s="16"/>
      <c r="H23" s="16"/>
      <c r="I23" s="16"/>
      <c r="J23" s="23"/>
      <c r="K23" s="23"/>
      <c r="L23" s="23"/>
    </row>
    <row r="24" spans="1:11" ht="18.75">
      <c r="A24" s="16"/>
      <c r="B24" s="694" t="s">
        <v>673</v>
      </c>
      <c r="C24" s="694"/>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J9:K9"/>
    <mergeCell ref="B22:C22"/>
    <mergeCell ref="B24:C24"/>
    <mergeCell ref="C16:C17"/>
    <mergeCell ref="D16:D17"/>
    <mergeCell ref="E16:E17"/>
    <mergeCell ref="F16:F17"/>
    <mergeCell ref="D12:H12"/>
    <mergeCell ref="A16:A17"/>
    <mergeCell ref="B16:B17"/>
    <mergeCell ref="J8:O8"/>
    <mergeCell ref="K16:K17"/>
    <mergeCell ref="J16:J17"/>
    <mergeCell ref="F14:F15"/>
    <mergeCell ref="A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O35"/>
  <sheetViews>
    <sheetView view="pageBreakPreview" zoomScaleSheetLayoutView="100" zoomScalePageLayoutView="0" workbookViewId="0" topLeftCell="A1">
      <selection activeCell="J27" sqref="J27"/>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678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301</v>
      </c>
      <c r="K3" s="12"/>
      <c r="L3" s="15"/>
      <c r="M3" s="12"/>
      <c r="N3" s="12"/>
      <c r="O3" s="12"/>
    </row>
    <row r="4" spans="2:15" ht="15.75">
      <c r="B4" s="15"/>
      <c r="C4" s="15"/>
      <c r="D4" s="15"/>
      <c r="E4" s="15"/>
      <c r="F4" s="15"/>
      <c r="G4" s="15"/>
      <c r="H4" s="15"/>
      <c r="I4" s="12" t="s">
        <v>17</v>
      </c>
      <c r="J4" s="17" t="s">
        <v>302</v>
      </c>
      <c r="K4" s="17"/>
      <c r="L4" s="15"/>
      <c r="M4" s="12"/>
      <c r="N4" s="12"/>
      <c r="O4" s="12"/>
    </row>
    <row r="5" spans="2:15" ht="15.75">
      <c r="B5" s="15"/>
      <c r="C5" s="15"/>
      <c r="D5" s="15"/>
      <c r="E5" s="15"/>
      <c r="F5" s="15"/>
      <c r="G5" s="15"/>
      <c r="H5" s="15"/>
      <c r="I5" s="12" t="s">
        <v>18</v>
      </c>
      <c r="J5" s="17" t="s">
        <v>564</v>
      </c>
      <c r="K5" s="17"/>
      <c r="L5" s="15"/>
      <c r="M5" s="12"/>
      <c r="N5" s="12"/>
      <c r="O5" s="12"/>
    </row>
    <row r="6" spans="2:15" ht="15.75">
      <c r="B6" s="15"/>
      <c r="C6" s="15"/>
      <c r="D6" s="15"/>
      <c r="E6" s="15"/>
      <c r="F6" s="15"/>
      <c r="G6" s="15"/>
      <c r="H6" s="15"/>
      <c r="I6" s="12"/>
      <c r="J6" s="17" t="s">
        <v>582</v>
      </c>
      <c r="K6" s="17"/>
      <c r="L6" s="245"/>
      <c r="M6" s="12"/>
      <c r="N6" s="12"/>
      <c r="O6" s="12"/>
    </row>
    <row r="7" spans="2:15" ht="15.75">
      <c r="B7" s="15"/>
      <c r="C7" s="15"/>
      <c r="D7" s="15"/>
      <c r="E7" s="15"/>
      <c r="F7" s="15"/>
      <c r="G7" s="15"/>
      <c r="H7" s="15"/>
      <c r="I7" s="12"/>
      <c r="J7" s="17" t="s">
        <v>583</v>
      </c>
      <c r="K7" s="17"/>
      <c r="L7" s="245"/>
      <c r="M7" s="12"/>
      <c r="N7" s="12"/>
      <c r="O7" s="12"/>
    </row>
    <row r="8" spans="2:15" ht="15.75" customHeight="1">
      <c r="B8" s="15"/>
      <c r="C8" s="15"/>
      <c r="D8" s="15"/>
      <c r="E8" s="15"/>
      <c r="F8" s="15"/>
      <c r="G8" s="15"/>
      <c r="H8" s="16"/>
      <c r="I8" s="12" t="s">
        <v>19</v>
      </c>
      <c r="J8" s="745" t="s">
        <v>577</v>
      </c>
      <c r="K8" s="745"/>
      <c r="L8" s="745"/>
      <c r="M8" s="745"/>
      <c r="N8" s="745"/>
      <c r="O8" s="745"/>
    </row>
    <row r="9" spans="2:15" ht="15.75">
      <c r="B9" s="15"/>
      <c r="C9" s="15"/>
      <c r="D9" s="15"/>
      <c r="E9" s="15"/>
      <c r="F9" s="15"/>
      <c r="G9" s="15"/>
      <c r="H9" s="16"/>
      <c r="I9" s="12"/>
      <c r="J9" s="745" t="s">
        <v>687</v>
      </c>
      <c r="K9" s="745"/>
      <c r="L9" s="553"/>
      <c r="M9" s="553"/>
      <c r="N9" s="553"/>
      <c r="O9" s="553"/>
    </row>
    <row r="10" spans="2:12" ht="15.75">
      <c r="B10" s="15"/>
      <c r="C10" s="15"/>
      <c r="D10" s="15"/>
      <c r="E10" s="15"/>
      <c r="F10" s="15"/>
      <c r="G10" s="15"/>
      <c r="H10" s="15"/>
      <c r="I10" s="15"/>
      <c r="J10" s="15"/>
      <c r="K10" s="15"/>
      <c r="L10" s="15"/>
    </row>
    <row r="11" spans="2:12" ht="38.25" customHeight="1">
      <c r="B11" s="735" t="s">
        <v>377</v>
      </c>
      <c r="C11" s="735"/>
      <c r="D11" s="735"/>
      <c r="E11" s="735"/>
      <c r="F11" s="735"/>
      <c r="G11" s="735"/>
      <c r="H11" s="735"/>
      <c r="I11" s="735"/>
      <c r="J11" s="735"/>
      <c r="K11" s="735"/>
      <c r="L11" s="15"/>
    </row>
    <row r="12" spans="2:12" ht="15.75">
      <c r="B12" s="15"/>
      <c r="C12" s="15"/>
      <c r="D12" s="743"/>
      <c r="E12" s="743"/>
      <c r="F12" s="743"/>
      <c r="G12" s="743"/>
      <c r="H12" s="743"/>
      <c r="I12" s="15"/>
      <c r="J12" s="15"/>
      <c r="K12" s="34" t="s">
        <v>249</v>
      </c>
      <c r="L12" s="15"/>
    </row>
    <row r="13" spans="1:12" ht="15.75" customHeight="1">
      <c r="A13" s="729" t="s">
        <v>26</v>
      </c>
      <c r="B13" s="729" t="s">
        <v>10</v>
      </c>
      <c r="C13" s="729" t="s">
        <v>11</v>
      </c>
      <c r="D13" s="729" t="s">
        <v>235</v>
      </c>
      <c r="E13" s="744" t="s">
        <v>7</v>
      </c>
      <c r="F13" s="744"/>
      <c r="G13" s="744"/>
      <c r="H13" s="744"/>
      <c r="I13" s="744"/>
      <c r="J13" s="786"/>
      <c r="K13" s="732" t="s">
        <v>13</v>
      </c>
      <c r="L13" s="15"/>
    </row>
    <row r="14" spans="1:12" ht="15.75">
      <c r="A14" s="730"/>
      <c r="B14" s="730"/>
      <c r="C14" s="730"/>
      <c r="D14" s="730"/>
      <c r="E14" s="729">
        <v>2021</v>
      </c>
      <c r="F14" s="729">
        <v>2022</v>
      </c>
      <c r="G14" s="729" t="s">
        <v>22</v>
      </c>
      <c r="H14" s="729" t="s">
        <v>23</v>
      </c>
      <c r="I14" s="729" t="s">
        <v>24</v>
      </c>
      <c r="J14" s="732">
        <v>2023</v>
      </c>
      <c r="K14" s="732"/>
      <c r="L14" s="15"/>
    </row>
    <row r="15" spans="1:12" ht="15.75">
      <c r="A15" s="731"/>
      <c r="B15" s="731"/>
      <c r="C15" s="731"/>
      <c r="D15" s="731"/>
      <c r="E15" s="731"/>
      <c r="F15" s="731"/>
      <c r="G15" s="731"/>
      <c r="H15" s="731"/>
      <c r="I15" s="731"/>
      <c r="J15" s="732"/>
      <c r="K15" s="732"/>
      <c r="L15" s="15"/>
    </row>
    <row r="16" spans="1:12" ht="28.5" customHeight="1">
      <c r="A16" s="737">
        <v>1</v>
      </c>
      <c r="B16" s="737" t="s">
        <v>72</v>
      </c>
      <c r="C16" s="737" t="s">
        <v>340</v>
      </c>
      <c r="D16" s="827">
        <f>E16+F16+J16</f>
        <v>760</v>
      </c>
      <c r="E16" s="808">
        <f>300-200</f>
        <v>100</v>
      </c>
      <c r="F16" s="852">
        <v>320</v>
      </c>
      <c r="G16" s="59"/>
      <c r="H16" s="59"/>
      <c r="I16" s="59"/>
      <c r="J16" s="829">
        <v>340</v>
      </c>
      <c r="K16" s="737" t="s">
        <v>161</v>
      </c>
      <c r="L16" s="15"/>
    </row>
    <row r="17" spans="1:14" ht="21" customHeight="1">
      <c r="A17" s="739"/>
      <c r="B17" s="739"/>
      <c r="C17" s="739"/>
      <c r="D17" s="828"/>
      <c r="E17" s="809"/>
      <c r="F17" s="853"/>
      <c r="G17" s="59"/>
      <c r="H17" s="59"/>
      <c r="I17" s="59"/>
      <c r="J17" s="830"/>
      <c r="K17" s="739"/>
      <c r="L17" s="15"/>
      <c r="N17" s="52">
        <v>441</v>
      </c>
    </row>
    <row r="18" spans="1:14" ht="44.25" customHeight="1" hidden="1">
      <c r="A18" s="221">
        <v>2</v>
      </c>
      <c r="B18" s="143" t="s">
        <v>309</v>
      </c>
      <c r="C18" s="35" t="s">
        <v>296</v>
      </c>
      <c r="D18" s="58">
        <f>SUM(E18:J18)</f>
        <v>2000</v>
      </c>
      <c r="E18" s="60"/>
      <c r="F18" s="59"/>
      <c r="G18" s="59"/>
      <c r="H18" s="59"/>
      <c r="I18" s="59"/>
      <c r="J18" s="59">
        <v>2000</v>
      </c>
      <c r="K18" s="221" t="s">
        <v>25</v>
      </c>
      <c r="L18" s="15"/>
      <c r="N18" s="52"/>
    </row>
    <row r="19" spans="1:14" ht="44.25" customHeight="1" hidden="1">
      <c r="A19" s="221">
        <v>3</v>
      </c>
      <c r="B19" s="143" t="s">
        <v>310</v>
      </c>
      <c r="C19" s="35" t="s">
        <v>296</v>
      </c>
      <c r="D19" s="58">
        <f>SUM(E19:J19)</f>
        <v>6000</v>
      </c>
      <c r="E19" s="60"/>
      <c r="F19" s="59"/>
      <c r="G19" s="59"/>
      <c r="H19" s="59"/>
      <c r="I19" s="59"/>
      <c r="J19" s="59">
        <v>6000</v>
      </c>
      <c r="K19" s="221" t="s">
        <v>25</v>
      </c>
      <c r="L19" s="15"/>
      <c r="N19" s="52"/>
    </row>
    <row r="20" spans="1:14" ht="44.25" customHeight="1" hidden="1">
      <c r="A20" s="221">
        <v>4</v>
      </c>
      <c r="B20" s="143" t="s">
        <v>311</v>
      </c>
      <c r="C20" s="35" t="s">
        <v>296</v>
      </c>
      <c r="D20" s="58">
        <f>SUM(E20:J20)</f>
        <v>1000</v>
      </c>
      <c r="E20" s="60"/>
      <c r="F20" s="59"/>
      <c r="G20" s="59"/>
      <c r="H20" s="59"/>
      <c r="I20" s="59"/>
      <c r="J20" s="59">
        <v>1000</v>
      </c>
      <c r="K20" s="221" t="s">
        <v>25</v>
      </c>
      <c r="L20" s="15"/>
      <c r="N20" s="52"/>
    </row>
    <row r="21" spans="1:12" ht="23.25" customHeight="1">
      <c r="A21" s="65"/>
      <c r="B21" s="56" t="s">
        <v>4</v>
      </c>
      <c r="C21" s="66"/>
      <c r="D21" s="58">
        <f aca="true" t="shared" si="0" ref="D21:J21">D16</f>
        <v>760</v>
      </c>
      <c r="E21" s="58">
        <f t="shared" si="0"/>
        <v>100</v>
      </c>
      <c r="F21" s="58">
        <f t="shared" si="0"/>
        <v>320</v>
      </c>
      <c r="G21" s="58">
        <f t="shared" si="0"/>
        <v>0</v>
      </c>
      <c r="H21" s="58">
        <f t="shared" si="0"/>
        <v>0</v>
      </c>
      <c r="I21" s="58">
        <f t="shared" si="0"/>
        <v>0</v>
      </c>
      <c r="J21" s="58">
        <f t="shared" si="0"/>
        <v>340</v>
      </c>
      <c r="K21" s="67"/>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0"/>
      <c r="C26" s="51"/>
      <c r="E26" s="19"/>
      <c r="F26" s="19"/>
      <c r="G26" s="19"/>
      <c r="H26" s="19"/>
      <c r="I26" s="19"/>
      <c r="J26" s="19"/>
      <c r="K26" s="51"/>
      <c r="L26" s="15"/>
    </row>
    <row r="27" spans="2:15" ht="21" customHeight="1">
      <c r="B27" s="785" t="s">
        <v>15</v>
      </c>
      <c r="C27" s="785"/>
      <c r="D27" s="264"/>
      <c r="E27" s="22"/>
      <c r="F27" s="22"/>
      <c r="G27" s="16"/>
      <c r="H27" s="16"/>
      <c r="I27" s="16"/>
      <c r="J27" s="23"/>
      <c r="K27" s="807" t="s">
        <v>674</v>
      </c>
      <c r="L27" s="807"/>
      <c r="M27" s="807"/>
      <c r="N27" s="807"/>
      <c r="O27" s="807"/>
    </row>
    <row r="28" spans="2:12" ht="13.5" customHeight="1">
      <c r="B28" s="264"/>
      <c r="C28" s="264"/>
      <c r="D28" s="264"/>
      <c r="E28" s="22"/>
      <c r="F28" s="22"/>
      <c r="G28" s="16"/>
      <c r="H28" s="16"/>
      <c r="I28" s="16"/>
      <c r="J28" s="23"/>
      <c r="K28" s="23"/>
      <c r="L28" s="23"/>
    </row>
    <row r="29" spans="2:11" ht="18.75">
      <c r="B29" s="694" t="s">
        <v>673</v>
      </c>
      <c r="C29" s="694"/>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J9:K9"/>
    <mergeCell ref="B27:C27"/>
    <mergeCell ref="B29:C29"/>
    <mergeCell ref="C16:C17"/>
    <mergeCell ref="D16:D17"/>
    <mergeCell ref="E16:E17"/>
    <mergeCell ref="F16:F17"/>
    <mergeCell ref="D12:H12"/>
    <mergeCell ref="K27:O27"/>
    <mergeCell ref="A16:A17"/>
    <mergeCell ref="B16:B17"/>
    <mergeCell ref="J8:O8"/>
    <mergeCell ref="K16:K17"/>
    <mergeCell ref="J16:J17"/>
    <mergeCell ref="F14:F15"/>
    <mergeCell ref="B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3937007874015748" right="0.3937007874015748" top="1.1811023622047245" bottom="0.1968503937007874" header="0" footer="0"/>
  <pageSetup fitToHeight="1" fitToWidth="1"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1:L75"/>
  <sheetViews>
    <sheetView view="pageBreakPreview" zoomScale="90" zoomScaleSheetLayoutView="90" zoomScalePageLayoutView="0" workbookViewId="0" topLeftCell="A4">
      <selection activeCell="F47" sqref="F4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8.4218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spans="7:12" ht="18.75">
      <c r="G1" s="598" t="s">
        <v>255</v>
      </c>
      <c r="H1" s="209"/>
      <c r="I1" s="209"/>
      <c r="J1" s="209"/>
      <c r="K1" s="209"/>
      <c r="L1" s="209"/>
    </row>
    <row r="2" spans="2:12" ht="15.75">
      <c r="B2" s="15"/>
      <c r="C2" s="15"/>
      <c r="D2" s="15"/>
      <c r="E2" s="15"/>
      <c r="F2" s="15"/>
      <c r="G2" s="305" t="s">
        <v>9</v>
      </c>
      <c r="H2" s="305"/>
      <c r="I2" s="233"/>
      <c r="J2" s="305"/>
      <c r="K2" s="305"/>
      <c r="L2" s="305"/>
    </row>
    <row r="3" spans="2:12" ht="15.75">
      <c r="B3" s="15"/>
      <c r="C3" s="15"/>
      <c r="D3" s="15"/>
      <c r="E3" s="15"/>
      <c r="F3" s="15"/>
      <c r="G3" s="305" t="s">
        <v>301</v>
      </c>
      <c r="H3" s="305"/>
      <c r="I3" s="233"/>
      <c r="J3" s="305"/>
      <c r="K3" s="305"/>
      <c r="L3" s="305"/>
    </row>
    <row r="4" spans="2:12" ht="15.75">
      <c r="B4" s="15"/>
      <c r="C4" s="15"/>
      <c r="D4" s="15"/>
      <c r="E4" s="15"/>
      <c r="F4" s="15"/>
      <c r="G4" s="241" t="s">
        <v>302</v>
      </c>
      <c r="H4" s="241"/>
      <c r="I4" s="233"/>
      <c r="J4" s="305"/>
      <c r="K4" s="305"/>
      <c r="L4" s="305"/>
    </row>
    <row r="5" spans="2:12" ht="15.75">
      <c r="B5" s="15"/>
      <c r="C5" s="15"/>
      <c r="D5" s="15"/>
      <c r="E5" s="15"/>
      <c r="F5" s="15"/>
      <c r="G5" s="241" t="s">
        <v>564</v>
      </c>
      <c r="H5" s="241"/>
      <c r="I5" s="233"/>
      <c r="J5" s="305"/>
      <c r="K5" s="305"/>
      <c r="L5" s="305"/>
    </row>
    <row r="6" spans="2:12" ht="15.75">
      <c r="B6" s="15"/>
      <c r="C6" s="15"/>
      <c r="D6" s="15"/>
      <c r="E6" s="15"/>
      <c r="F6" s="15"/>
      <c r="G6" s="241" t="s">
        <v>581</v>
      </c>
      <c r="H6" s="241"/>
      <c r="I6" s="242"/>
      <c r="J6" s="305"/>
      <c r="K6" s="305"/>
      <c r="L6" s="305"/>
    </row>
    <row r="7" spans="2:12" ht="15.75" customHeight="1">
      <c r="B7" s="15"/>
      <c r="C7" s="15"/>
      <c r="D7" s="15"/>
      <c r="E7" s="15"/>
      <c r="F7" s="15"/>
      <c r="G7" s="734" t="s">
        <v>591</v>
      </c>
      <c r="H7" s="734"/>
      <c r="I7" s="734"/>
      <c r="J7" s="734"/>
      <c r="K7" s="734"/>
      <c r="L7" s="734"/>
    </row>
    <row r="8" spans="2:12" ht="15.75" customHeight="1">
      <c r="B8" s="15"/>
      <c r="C8" s="15"/>
      <c r="D8" s="15"/>
      <c r="E8" s="15"/>
      <c r="F8" s="15"/>
      <c r="G8" s="745" t="s">
        <v>687</v>
      </c>
      <c r="H8" s="745"/>
      <c r="I8" s="597"/>
      <c r="J8" s="597"/>
      <c r="K8" s="597"/>
      <c r="L8" s="597"/>
    </row>
    <row r="9" spans="2:8" ht="11.25" customHeight="1">
      <c r="B9" s="15"/>
      <c r="C9" s="15"/>
      <c r="D9" s="15"/>
      <c r="E9" s="15"/>
      <c r="F9" s="15"/>
      <c r="H9" s="15"/>
    </row>
    <row r="10" spans="2:8" ht="16.5" customHeight="1">
      <c r="B10" s="787" t="s">
        <v>342</v>
      </c>
      <c r="C10" s="787"/>
      <c r="D10" s="787"/>
      <c r="E10" s="787"/>
      <c r="F10" s="787"/>
      <c r="G10" s="787"/>
      <c r="H10" s="787"/>
    </row>
    <row r="11" spans="2:8" ht="4.5" customHeight="1">
      <c r="B11" s="15"/>
      <c r="C11" s="15"/>
      <c r="D11" s="743"/>
      <c r="E11" s="743"/>
      <c r="F11" s="743"/>
      <c r="G11" s="15"/>
      <c r="H11" s="15"/>
    </row>
    <row r="12" spans="1:8" ht="20.25" customHeight="1">
      <c r="A12" s="732" t="s">
        <v>26</v>
      </c>
      <c r="B12" s="786" t="s">
        <v>10</v>
      </c>
      <c r="C12" s="729" t="s">
        <v>11</v>
      </c>
      <c r="D12" s="729" t="s">
        <v>12</v>
      </c>
      <c r="E12" s="744" t="s">
        <v>7</v>
      </c>
      <c r="F12" s="744"/>
      <c r="G12" s="786"/>
      <c r="H12" s="732" t="s">
        <v>13</v>
      </c>
    </row>
    <row r="13" spans="1:8" ht="45" customHeight="1">
      <c r="A13" s="732"/>
      <c r="B13" s="854"/>
      <c r="C13" s="730"/>
      <c r="D13" s="730"/>
      <c r="E13" s="788">
        <v>2021</v>
      </c>
      <c r="F13" s="788">
        <v>2022</v>
      </c>
      <c r="G13" s="788">
        <v>2023</v>
      </c>
      <c r="H13" s="732"/>
    </row>
    <row r="14" spans="1:8" ht="1.5" customHeight="1">
      <c r="A14" s="732"/>
      <c r="B14" s="834"/>
      <c r="C14" s="731"/>
      <c r="D14" s="731"/>
      <c r="E14" s="790"/>
      <c r="F14" s="790"/>
      <c r="G14" s="790"/>
      <c r="H14" s="732"/>
    </row>
    <row r="15" spans="1:8" s="328" customFormat="1" ht="39.75" customHeight="1">
      <c r="A15" s="411"/>
      <c r="B15" s="402" t="s">
        <v>343</v>
      </c>
      <c r="C15" s="398"/>
      <c r="D15" s="459">
        <f>E15+F15+G15</f>
        <v>75247.6</v>
      </c>
      <c r="E15" s="460">
        <f>E16+E23+E29+E37</f>
        <v>7900</v>
      </c>
      <c r="F15" s="460">
        <f>F16+F23+F29</f>
        <v>32733.8</v>
      </c>
      <c r="G15" s="460">
        <f>G16+G23+G29</f>
        <v>34613.8</v>
      </c>
      <c r="H15" s="399"/>
    </row>
    <row r="16" spans="1:8" ht="33" customHeight="1">
      <c r="A16" s="412" t="s">
        <v>467</v>
      </c>
      <c r="B16" s="454" t="s">
        <v>347</v>
      </c>
      <c r="C16" s="35" t="s">
        <v>340</v>
      </c>
      <c r="D16" s="461">
        <f aca="true" t="shared" si="0" ref="D16:D33">E16+F16+G16</f>
        <v>50500</v>
      </c>
      <c r="E16" s="462">
        <f>20100-13700</f>
        <v>6400</v>
      </c>
      <c r="F16" s="462">
        <v>21400</v>
      </c>
      <c r="G16" s="462">
        <v>22700</v>
      </c>
      <c r="H16" s="737" t="s">
        <v>161</v>
      </c>
    </row>
    <row r="17" spans="1:8" s="325" customFormat="1" ht="81.75" customHeight="1" hidden="1">
      <c r="A17" s="412" t="s">
        <v>162</v>
      </c>
      <c r="B17" s="403" t="s">
        <v>350</v>
      </c>
      <c r="C17" s="35" t="str">
        <f aca="true" t="shared" si="1" ref="C17:C22">$C$16</f>
        <v>Бюджет ТГ</v>
      </c>
      <c r="D17" s="461">
        <f t="shared" si="0"/>
        <v>0</v>
      </c>
      <c r="E17" s="462"/>
      <c r="F17" s="462"/>
      <c r="G17" s="463"/>
      <c r="H17" s="738"/>
    </row>
    <row r="18" spans="1:8" s="325" customFormat="1" ht="99" customHeight="1" hidden="1">
      <c r="A18" s="412" t="s">
        <v>169</v>
      </c>
      <c r="B18" s="404" t="s">
        <v>351</v>
      </c>
      <c r="C18" s="35" t="str">
        <f t="shared" si="1"/>
        <v>Бюджет ТГ</v>
      </c>
      <c r="D18" s="461">
        <f t="shared" si="0"/>
        <v>0</v>
      </c>
      <c r="E18" s="462"/>
      <c r="F18" s="462"/>
      <c r="G18" s="463"/>
      <c r="H18" s="738"/>
    </row>
    <row r="19" spans="1:8" s="325" customFormat="1" ht="57" customHeight="1" hidden="1">
      <c r="A19" s="412" t="s">
        <v>170</v>
      </c>
      <c r="B19" s="400" t="s">
        <v>352</v>
      </c>
      <c r="C19" s="62" t="str">
        <f t="shared" si="1"/>
        <v>Бюджет ТГ</v>
      </c>
      <c r="D19" s="461">
        <f t="shared" si="0"/>
        <v>0</v>
      </c>
      <c r="E19" s="462"/>
      <c r="F19" s="462"/>
      <c r="G19" s="464"/>
      <c r="H19" s="738"/>
    </row>
    <row r="20" spans="1:8" s="325" customFormat="1" ht="57" customHeight="1" hidden="1">
      <c r="A20" s="412" t="s">
        <v>171</v>
      </c>
      <c r="B20" s="403" t="s">
        <v>353</v>
      </c>
      <c r="C20" s="62" t="str">
        <f t="shared" si="1"/>
        <v>Бюджет ТГ</v>
      </c>
      <c r="D20" s="461">
        <f t="shared" si="0"/>
        <v>0</v>
      </c>
      <c r="E20" s="465"/>
      <c r="F20" s="465"/>
      <c r="G20" s="461"/>
      <c r="H20" s="738"/>
    </row>
    <row r="21" spans="1:8" s="325" customFormat="1" ht="66.75" customHeight="1" hidden="1">
      <c r="A21" s="412" t="s">
        <v>172</v>
      </c>
      <c r="B21" s="406" t="s">
        <v>354</v>
      </c>
      <c r="C21" s="230" t="str">
        <f t="shared" si="1"/>
        <v>Бюджет ТГ</v>
      </c>
      <c r="D21" s="461">
        <f t="shared" si="0"/>
        <v>0</v>
      </c>
      <c r="E21" s="462"/>
      <c r="F21" s="462"/>
      <c r="G21" s="463"/>
      <c r="H21" s="738"/>
    </row>
    <row r="22" spans="1:8" s="325" customFormat="1" ht="57.75" customHeight="1" hidden="1">
      <c r="A22" s="412" t="s">
        <v>173</v>
      </c>
      <c r="B22" s="406" t="s">
        <v>426</v>
      </c>
      <c r="C22" s="230" t="str">
        <f t="shared" si="1"/>
        <v>Бюджет ТГ</v>
      </c>
      <c r="D22" s="461">
        <f t="shared" si="0"/>
        <v>0</v>
      </c>
      <c r="E22" s="462"/>
      <c r="F22" s="462"/>
      <c r="G22" s="463"/>
      <c r="H22" s="738"/>
    </row>
    <row r="23" spans="1:8" ht="27.75" customHeight="1">
      <c r="A23" s="412" t="s">
        <v>314</v>
      </c>
      <c r="B23" s="455" t="s">
        <v>344</v>
      </c>
      <c r="C23" s="229" t="s">
        <v>340</v>
      </c>
      <c r="D23" s="461">
        <f t="shared" si="0"/>
        <v>3247.6</v>
      </c>
      <c r="E23" s="462">
        <f>1250-750</f>
        <v>500</v>
      </c>
      <c r="F23" s="462">
        <v>1333.8</v>
      </c>
      <c r="G23" s="463">
        <v>1413.8</v>
      </c>
      <c r="H23" s="738"/>
    </row>
    <row r="24" spans="1:8" ht="56.25" customHeight="1" hidden="1">
      <c r="A24" s="412" t="s">
        <v>208</v>
      </c>
      <c r="B24" s="405" t="s">
        <v>361</v>
      </c>
      <c r="C24" s="229" t="s">
        <v>340</v>
      </c>
      <c r="D24" s="461">
        <f t="shared" si="0"/>
        <v>250</v>
      </c>
      <c r="E24" s="462">
        <v>250</v>
      </c>
      <c r="F24" s="462"/>
      <c r="G24" s="463"/>
      <c r="H24" s="738"/>
    </row>
    <row r="25" spans="1:8" ht="57" customHeight="1" hidden="1">
      <c r="A25" s="412" t="s">
        <v>232</v>
      </c>
      <c r="B25" s="405" t="s">
        <v>362</v>
      </c>
      <c r="C25" s="229" t="s">
        <v>340</v>
      </c>
      <c r="D25" s="461">
        <f t="shared" si="0"/>
        <v>250</v>
      </c>
      <c r="E25" s="462">
        <v>250</v>
      </c>
      <c r="F25" s="462"/>
      <c r="G25" s="463"/>
      <c r="H25" s="738"/>
    </row>
    <row r="26" spans="1:8" ht="56.25" customHeight="1" hidden="1">
      <c r="A26" s="412" t="s">
        <v>242</v>
      </c>
      <c r="B26" s="405" t="s">
        <v>363</v>
      </c>
      <c r="C26" s="229" t="s">
        <v>340</v>
      </c>
      <c r="D26" s="461">
        <f t="shared" si="0"/>
        <v>250</v>
      </c>
      <c r="E26" s="462">
        <v>250</v>
      </c>
      <c r="F26" s="462"/>
      <c r="G26" s="463"/>
      <c r="H26" s="738"/>
    </row>
    <row r="27" spans="1:8" ht="57.75" customHeight="1" hidden="1">
      <c r="A27" s="412" t="s">
        <v>243</v>
      </c>
      <c r="B27" s="405" t="s">
        <v>364</v>
      </c>
      <c r="C27" s="229" t="s">
        <v>340</v>
      </c>
      <c r="D27" s="461">
        <f t="shared" si="0"/>
        <v>250</v>
      </c>
      <c r="E27" s="462">
        <v>250</v>
      </c>
      <c r="F27" s="462"/>
      <c r="G27" s="463"/>
      <c r="H27" s="738"/>
    </row>
    <row r="28" spans="1:8" ht="55.5" customHeight="1" hidden="1">
      <c r="A28" s="412" t="s">
        <v>244</v>
      </c>
      <c r="B28" s="405" t="s">
        <v>365</v>
      </c>
      <c r="C28" s="229" t="s">
        <v>340</v>
      </c>
      <c r="D28" s="461">
        <f t="shared" si="0"/>
        <v>250</v>
      </c>
      <c r="E28" s="462">
        <v>250</v>
      </c>
      <c r="F28" s="462"/>
      <c r="G28" s="463"/>
      <c r="H28" s="738"/>
    </row>
    <row r="29" spans="1:8" ht="29.25" customHeight="1">
      <c r="A29" s="412" t="s">
        <v>300</v>
      </c>
      <c r="B29" s="456" t="s">
        <v>345</v>
      </c>
      <c r="C29" s="229" t="s">
        <v>340</v>
      </c>
      <c r="D29" s="461">
        <f>E29+F29+G29</f>
        <v>21500</v>
      </c>
      <c r="E29" s="462">
        <f>15000-14000</f>
        <v>1000</v>
      </c>
      <c r="F29" s="462">
        <v>10000</v>
      </c>
      <c r="G29" s="463">
        <v>10500</v>
      </c>
      <c r="H29" s="738"/>
    </row>
    <row r="30" spans="1:8" ht="56.25" customHeight="1" hidden="1">
      <c r="A30" s="412" t="s">
        <v>256</v>
      </c>
      <c r="B30" s="403" t="s">
        <v>355</v>
      </c>
      <c r="C30" s="229" t="s">
        <v>340</v>
      </c>
      <c r="D30" s="461">
        <f t="shared" si="0"/>
        <v>1200</v>
      </c>
      <c r="E30" s="462">
        <v>1200</v>
      </c>
      <c r="F30" s="462"/>
      <c r="G30" s="463"/>
      <c r="H30" s="738"/>
    </row>
    <row r="31" spans="1:8" ht="86.25" customHeight="1" hidden="1">
      <c r="A31" s="412" t="s">
        <v>285</v>
      </c>
      <c r="B31" s="404" t="s">
        <v>356</v>
      </c>
      <c r="C31" s="229" t="s">
        <v>340</v>
      </c>
      <c r="D31" s="461">
        <f t="shared" si="0"/>
        <v>300</v>
      </c>
      <c r="E31" s="462">
        <v>300</v>
      </c>
      <c r="F31" s="462"/>
      <c r="G31" s="463"/>
      <c r="H31" s="738"/>
    </row>
    <row r="32" spans="1:8" ht="57" customHeight="1" hidden="1">
      <c r="A32" s="412" t="s">
        <v>325</v>
      </c>
      <c r="B32" s="404" t="s">
        <v>357</v>
      </c>
      <c r="C32" s="229" t="s">
        <v>340</v>
      </c>
      <c r="D32" s="461">
        <f t="shared" si="0"/>
        <v>3000</v>
      </c>
      <c r="E32" s="462">
        <v>3000</v>
      </c>
      <c r="F32" s="462"/>
      <c r="G32" s="463"/>
      <c r="H32" s="738"/>
    </row>
    <row r="33" spans="1:8" ht="55.5" customHeight="1" hidden="1">
      <c r="A33" s="412" t="s">
        <v>326</v>
      </c>
      <c r="B33" s="405" t="s">
        <v>358</v>
      </c>
      <c r="C33" s="229" t="s">
        <v>340</v>
      </c>
      <c r="D33" s="461">
        <f t="shared" si="0"/>
        <v>550</v>
      </c>
      <c r="E33" s="462">
        <v>550</v>
      </c>
      <c r="F33" s="462"/>
      <c r="G33" s="463"/>
      <c r="H33" s="738"/>
    </row>
    <row r="34" spans="1:8" ht="61.5" customHeight="1" hidden="1">
      <c r="A34" s="412" t="s">
        <v>334</v>
      </c>
      <c r="B34" s="405" t="s">
        <v>359</v>
      </c>
      <c r="C34" s="229" t="s">
        <v>340</v>
      </c>
      <c r="D34" s="461">
        <f aca="true" t="shared" si="2" ref="D34:D64">E34+F34+G34</f>
        <v>400</v>
      </c>
      <c r="E34" s="462">
        <v>400</v>
      </c>
      <c r="F34" s="462"/>
      <c r="G34" s="463"/>
      <c r="H34" s="738"/>
    </row>
    <row r="35" spans="1:8" ht="78" customHeight="1" hidden="1">
      <c r="A35" s="412" t="s">
        <v>468</v>
      </c>
      <c r="B35" s="405" t="s">
        <v>360</v>
      </c>
      <c r="C35" s="229" t="s">
        <v>340</v>
      </c>
      <c r="D35" s="461">
        <f t="shared" si="2"/>
        <v>2350</v>
      </c>
      <c r="E35" s="462">
        <v>2350</v>
      </c>
      <c r="F35" s="462"/>
      <c r="G35" s="463"/>
      <c r="H35" s="738"/>
    </row>
    <row r="36" spans="1:8" ht="55.5" customHeight="1" hidden="1">
      <c r="A36" s="412" t="s">
        <v>469</v>
      </c>
      <c r="B36" s="405" t="s">
        <v>427</v>
      </c>
      <c r="C36" s="229" t="s">
        <v>340</v>
      </c>
      <c r="D36" s="461">
        <f t="shared" si="2"/>
        <v>1500</v>
      </c>
      <c r="E36" s="462">
        <v>1500</v>
      </c>
      <c r="F36" s="462"/>
      <c r="G36" s="463"/>
      <c r="H36" s="738"/>
    </row>
    <row r="37" spans="1:8" ht="40.5" customHeight="1">
      <c r="A37" s="412" t="s">
        <v>540</v>
      </c>
      <c r="B37" s="405" t="s">
        <v>541</v>
      </c>
      <c r="C37" s="229" t="s">
        <v>340</v>
      </c>
      <c r="D37" s="461">
        <f t="shared" si="2"/>
        <v>0</v>
      </c>
      <c r="E37" s="462">
        <f>4500-4500</f>
        <v>0</v>
      </c>
      <c r="F37" s="462"/>
      <c r="G37" s="463"/>
      <c r="H37" s="739"/>
    </row>
    <row r="38" spans="1:10" s="328" customFormat="1" ht="48.75" customHeight="1">
      <c r="A38" s="415"/>
      <c r="B38" s="407" t="s">
        <v>346</v>
      </c>
      <c r="C38" s="401"/>
      <c r="D38" s="459">
        <f>E38+F38+G38</f>
        <v>183325</v>
      </c>
      <c r="E38" s="460">
        <f>E39+E48+E55+E57</f>
        <v>24325</v>
      </c>
      <c r="F38" s="460">
        <f>F39+F48+F55+F57</f>
        <v>64000</v>
      </c>
      <c r="G38" s="460">
        <f>G39+G48+G55+G57</f>
        <v>95000</v>
      </c>
      <c r="H38" s="398"/>
      <c r="J38" s="443"/>
    </row>
    <row r="39" spans="1:8" ht="37.5" customHeight="1">
      <c r="A39" s="412" t="s">
        <v>331</v>
      </c>
      <c r="B39" s="456" t="s">
        <v>347</v>
      </c>
      <c r="C39" s="229" t="s">
        <v>340</v>
      </c>
      <c r="D39" s="461">
        <f t="shared" si="2"/>
        <v>16855</v>
      </c>
      <c r="E39" s="462">
        <f>6600-4245</f>
        <v>2355</v>
      </c>
      <c r="F39" s="466">
        <v>7000</v>
      </c>
      <c r="G39" s="463">
        <v>7500</v>
      </c>
      <c r="H39" s="737" t="s">
        <v>161</v>
      </c>
    </row>
    <row r="40" spans="1:8" ht="60" customHeight="1" hidden="1">
      <c r="A40" s="412" t="s">
        <v>266</v>
      </c>
      <c r="B40" s="408" t="s">
        <v>319</v>
      </c>
      <c r="C40" s="229" t="s">
        <v>340</v>
      </c>
      <c r="D40" s="461">
        <f t="shared" si="2"/>
        <v>1499.9</v>
      </c>
      <c r="E40" s="462">
        <v>1499.9</v>
      </c>
      <c r="F40" s="466"/>
      <c r="G40" s="463"/>
      <c r="H40" s="738"/>
    </row>
    <row r="41" spans="1:8" ht="51" customHeight="1" hidden="1">
      <c r="A41" s="412" t="s">
        <v>328</v>
      </c>
      <c r="B41" s="409" t="s">
        <v>366</v>
      </c>
      <c r="C41" s="229" t="s">
        <v>340</v>
      </c>
      <c r="D41" s="461">
        <f t="shared" si="2"/>
        <v>2000</v>
      </c>
      <c r="E41" s="462">
        <v>2000</v>
      </c>
      <c r="F41" s="466"/>
      <c r="G41" s="463"/>
      <c r="H41" s="738"/>
    </row>
    <row r="42" spans="1:8" ht="60.75" customHeight="1" hidden="1">
      <c r="A42" s="412" t="s">
        <v>329</v>
      </c>
      <c r="B42" s="410" t="s">
        <v>428</v>
      </c>
      <c r="C42" s="229" t="s">
        <v>340</v>
      </c>
      <c r="D42" s="461">
        <f t="shared" si="2"/>
        <v>1800</v>
      </c>
      <c r="E42" s="462">
        <v>1800</v>
      </c>
      <c r="F42" s="466"/>
      <c r="G42" s="463"/>
      <c r="H42" s="738"/>
    </row>
    <row r="43" spans="1:8" ht="60.75" customHeight="1" hidden="1">
      <c r="A43" s="412" t="s">
        <v>330</v>
      </c>
      <c r="B43" s="410" t="s">
        <v>429</v>
      </c>
      <c r="C43" s="229" t="s">
        <v>340</v>
      </c>
      <c r="D43" s="461">
        <f t="shared" si="2"/>
        <v>600</v>
      </c>
      <c r="E43" s="462">
        <v>600</v>
      </c>
      <c r="F43" s="466"/>
      <c r="G43" s="463"/>
      <c r="H43" s="738"/>
    </row>
    <row r="44" spans="1:8" ht="51" customHeight="1" hidden="1">
      <c r="A44" s="412" t="s">
        <v>474</v>
      </c>
      <c r="B44" s="410" t="s">
        <v>430</v>
      </c>
      <c r="C44" s="229" t="s">
        <v>340</v>
      </c>
      <c r="D44" s="461">
        <f t="shared" si="2"/>
        <v>304.6</v>
      </c>
      <c r="E44" s="462">
        <v>304.6</v>
      </c>
      <c r="F44" s="466"/>
      <c r="G44" s="463"/>
      <c r="H44" s="738"/>
    </row>
    <row r="45" spans="1:8" ht="58.5" customHeight="1" hidden="1">
      <c r="A45" s="412" t="s">
        <v>475</v>
      </c>
      <c r="B45" s="410" t="s">
        <v>431</v>
      </c>
      <c r="C45" s="229" t="s">
        <v>340</v>
      </c>
      <c r="D45" s="461">
        <f t="shared" si="2"/>
        <v>388.7</v>
      </c>
      <c r="E45" s="462">
        <v>388.7</v>
      </c>
      <c r="F45" s="466"/>
      <c r="G45" s="463"/>
      <c r="H45" s="738"/>
    </row>
    <row r="46" spans="1:8" ht="17.25" customHeight="1" hidden="1">
      <c r="A46" s="412" t="s">
        <v>476</v>
      </c>
      <c r="B46" s="410" t="s">
        <v>432</v>
      </c>
      <c r="C46" s="229" t="s">
        <v>340</v>
      </c>
      <c r="D46" s="461">
        <f t="shared" si="2"/>
        <v>35</v>
      </c>
      <c r="E46" s="462">
        <v>35</v>
      </c>
      <c r="F46" s="466"/>
      <c r="G46" s="463"/>
      <c r="H46" s="738"/>
    </row>
    <row r="47" spans="1:8" ht="37.5">
      <c r="A47" s="412"/>
      <c r="B47" s="599" t="s">
        <v>660</v>
      </c>
      <c r="C47" s="229" t="s">
        <v>661</v>
      </c>
      <c r="D47" s="461">
        <f t="shared" si="2"/>
        <v>200</v>
      </c>
      <c r="E47" s="462">
        <f>0+200</f>
        <v>200</v>
      </c>
      <c r="F47" s="466"/>
      <c r="G47" s="463"/>
      <c r="H47" s="738"/>
    </row>
    <row r="48" spans="1:8" ht="39" customHeight="1">
      <c r="A48" s="412" t="s">
        <v>332</v>
      </c>
      <c r="B48" s="457" t="s">
        <v>348</v>
      </c>
      <c r="C48" s="229" t="s">
        <v>340</v>
      </c>
      <c r="D48" s="461">
        <f t="shared" si="2"/>
        <v>81250</v>
      </c>
      <c r="E48" s="462">
        <f>30250-15000</f>
        <v>15250</v>
      </c>
      <c r="F48" s="466">
        <v>32000</v>
      </c>
      <c r="G48" s="463">
        <v>34000</v>
      </c>
      <c r="H48" s="738"/>
    </row>
    <row r="49" spans="1:8" ht="114.75" customHeight="1" hidden="1">
      <c r="A49" s="412" t="s">
        <v>258</v>
      </c>
      <c r="B49" s="405" t="s">
        <v>320</v>
      </c>
      <c r="C49" s="229" t="s">
        <v>340</v>
      </c>
      <c r="D49" s="461">
        <f t="shared" si="2"/>
        <v>3500</v>
      </c>
      <c r="E49" s="462">
        <v>3500</v>
      </c>
      <c r="F49" s="466"/>
      <c r="G49" s="463"/>
      <c r="H49" s="738"/>
    </row>
    <row r="50" spans="1:8" ht="56.25" customHeight="1" hidden="1">
      <c r="A50" s="412" t="s">
        <v>278</v>
      </c>
      <c r="B50" s="403" t="s">
        <v>367</v>
      </c>
      <c r="C50" s="229" t="s">
        <v>340</v>
      </c>
      <c r="D50" s="461">
        <f t="shared" si="2"/>
        <v>21000</v>
      </c>
      <c r="E50" s="462">
        <v>21000</v>
      </c>
      <c r="F50" s="466"/>
      <c r="G50" s="463"/>
      <c r="H50" s="738"/>
    </row>
    <row r="51" spans="1:8" ht="57.75" customHeight="1" hidden="1">
      <c r="A51" s="412" t="s">
        <v>286</v>
      </c>
      <c r="B51" s="403" t="s">
        <v>368</v>
      </c>
      <c r="C51" s="229" t="s">
        <v>340</v>
      </c>
      <c r="D51" s="461">
        <f t="shared" si="2"/>
        <v>2000</v>
      </c>
      <c r="E51" s="462">
        <v>2000</v>
      </c>
      <c r="F51" s="466"/>
      <c r="G51" s="463"/>
      <c r="H51" s="738"/>
    </row>
    <row r="52" spans="1:8" ht="59.25" customHeight="1" hidden="1">
      <c r="A52" s="412" t="s">
        <v>470</v>
      </c>
      <c r="B52" s="403" t="s">
        <v>369</v>
      </c>
      <c r="C52" s="229" t="s">
        <v>340</v>
      </c>
      <c r="D52" s="461">
        <f t="shared" si="2"/>
        <v>1750</v>
      </c>
      <c r="E52" s="462">
        <v>1750</v>
      </c>
      <c r="F52" s="466"/>
      <c r="G52" s="463"/>
      <c r="H52" s="738"/>
    </row>
    <row r="53" spans="1:8" ht="58.5" customHeight="1" hidden="1">
      <c r="A53" s="412" t="s">
        <v>471</v>
      </c>
      <c r="B53" s="403" t="s">
        <v>370</v>
      </c>
      <c r="C53" s="229" t="s">
        <v>340</v>
      </c>
      <c r="D53" s="461">
        <f t="shared" si="2"/>
        <v>1750</v>
      </c>
      <c r="E53" s="462">
        <v>1750</v>
      </c>
      <c r="F53" s="466"/>
      <c r="G53" s="463"/>
      <c r="H53" s="738"/>
    </row>
    <row r="54" spans="1:8" ht="57" customHeight="1" hidden="1">
      <c r="A54" s="412" t="s">
        <v>472</v>
      </c>
      <c r="B54" s="403" t="s">
        <v>371</v>
      </c>
      <c r="C54" s="229" t="s">
        <v>340</v>
      </c>
      <c r="D54" s="461">
        <f t="shared" si="2"/>
        <v>250</v>
      </c>
      <c r="E54" s="462">
        <v>250</v>
      </c>
      <c r="F54" s="466"/>
      <c r="G54" s="463"/>
      <c r="H54" s="738"/>
    </row>
    <row r="55" spans="1:8" s="329" customFormat="1" ht="33" customHeight="1">
      <c r="A55" s="412" t="s">
        <v>333</v>
      </c>
      <c r="B55" s="405" t="s">
        <v>375</v>
      </c>
      <c r="C55" s="229" t="s">
        <v>340</v>
      </c>
      <c r="D55" s="461">
        <f t="shared" si="2"/>
        <v>1720</v>
      </c>
      <c r="E55" s="462">
        <f>650+1070</f>
        <v>1720</v>
      </c>
      <c r="F55" s="466">
        <f>F56</f>
        <v>0</v>
      </c>
      <c r="G55" s="466">
        <f>G56</f>
        <v>0</v>
      </c>
      <c r="H55" s="738"/>
    </row>
    <row r="56" spans="1:8" ht="3.75" customHeight="1" hidden="1">
      <c r="A56" s="412" t="s">
        <v>262</v>
      </c>
      <c r="B56" s="405" t="s">
        <v>376</v>
      </c>
      <c r="C56" s="229" t="s">
        <v>340</v>
      </c>
      <c r="D56" s="461">
        <f t="shared" si="2"/>
        <v>650</v>
      </c>
      <c r="E56" s="462">
        <v>650</v>
      </c>
      <c r="F56" s="466"/>
      <c r="G56" s="463"/>
      <c r="H56" s="738"/>
    </row>
    <row r="57" spans="1:8" ht="54" customHeight="1">
      <c r="A57" s="412" t="s">
        <v>339</v>
      </c>
      <c r="B57" s="405" t="s">
        <v>635</v>
      </c>
      <c r="C57" s="229" t="s">
        <v>156</v>
      </c>
      <c r="D57" s="461">
        <f t="shared" si="2"/>
        <v>83500</v>
      </c>
      <c r="E57" s="462">
        <v>5000</v>
      </c>
      <c r="F57" s="466">
        <v>25000</v>
      </c>
      <c r="G57" s="463">
        <v>53500</v>
      </c>
      <c r="H57" s="739"/>
    </row>
    <row r="58" spans="1:8" s="328" customFormat="1" ht="42.75" customHeight="1">
      <c r="A58" s="413"/>
      <c r="B58" s="407" t="s">
        <v>349</v>
      </c>
      <c r="C58" s="401"/>
      <c r="D58" s="459">
        <f t="shared" si="2"/>
        <v>11550</v>
      </c>
      <c r="E58" s="460">
        <f>E59+E61</f>
        <v>6550</v>
      </c>
      <c r="F58" s="460">
        <f>F61</f>
        <v>5000</v>
      </c>
      <c r="G58" s="460">
        <f>G59+G61</f>
        <v>0</v>
      </c>
      <c r="H58" s="398"/>
    </row>
    <row r="59" spans="1:8" ht="33" customHeight="1">
      <c r="A59" s="412" t="s">
        <v>542</v>
      </c>
      <c r="B59" s="405" t="s">
        <v>641</v>
      </c>
      <c r="C59" s="229" t="s">
        <v>340</v>
      </c>
      <c r="D59" s="461">
        <f t="shared" si="2"/>
        <v>0</v>
      </c>
      <c r="E59" s="462">
        <f>4000-4000</f>
        <v>0</v>
      </c>
      <c r="F59" s="466"/>
      <c r="G59" s="463"/>
      <c r="H59" s="737" t="s">
        <v>161</v>
      </c>
    </row>
    <row r="60" spans="1:8" s="209" customFormat="1" ht="60" customHeight="1" hidden="1">
      <c r="A60" s="414" t="s">
        <v>287</v>
      </c>
      <c r="B60" s="410" t="s">
        <v>372</v>
      </c>
      <c r="C60" s="229" t="s">
        <v>340</v>
      </c>
      <c r="D60" s="465">
        <f t="shared" si="2"/>
        <v>0</v>
      </c>
      <c r="E60" s="462"/>
      <c r="F60" s="462"/>
      <c r="G60" s="462"/>
      <c r="H60" s="738"/>
    </row>
    <row r="61" spans="1:8" ht="56.25">
      <c r="A61" s="412" t="s">
        <v>634</v>
      </c>
      <c r="B61" s="405" t="s">
        <v>640</v>
      </c>
      <c r="C61" s="229" t="s">
        <v>642</v>
      </c>
      <c r="D61" s="461">
        <f t="shared" si="2"/>
        <v>11550</v>
      </c>
      <c r="E61" s="462">
        <f>10000-1050-2400</f>
        <v>6550</v>
      </c>
      <c r="F61" s="462">
        <v>5000</v>
      </c>
      <c r="G61" s="466"/>
      <c r="H61" s="738"/>
    </row>
    <row r="62" spans="1:8" ht="58.5" customHeight="1" hidden="1">
      <c r="A62" s="412" t="s">
        <v>288</v>
      </c>
      <c r="B62" s="405" t="s">
        <v>373</v>
      </c>
      <c r="C62" s="229" t="s">
        <v>340</v>
      </c>
      <c r="D62" s="461">
        <f t="shared" si="2"/>
        <v>9880.2</v>
      </c>
      <c r="E62" s="462">
        <v>9880.2</v>
      </c>
      <c r="F62" s="462"/>
      <c r="G62" s="463"/>
      <c r="H62" s="738"/>
    </row>
    <row r="63" spans="1:8" ht="54.75" customHeight="1" hidden="1">
      <c r="A63" s="412" t="s">
        <v>289</v>
      </c>
      <c r="B63" s="405" t="s">
        <v>374</v>
      </c>
      <c r="C63" s="229" t="s">
        <v>340</v>
      </c>
      <c r="D63" s="461">
        <f t="shared" si="2"/>
        <v>5250</v>
      </c>
      <c r="E63" s="462">
        <v>250</v>
      </c>
      <c r="F63" s="462">
        <v>5000</v>
      </c>
      <c r="G63" s="463"/>
      <c r="H63" s="738"/>
    </row>
    <row r="64" spans="1:8" ht="54.75" customHeight="1">
      <c r="A64" s="412"/>
      <c r="B64" s="599" t="s">
        <v>639</v>
      </c>
      <c r="C64" s="229" t="s">
        <v>36</v>
      </c>
      <c r="D64" s="461">
        <f t="shared" si="2"/>
        <v>3000</v>
      </c>
      <c r="E64" s="462">
        <f>5400-2400</f>
        <v>3000</v>
      </c>
      <c r="F64" s="462"/>
      <c r="G64" s="463"/>
      <c r="H64" s="739"/>
    </row>
    <row r="65" spans="1:8" ht="18.75">
      <c r="A65" s="390"/>
      <c r="B65" s="66" t="s">
        <v>4</v>
      </c>
      <c r="C65" s="66"/>
      <c r="D65" s="467">
        <f>E65+F65+G65</f>
        <v>270122.6</v>
      </c>
      <c r="E65" s="467">
        <f>E58+E38+E15</f>
        <v>38775</v>
      </c>
      <c r="F65" s="467">
        <f>F58+F38+F15</f>
        <v>101733.8</v>
      </c>
      <c r="G65" s="467">
        <f>G58+G38+G15</f>
        <v>129613.8</v>
      </c>
      <c r="H65" s="98"/>
    </row>
    <row r="66" spans="2:8" ht="16.5">
      <c r="B66" s="18"/>
      <c r="C66" s="18"/>
      <c r="D66" s="81"/>
      <c r="E66" s="19"/>
      <c r="F66" s="19"/>
      <c r="G66" s="19"/>
      <c r="H66" s="278"/>
    </row>
    <row r="67" spans="2:8" ht="5.25" customHeight="1">
      <c r="B67" s="50"/>
      <c r="C67" s="51"/>
      <c r="D67" s="14"/>
      <c r="E67" s="19"/>
      <c r="F67" s="19"/>
      <c r="G67" s="19"/>
      <c r="H67" s="279"/>
    </row>
    <row r="68" spans="2:12" s="282" customFormat="1" ht="18.75">
      <c r="B68" s="785" t="s">
        <v>15</v>
      </c>
      <c r="C68" s="785"/>
      <c r="D68" s="264"/>
      <c r="E68" s="22"/>
      <c r="F68" s="22"/>
      <c r="G68" s="23"/>
      <c r="H68" s="807" t="s">
        <v>674</v>
      </c>
      <c r="I68" s="807"/>
      <c r="J68" s="807"/>
      <c r="K68" s="807"/>
      <c r="L68" s="807"/>
    </row>
    <row r="69" spans="2:8" ht="10.5" customHeight="1">
      <c r="B69" s="264"/>
      <c r="C69" s="264"/>
      <c r="D69" s="21"/>
      <c r="E69" s="22"/>
      <c r="F69" s="22"/>
      <c r="G69" s="23"/>
      <c r="H69" s="24"/>
    </row>
    <row r="70" spans="2:8" ht="18.75">
      <c r="B70" s="694" t="s">
        <v>673</v>
      </c>
      <c r="C70" s="694"/>
      <c r="D70" s="25"/>
      <c r="E70" s="26"/>
      <c r="F70" s="26"/>
      <c r="G70" s="15"/>
      <c r="H70" s="15"/>
    </row>
    <row r="71" spans="2:8" ht="15.75">
      <c r="B71" s="17"/>
      <c r="C71" s="17"/>
      <c r="D71" s="26"/>
      <c r="E71" s="26"/>
      <c r="F71" s="26"/>
      <c r="G71" s="15"/>
      <c r="H71" s="15"/>
    </row>
    <row r="72" spans="2:8" ht="15.75">
      <c r="B72" s="28"/>
      <c r="C72" s="29"/>
      <c r="D72" s="30"/>
      <c r="E72" s="26"/>
      <c r="F72" s="26"/>
      <c r="G72" s="15"/>
      <c r="H72" s="15"/>
    </row>
    <row r="73" spans="2:8" ht="15.75">
      <c r="B73" s="14"/>
      <c r="C73" s="30"/>
      <c r="D73" s="26"/>
      <c r="E73" s="26"/>
      <c r="F73" s="26"/>
      <c r="G73" s="26"/>
      <c r="H73" s="14"/>
    </row>
    <row r="74" spans="2:8" ht="15.75">
      <c r="B74" s="14"/>
      <c r="C74" s="31"/>
      <c r="D74" s="26"/>
      <c r="E74" s="26"/>
      <c r="F74" s="26"/>
      <c r="G74" s="26"/>
      <c r="H74" s="14"/>
    </row>
    <row r="75" spans="2:8" ht="12.75">
      <c r="B75" s="14"/>
      <c r="C75" s="14"/>
      <c r="D75" s="14"/>
      <c r="E75" s="14"/>
      <c r="F75" s="14"/>
      <c r="G75" s="14"/>
      <c r="H75" s="14"/>
    </row>
  </sheetData>
  <sheetProtection/>
  <mergeCells count="19">
    <mergeCell ref="H68:L68"/>
    <mergeCell ref="B68:C68"/>
    <mergeCell ref="G8:H8"/>
    <mergeCell ref="G7:L7"/>
    <mergeCell ref="F13:F14"/>
    <mergeCell ref="A12:A14"/>
    <mergeCell ref="E12:G12"/>
    <mergeCell ref="H12:H14"/>
    <mergeCell ref="E13:E14"/>
    <mergeCell ref="B70:C70"/>
    <mergeCell ref="H16:H37"/>
    <mergeCell ref="B10:H10"/>
    <mergeCell ref="D11:F11"/>
    <mergeCell ref="H39:H57"/>
    <mergeCell ref="H59:H64"/>
    <mergeCell ref="B12:B14"/>
    <mergeCell ref="C12:C14"/>
    <mergeCell ref="G13:G14"/>
    <mergeCell ref="D12:D14"/>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4" r:id="rId1"/>
</worksheet>
</file>

<file path=xl/worksheets/sheet25.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K18" sqref="K18"/>
    </sheetView>
  </sheetViews>
  <sheetFormatPr defaultColWidth="9.140625" defaultRowHeight="12.75"/>
  <cols>
    <col min="1" max="1" width="5.57421875" style="0" customWidth="1"/>
    <col min="2" max="2" width="53.140625" style="0"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7109375" style="0" customWidth="1"/>
    <col min="12" max="12" width="0.85546875" style="0" customWidth="1"/>
    <col min="13" max="13" width="0.42578125" style="0" customWidth="1"/>
    <col min="14" max="15" width="9.140625" style="0" hidden="1" customWidth="1"/>
  </cols>
  <sheetData>
    <row r="1" spans="2:15" ht="15.75">
      <c r="B1" s="1"/>
      <c r="C1" s="1"/>
      <c r="D1" s="1"/>
      <c r="E1" s="1"/>
      <c r="F1" s="1"/>
      <c r="G1" s="1"/>
      <c r="H1" s="1"/>
      <c r="I1" s="2" t="s">
        <v>16</v>
      </c>
      <c r="J1" s="855" t="s">
        <v>603</v>
      </c>
      <c r="K1" s="855"/>
      <c r="L1" s="209"/>
      <c r="M1" s="209"/>
      <c r="N1" s="209"/>
      <c r="O1" s="209"/>
    </row>
    <row r="2" spans="2:15" ht="15.75">
      <c r="B2" s="1"/>
      <c r="C2" s="1"/>
      <c r="D2" s="1"/>
      <c r="E2" s="1"/>
      <c r="F2" s="1"/>
      <c r="G2" s="1"/>
      <c r="H2" s="1"/>
      <c r="I2" s="3" t="s">
        <v>9</v>
      </c>
      <c r="J2" s="305" t="s">
        <v>9</v>
      </c>
      <c r="K2" s="305"/>
      <c r="L2" s="233"/>
      <c r="M2" s="305"/>
      <c r="N2" s="305"/>
      <c r="O2" s="305"/>
    </row>
    <row r="3" spans="2:15" ht="15.75">
      <c r="B3" s="1"/>
      <c r="C3" s="1"/>
      <c r="D3" s="1"/>
      <c r="E3" s="1"/>
      <c r="F3" s="1"/>
      <c r="G3" s="1"/>
      <c r="H3" s="1"/>
      <c r="I3" s="3"/>
      <c r="J3" s="305" t="s">
        <v>301</v>
      </c>
      <c r="K3" s="305"/>
      <c r="L3" s="233"/>
      <c r="M3" s="305"/>
      <c r="N3" s="305"/>
      <c r="O3" s="305"/>
    </row>
    <row r="4" spans="2:15" ht="15.75">
      <c r="B4" s="1"/>
      <c r="C4" s="1"/>
      <c r="D4" s="1"/>
      <c r="E4" s="1"/>
      <c r="F4" s="1"/>
      <c r="G4" s="1"/>
      <c r="H4" s="1"/>
      <c r="I4" s="3" t="s">
        <v>17</v>
      </c>
      <c r="J4" s="241" t="s">
        <v>302</v>
      </c>
      <c r="K4" s="241"/>
      <c r="L4" s="233"/>
      <c r="M4" s="305"/>
      <c r="N4" s="305"/>
      <c r="O4" s="305"/>
    </row>
    <row r="5" spans="2:15" ht="15.75">
      <c r="B5" s="1"/>
      <c r="C5" s="1"/>
      <c r="D5" s="1"/>
      <c r="E5" s="1"/>
      <c r="F5" s="1"/>
      <c r="G5" s="1"/>
      <c r="H5" s="1"/>
      <c r="I5" s="3" t="s">
        <v>18</v>
      </c>
      <c r="J5" s="241" t="s">
        <v>564</v>
      </c>
      <c r="K5" s="241"/>
      <c r="L5" s="233"/>
      <c r="M5" s="305"/>
      <c r="N5" s="305"/>
      <c r="O5" s="305"/>
    </row>
    <row r="6" spans="2:15" ht="15.75">
      <c r="B6" s="1"/>
      <c r="C6" s="1"/>
      <c r="D6" s="1"/>
      <c r="E6" s="1"/>
      <c r="F6" s="1"/>
      <c r="G6" s="1"/>
      <c r="H6" s="9"/>
      <c r="I6" s="3" t="s">
        <v>19</v>
      </c>
      <c r="J6" s="241" t="s">
        <v>582</v>
      </c>
      <c r="K6" s="241"/>
      <c r="L6" s="242"/>
      <c r="M6" s="305"/>
      <c r="N6" s="305"/>
      <c r="O6" s="305"/>
    </row>
    <row r="7" spans="2:15" ht="15.75">
      <c r="B7" s="1"/>
      <c r="C7" s="1"/>
      <c r="D7" s="1"/>
      <c r="E7" s="1"/>
      <c r="F7" s="1"/>
      <c r="G7" s="1"/>
      <c r="H7" s="9"/>
      <c r="I7" s="3"/>
      <c r="J7" s="241" t="s">
        <v>583</v>
      </c>
      <c r="K7" s="241"/>
      <c r="L7" s="242"/>
      <c r="M7" s="305"/>
      <c r="N7" s="305"/>
      <c r="O7" s="305"/>
    </row>
    <row r="8" spans="2:15" ht="15.75" customHeight="1">
      <c r="B8" s="1"/>
      <c r="C8" s="1"/>
      <c r="D8" s="1"/>
      <c r="E8" s="1"/>
      <c r="F8" s="1"/>
      <c r="G8" s="1"/>
      <c r="H8" s="9"/>
      <c r="I8" s="3"/>
      <c r="J8" s="734" t="s">
        <v>577</v>
      </c>
      <c r="K8" s="734"/>
      <c r="L8" s="734"/>
      <c r="M8" s="734"/>
      <c r="N8" s="734"/>
      <c r="O8" s="734"/>
    </row>
    <row r="9" spans="2:15" ht="15.75" customHeight="1">
      <c r="B9" s="1"/>
      <c r="C9" s="1"/>
      <c r="D9" s="1"/>
      <c r="E9" s="1"/>
      <c r="F9" s="1"/>
      <c r="G9" s="1"/>
      <c r="H9" s="9"/>
      <c r="I9" s="3"/>
      <c r="J9" s="745" t="s">
        <v>690</v>
      </c>
      <c r="K9" s="745"/>
      <c r="L9" s="597"/>
      <c r="M9" s="597"/>
      <c r="N9" s="597"/>
      <c r="O9" s="597"/>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818" t="s">
        <v>645</v>
      </c>
      <c r="C12" s="818"/>
      <c r="D12" s="818"/>
      <c r="E12" s="818"/>
      <c r="F12" s="818"/>
      <c r="G12" s="818"/>
      <c r="H12" s="818"/>
      <c r="I12" s="818"/>
      <c r="J12" s="818"/>
      <c r="K12" s="818"/>
    </row>
    <row r="13" spans="2:11" ht="15.75">
      <c r="B13" s="1"/>
      <c r="C13" s="1"/>
      <c r="D13" s="793"/>
      <c r="E13" s="793"/>
      <c r="F13" s="793"/>
      <c r="G13" s="793"/>
      <c r="H13" s="793"/>
      <c r="I13" s="1"/>
      <c r="J13" s="1"/>
      <c r="K13" s="44" t="s">
        <v>249</v>
      </c>
    </row>
    <row r="14" spans="1:11" ht="18.75">
      <c r="A14" s="763" t="s">
        <v>5</v>
      </c>
      <c r="B14" s="788" t="s">
        <v>10</v>
      </c>
      <c r="C14" s="788" t="s">
        <v>11</v>
      </c>
      <c r="D14" s="788" t="s">
        <v>252</v>
      </c>
      <c r="E14" s="791" t="s">
        <v>7</v>
      </c>
      <c r="F14" s="791"/>
      <c r="G14" s="791"/>
      <c r="H14" s="791"/>
      <c r="I14" s="791"/>
      <c r="J14" s="792"/>
      <c r="K14" s="765" t="s">
        <v>13</v>
      </c>
    </row>
    <row r="15" spans="1:11" ht="17.25" customHeight="1">
      <c r="A15" s="856"/>
      <c r="B15" s="789"/>
      <c r="C15" s="789"/>
      <c r="D15" s="789"/>
      <c r="E15" s="788">
        <v>2021</v>
      </c>
      <c r="F15" s="788">
        <v>2022</v>
      </c>
      <c r="G15" s="788" t="s">
        <v>22</v>
      </c>
      <c r="H15" s="788" t="s">
        <v>23</v>
      </c>
      <c r="I15" s="788" t="s">
        <v>24</v>
      </c>
      <c r="J15" s="765">
        <v>2023</v>
      </c>
      <c r="K15" s="765"/>
    </row>
    <row r="16" spans="1:11" ht="12.75">
      <c r="A16" s="764"/>
      <c r="B16" s="790"/>
      <c r="C16" s="790"/>
      <c r="D16" s="790"/>
      <c r="E16" s="790"/>
      <c r="F16" s="790"/>
      <c r="G16" s="790"/>
      <c r="H16" s="790"/>
      <c r="I16" s="790"/>
      <c r="J16" s="765"/>
      <c r="K16" s="765"/>
    </row>
    <row r="17" spans="1:11" ht="112.5">
      <c r="A17" s="312">
        <v>1</v>
      </c>
      <c r="B17" s="370" t="s">
        <v>84</v>
      </c>
      <c r="C17" s="45" t="s">
        <v>341</v>
      </c>
      <c r="D17" s="126">
        <f>E17+F17+J17</f>
        <v>-10294.09</v>
      </c>
      <c r="E17" s="72">
        <f>-2054.09-740-1800-5700</f>
        <v>-10294.09</v>
      </c>
      <c r="F17" s="72">
        <f>-2054.09+2054.09</f>
        <v>0</v>
      </c>
      <c r="G17" s="72"/>
      <c r="H17" s="72"/>
      <c r="I17" s="72"/>
      <c r="J17" s="72">
        <v>0</v>
      </c>
      <c r="K17" s="663" t="s">
        <v>682</v>
      </c>
    </row>
    <row r="18" spans="1:11" ht="75">
      <c r="A18" s="312">
        <v>2</v>
      </c>
      <c r="B18" s="370" t="s">
        <v>646</v>
      </c>
      <c r="C18" s="45" t="s">
        <v>644</v>
      </c>
      <c r="D18" s="126">
        <f>E18+F18+J18</f>
        <v>7500</v>
      </c>
      <c r="E18" s="72">
        <f>1800+5700</f>
        <v>7500</v>
      </c>
      <c r="F18" s="72">
        <f>-740+740</f>
        <v>0</v>
      </c>
      <c r="G18" s="72"/>
      <c r="H18" s="72"/>
      <c r="I18" s="72"/>
      <c r="J18" s="72">
        <v>0</v>
      </c>
      <c r="K18" s="312" t="s">
        <v>683</v>
      </c>
    </row>
    <row r="19" spans="1:11" ht="18.75">
      <c r="A19" s="127"/>
      <c r="B19" s="54" t="s">
        <v>4</v>
      </c>
      <c r="C19" s="55"/>
      <c r="D19" s="73">
        <f>D17+D18</f>
        <v>-2794.09</v>
      </c>
      <c r="E19" s="73">
        <f aca="true" t="shared" si="0" ref="E19:J19">E17+E18</f>
        <v>-2794.09</v>
      </c>
      <c r="F19" s="73">
        <f t="shared" si="0"/>
        <v>0</v>
      </c>
      <c r="G19" s="73">
        <f t="shared" si="0"/>
        <v>0</v>
      </c>
      <c r="H19" s="73">
        <f t="shared" si="0"/>
        <v>0</v>
      </c>
      <c r="I19" s="73">
        <f t="shared" si="0"/>
        <v>0</v>
      </c>
      <c r="J19" s="73">
        <f t="shared" si="0"/>
        <v>0</v>
      </c>
      <c r="K19" s="74"/>
    </row>
    <row r="20" spans="2:11" ht="18.75">
      <c r="B20" s="128"/>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9"/>
      <c r="C23" s="130"/>
      <c r="E23" s="6"/>
      <c r="F23" s="6"/>
      <c r="G23" s="6"/>
      <c r="H23" s="6"/>
      <c r="I23" s="6"/>
      <c r="J23" s="6"/>
      <c r="K23" s="130"/>
    </row>
    <row r="24" spans="1:11" ht="18.75">
      <c r="A24" s="131"/>
      <c r="B24" s="725" t="s">
        <v>15</v>
      </c>
      <c r="C24" s="725"/>
      <c r="D24" s="131"/>
      <c r="E24" s="280"/>
      <c r="F24" s="858" t="s">
        <v>674</v>
      </c>
      <c r="G24" s="858"/>
      <c r="H24" s="858"/>
      <c r="I24" s="858"/>
      <c r="J24" s="858"/>
      <c r="K24" s="133"/>
    </row>
    <row r="25" spans="1:11" ht="30.75" customHeight="1">
      <c r="A25" s="131"/>
      <c r="B25" s="264"/>
      <c r="C25" s="264"/>
      <c r="D25" s="131"/>
      <c r="E25" s="280"/>
      <c r="F25" s="164"/>
      <c r="G25" s="164"/>
      <c r="H25" s="164"/>
      <c r="I25" s="164"/>
      <c r="J25" s="164"/>
      <c r="K25" s="133"/>
    </row>
    <row r="26" spans="1:11" ht="18.75">
      <c r="A26" s="131"/>
      <c r="B26" s="857" t="s">
        <v>673</v>
      </c>
      <c r="C26" s="857"/>
      <c r="D26" s="131"/>
      <c r="E26" s="134"/>
      <c r="F26" s="135"/>
      <c r="G26" s="135"/>
      <c r="H26" s="135"/>
      <c r="I26" s="135"/>
      <c r="J26" s="135"/>
      <c r="K26" s="136"/>
    </row>
    <row r="27" spans="1:11" ht="30.75" customHeight="1">
      <c r="A27" s="131"/>
      <c r="B27" s="137"/>
      <c r="C27" s="131"/>
      <c r="D27" s="137"/>
      <c r="E27" s="135"/>
      <c r="F27" s="135"/>
      <c r="G27" s="135"/>
      <c r="H27" s="135"/>
      <c r="I27" s="135"/>
      <c r="J27" s="135"/>
      <c r="K27" s="136"/>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20">
    <mergeCell ref="B24:C24"/>
    <mergeCell ref="B26:C26"/>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8:O8"/>
    <mergeCell ref="J9:K9"/>
  </mergeCells>
  <printOptions horizontalCentered="1"/>
  <pageMargins left="0" right="0" top="1.1811023622047245" bottom="0" header="0" footer="0"/>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K34"/>
  <sheetViews>
    <sheetView tabSelected="1" view="pageBreakPreview" zoomScale="77" zoomScaleNormal="89" zoomScaleSheetLayoutView="77" zoomScalePageLayoutView="0" workbookViewId="0" topLeftCell="A10">
      <selection activeCell="D28" sqref="D28"/>
    </sheetView>
  </sheetViews>
  <sheetFormatPr defaultColWidth="9.140625" defaultRowHeight="12.75"/>
  <cols>
    <col min="1" max="1" width="8.7109375" style="242" customWidth="1"/>
    <col min="2" max="2" width="58.8515625" style="242" customWidth="1"/>
    <col min="3" max="3" width="19.00390625" style="242" customWidth="1"/>
    <col min="4" max="4" width="17.28125" style="242" customWidth="1"/>
    <col min="5" max="5" width="18.57421875" style="242" customWidth="1"/>
    <col min="6" max="6" width="48.57421875" style="242" customWidth="1"/>
    <col min="7" max="7" width="65.57421875" style="242" customWidth="1"/>
    <col min="8" max="8" width="15.140625" style="242" customWidth="1"/>
    <col min="9" max="9" width="14.140625" style="242" customWidth="1"/>
    <col min="10" max="10" width="17.28125" style="242" customWidth="1"/>
    <col min="11" max="11" width="13.8515625" style="242" customWidth="1"/>
    <col min="12" max="16384" width="9.140625" style="14" customWidth="1"/>
  </cols>
  <sheetData>
    <row r="1" spans="1:8" s="242" customFormat="1" ht="24.75" customHeight="1">
      <c r="A1" s="233"/>
      <c r="B1" s="233"/>
      <c r="C1" s="259"/>
      <c r="D1" s="602"/>
      <c r="E1" s="602"/>
      <c r="F1" s="258"/>
      <c r="G1" s="23"/>
      <c r="H1" s="246"/>
    </row>
    <row r="2" spans="1:7" s="242" customFormat="1" ht="24.75" customHeight="1">
      <c r="A2" s="233"/>
      <c r="B2" s="233"/>
      <c r="C2" s="259"/>
      <c r="D2" s="602"/>
      <c r="E2" s="602"/>
      <c r="F2" s="258"/>
      <c r="G2" s="261"/>
    </row>
    <row r="3" spans="1:7" s="242" customFormat="1" ht="24.75" customHeight="1">
      <c r="A3" s="233"/>
      <c r="B3" s="233"/>
      <c r="C3" s="259"/>
      <c r="D3" s="602"/>
      <c r="E3" s="602"/>
      <c r="F3" s="258"/>
      <c r="G3" s="258"/>
    </row>
    <row r="4" spans="1:7" s="242" customFormat="1" ht="51.75" customHeight="1">
      <c r="A4" s="712" t="s">
        <v>672</v>
      </c>
      <c r="B4" s="712"/>
      <c r="C4" s="712"/>
      <c r="D4" s="712"/>
      <c r="E4" s="712"/>
      <c r="F4" s="712"/>
      <c r="G4" s="712"/>
    </row>
    <row r="5" spans="1:7" s="242" customFormat="1" ht="1.5" customHeight="1">
      <c r="A5" s="24"/>
      <c r="B5" s="24"/>
      <c r="C5" s="24"/>
      <c r="D5" s="24"/>
      <c r="E5" s="24"/>
      <c r="F5" s="24"/>
      <c r="G5" s="24"/>
    </row>
    <row r="6" spans="1:7" s="242" customFormat="1" ht="3" customHeight="1" hidden="1">
      <c r="A6" s="233"/>
      <c r="B6" s="233"/>
      <c r="C6" s="259"/>
      <c r="D6" s="233"/>
      <c r="E6" s="233"/>
      <c r="F6" s="258"/>
      <c r="G6" s="258"/>
    </row>
    <row r="7" spans="1:7" s="242" customFormat="1" ht="37.5" customHeight="1">
      <c r="A7" s="690" t="s">
        <v>5</v>
      </c>
      <c r="B7" s="690" t="s">
        <v>73</v>
      </c>
      <c r="C7" s="600" t="s">
        <v>179</v>
      </c>
      <c r="D7" s="601" t="s">
        <v>180</v>
      </c>
      <c r="E7" s="690" t="s">
        <v>231</v>
      </c>
      <c r="F7" s="701" t="s">
        <v>181</v>
      </c>
      <c r="G7" s="702"/>
    </row>
    <row r="8" spans="1:7" s="242" customFormat="1" ht="15" customHeight="1">
      <c r="A8" s="691"/>
      <c r="B8" s="691"/>
      <c r="C8" s="690">
        <v>2021</v>
      </c>
      <c r="D8" s="688">
        <v>2021</v>
      </c>
      <c r="E8" s="691"/>
      <c r="F8" s="703"/>
      <c r="G8" s="704"/>
    </row>
    <row r="9" spans="1:7" s="242" customFormat="1" ht="18" customHeight="1">
      <c r="A9" s="692"/>
      <c r="B9" s="692"/>
      <c r="C9" s="692"/>
      <c r="D9" s="689"/>
      <c r="E9" s="692"/>
      <c r="F9" s="705"/>
      <c r="G9" s="706"/>
    </row>
    <row r="10" spans="1:7" s="242" customFormat="1" ht="57" customHeight="1">
      <c r="A10" s="628" t="s">
        <v>664</v>
      </c>
      <c r="B10" s="625" t="s">
        <v>614</v>
      </c>
      <c r="C10" s="631">
        <f>SUM(C11:C12)</f>
        <v>13627.3</v>
      </c>
      <c r="D10" s="631">
        <f>SUM(D11:D12)</f>
        <v>13627.3</v>
      </c>
      <c r="E10" s="631">
        <f>SUM(E11:E12)</f>
        <v>0</v>
      </c>
      <c r="F10" s="716" t="s">
        <v>693</v>
      </c>
      <c r="G10" s="711" t="s">
        <v>621</v>
      </c>
    </row>
    <row r="11" spans="1:7" s="242" customFormat="1" ht="45">
      <c r="A11" s="681" t="s">
        <v>300</v>
      </c>
      <c r="B11" s="682" t="s">
        <v>596</v>
      </c>
      <c r="C11" s="630">
        <v>13627.3</v>
      </c>
      <c r="D11" s="630">
        <v>6127.3</v>
      </c>
      <c r="E11" s="647">
        <f>D11-C11</f>
        <v>-7499.999999999999</v>
      </c>
      <c r="F11" s="716"/>
      <c r="G11" s="711"/>
    </row>
    <row r="12" spans="1:7" s="242" customFormat="1" ht="71.25" customHeight="1">
      <c r="A12" s="676">
        <v>7</v>
      </c>
      <c r="B12" s="682" t="s">
        <v>692</v>
      </c>
      <c r="C12" s="683">
        <v>0</v>
      </c>
      <c r="D12" s="683">
        <v>7500</v>
      </c>
      <c r="E12" s="647">
        <f>D12-C12</f>
        <v>7500</v>
      </c>
      <c r="F12" s="716"/>
      <c r="G12" s="711"/>
    </row>
    <row r="13" spans="1:7" s="242" customFormat="1" ht="42.75" hidden="1">
      <c r="A13" s="628" t="s">
        <v>667</v>
      </c>
      <c r="B13" s="625" t="s">
        <v>615</v>
      </c>
      <c r="C13" s="631">
        <f>SUM(C14:C14)</f>
        <v>13605</v>
      </c>
      <c r="D13" s="631">
        <f>SUM(D14:D14)</f>
        <v>12805</v>
      </c>
      <c r="E13" s="664">
        <f>SUM(E14:E14)</f>
        <v>-800</v>
      </c>
      <c r="F13" s="713" t="s">
        <v>665</v>
      </c>
      <c r="G13" s="711" t="s">
        <v>668</v>
      </c>
    </row>
    <row r="14" spans="1:7" s="242" customFormat="1" ht="30" hidden="1">
      <c r="A14" s="627" t="s">
        <v>467</v>
      </c>
      <c r="B14" s="618" t="s">
        <v>555</v>
      </c>
      <c r="C14" s="677">
        <v>13605</v>
      </c>
      <c r="D14" s="677">
        <v>12805</v>
      </c>
      <c r="E14" s="678">
        <f>D14-C14</f>
        <v>-800</v>
      </c>
      <c r="F14" s="714"/>
      <c r="G14" s="697"/>
    </row>
    <row r="15" spans="1:11" s="242" customFormat="1" ht="48" customHeight="1" hidden="1">
      <c r="A15" s="629" t="s">
        <v>691</v>
      </c>
      <c r="B15" s="625" t="s">
        <v>483</v>
      </c>
      <c r="C15" s="680">
        <f>SUM(C16:C17)</f>
        <v>11055</v>
      </c>
      <c r="D15" s="680">
        <f>SUM(D16:D17)</f>
        <v>12405</v>
      </c>
      <c r="E15" s="680">
        <f>SUM(E16:E17)</f>
        <v>1350</v>
      </c>
      <c r="F15" s="713" t="s">
        <v>620</v>
      </c>
      <c r="G15" s="697" t="s">
        <v>680</v>
      </c>
      <c r="H15" s="620"/>
      <c r="I15" s="620"/>
      <c r="J15" s="620"/>
      <c r="K15" s="620"/>
    </row>
    <row r="16" spans="1:7" s="242" customFormat="1" ht="53.25" customHeight="1" hidden="1">
      <c r="A16" s="674" t="s">
        <v>314</v>
      </c>
      <c r="B16" s="635" t="s">
        <v>636</v>
      </c>
      <c r="C16" s="679">
        <v>7655</v>
      </c>
      <c r="D16" s="679">
        <v>8405</v>
      </c>
      <c r="E16" s="678">
        <f>D16-C16</f>
        <v>750</v>
      </c>
      <c r="F16" s="714"/>
      <c r="G16" s="698"/>
    </row>
    <row r="17" spans="1:7" s="242" customFormat="1" ht="15" hidden="1">
      <c r="A17" s="674" t="s">
        <v>300</v>
      </c>
      <c r="B17" s="635" t="s">
        <v>662</v>
      </c>
      <c r="C17" s="630">
        <v>3400</v>
      </c>
      <c r="D17" s="630">
        <v>4000</v>
      </c>
      <c r="E17" s="678">
        <f>D17-C17</f>
        <v>600</v>
      </c>
      <c r="F17" s="715"/>
      <c r="G17" s="699"/>
    </row>
    <row r="18" spans="1:7" s="242" customFormat="1" ht="47.25" hidden="1">
      <c r="A18" s="674"/>
      <c r="B18" s="684" t="s">
        <v>618</v>
      </c>
      <c r="C18" s="680">
        <f>SUM(C19:C20)</f>
        <v>430</v>
      </c>
      <c r="D18" s="680">
        <f>SUM(D19:D20)</f>
        <v>430</v>
      </c>
      <c r="E18" s="680">
        <f>SUM(E19:E20)</f>
        <v>0</v>
      </c>
      <c r="F18" s="713" t="s">
        <v>698</v>
      </c>
      <c r="G18" s="697" t="s">
        <v>697</v>
      </c>
    </row>
    <row r="19" spans="1:7" s="242" customFormat="1" ht="15" customHeight="1" hidden="1">
      <c r="A19" s="674" t="s">
        <v>331</v>
      </c>
      <c r="B19" s="682" t="s">
        <v>404</v>
      </c>
      <c r="C19" s="630">
        <v>330</v>
      </c>
      <c r="D19" s="630">
        <v>323</v>
      </c>
      <c r="E19" s="678">
        <f>D19-C19</f>
        <v>-7</v>
      </c>
      <c r="F19" s="714"/>
      <c r="G19" s="698"/>
    </row>
    <row r="20" spans="1:7" s="242" customFormat="1" ht="27" customHeight="1" hidden="1">
      <c r="A20" s="674" t="s">
        <v>699</v>
      </c>
      <c r="B20" s="682" t="s">
        <v>508</v>
      </c>
      <c r="C20" s="630">
        <v>100</v>
      </c>
      <c r="D20" s="630">
        <v>107</v>
      </c>
      <c r="E20" s="678">
        <f>D20-C20</f>
        <v>7</v>
      </c>
      <c r="F20" s="715"/>
      <c r="G20" s="699"/>
    </row>
    <row r="21" spans="1:11" s="242" customFormat="1" ht="60" customHeight="1" hidden="1">
      <c r="A21" s="624" t="s">
        <v>333</v>
      </c>
      <c r="B21" s="623" t="s">
        <v>619</v>
      </c>
      <c r="C21" s="637">
        <f>SUM(C22)</f>
        <v>6565</v>
      </c>
      <c r="D21" s="637">
        <f>SUM(D22)</f>
        <v>4765</v>
      </c>
      <c r="E21" s="637">
        <f>SUM(E22)</f>
        <v>-1800</v>
      </c>
      <c r="F21" s="719" t="s">
        <v>604</v>
      </c>
      <c r="G21" s="697" t="s">
        <v>669</v>
      </c>
      <c r="H21" s="622"/>
      <c r="I21" s="622"/>
      <c r="J21" s="622"/>
      <c r="K21" s="622"/>
    </row>
    <row r="22" spans="1:7" s="242" customFormat="1" ht="30" hidden="1">
      <c r="A22" s="617" t="s">
        <v>232</v>
      </c>
      <c r="B22" s="636" t="s">
        <v>580</v>
      </c>
      <c r="C22" s="633">
        <v>6565</v>
      </c>
      <c r="D22" s="633">
        <f>18600-6500-6900-435+1800-1800</f>
        <v>4765</v>
      </c>
      <c r="E22" s="634">
        <f aca="true" t="shared" si="0" ref="E22:E29">D22-C22</f>
        <v>-1800</v>
      </c>
      <c r="F22" s="720"/>
      <c r="G22" s="698"/>
    </row>
    <row r="23" spans="1:7" s="242" customFormat="1" ht="15.75" hidden="1">
      <c r="A23" s="617" t="s">
        <v>243</v>
      </c>
      <c r="B23" s="638" t="s">
        <v>653</v>
      </c>
      <c r="C23" s="633">
        <v>3830</v>
      </c>
      <c r="D23" s="633">
        <v>0</v>
      </c>
      <c r="E23" s="634">
        <f t="shared" si="0"/>
        <v>-3830</v>
      </c>
      <c r="F23" s="720"/>
      <c r="G23" s="698"/>
    </row>
    <row r="24" spans="1:7" s="242" customFormat="1" ht="28.5" customHeight="1" hidden="1">
      <c r="A24" s="617" t="s">
        <v>597</v>
      </c>
      <c r="B24" s="636" t="s">
        <v>544</v>
      </c>
      <c r="C24" s="633">
        <v>360</v>
      </c>
      <c r="D24" s="633">
        <v>150</v>
      </c>
      <c r="E24" s="634">
        <f t="shared" si="0"/>
        <v>-210</v>
      </c>
      <c r="F24" s="720"/>
      <c r="G24" s="698"/>
    </row>
    <row r="25" spans="1:7" s="242" customFormat="1" ht="15.75" hidden="1">
      <c r="A25" s="621" t="s">
        <v>331</v>
      </c>
      <c r="B25" s="636" t="s">
        <v>670</v>
      </c>
      <c r="C25" s="633">
        <v>800</v>
      </c>
      <c r="D25" s="633">
        <v>0</v>
      </c>
      <c r="E25" s="634">
        <f t="shared" si="0"/>
        <v>-800</v>
      </c>
      <c r="F25" s="720"/>
      <c r="G25" s="698"/>
    </row>
    <row r="26" spans="1:7" s="242" customFormat="1" ht="30" hidden="1">
      <c r="A26" s="621" t="s">
        <v>331</v>
      </c>
      <c r="B26" s="636" t="s">
        <v>686</v>
      </c>
      <c r="C26" s="633">
        <v>0</v>
      </c>
      <c r="D26" s="633">
        <v>550</v>
      </c>
      <c r="E26" s="634">
        <f t="shared" si="0"/>
        <v>550</v>
      </c>
      <c r="F26" s="720"/>
      <c r="G26" s="698"/>
    </row>
    <row r="27" spans="1:7" s="242" customFormat="1" ht="15.75" customHeight="1" hidden="1">
      <c r="A27" s="621" t="s">
        <v>339</v>
      </c>
      <c r="B27" s="619" t="s">
        <v>434</v>
      </c>
      <c r="C27" s="633">
        <v>13</v>
      </c>
      <c r="D27" s="633">
        <v>0</v>
      </c>
      <c r="E27" s="634">
        <f t="shared" si="0"/>
        <v>-13</v>
      </c>
      <c r="F27" s="720"/>
      <c r="G27" s="698"/>
    </row>
    <row r="28" spans="1:11" s="242" customFormat="1" ht="85.5">
      <c r="A28" s="639" t="s">
        <v>709</v>
      </c>
      <c r="B28" s="632" t="s">
        <v>700</v>
      </c>
      <c r="C28" s="644">
        <f>SUM(C29)</f>
        <v>0</v>
      </c>
      <c r="D28" s="644">
        <f>SUM(D29)</f>
        <v>194791.961</v>
      </c>
      <c r="E28" s="644">
        <f>SUM(E29)</f>
        <v>194791.961</v>
      </c>
      <c r="F28" s="717" t="s">
        <v>708</v>
      </c>
      <c r="G28" s="697" t="s">
        <v>702</v>
      </c>
      <c r="H28" s="640"/>
      <c r="I28" s="640"/>
      <c r="J28" s="640"/>
      <c r="K28" s="640"/>
    </row>
    <row r="29" spans="1:7" s="242" customFormat="1" ht="96.75" customHeight="1">
      <c r="A29" s="621"/>
      <c r="B29" s="859" t="s">
        <v>701</v>
      </c>
      <c r="C29" s="645">
        <v>0</v>
      </c>
      <c r="D29" s="646">
        <v>194791.961</v>
      </c>
      <c r="E29" s="647">
        <f t="shared" si="0"/>
        <v>194791.961</v>
      </c>
      <c r="F29" s="718"/>
      <c r="G29" s="698"/>
    </row>
    <row r="30" spans="1:7" s="242" customFormat="1" ht="18.75" customHeight="1">
      <c r="A30" s="695" t="s">
        <v>4</v>
      </c>
      <c r="B30" s="696"/>
      <c r="C30" s="114">
        <f>C10+C28</f>
        <v>13627.3</v>
      </c>
      <c r="D30" s="114">
        <f>D10+D28</f>
        <v>208419.261</v>
      </c>
      <c r="E30" s="114">
        <f>E10+E28</f>
        <v>194791.961</v>
      </c>
      <c r="F30" s="263"/>
      <c r="G30" s="626"/>
    </row>
    <row r="31" s="242" customFormat="1" ht="15">
      <c r="A31" s="250"/>
    </row>
    <row r="32" spans="1:6" s="242" customFormat="1" ht="18.75">
      <c r="A32" s="250"/>
      <c r="B32" s="261" t="s">
        <v>306</v>
      </c>
      <c r="F32" s="261" t="s">
        <v>679</v>
      </c>
    </row>
    <row r="33" s="242" customFormat="1" ht="15">
      <c r="A33" s="250"/>
    </row>
    <row r="34" s="242" customFormat="1" ht="15">
      <c r="A34" s="250"/>
    </row>
  </sheetData>
  <sheetProtection/>
  <mergeCells count="20">
    <mergeCell ref="G18:G20"/>
    <mergeCell ref="F18:F20"/>
    <mergeCell ref="C8:C9"/>
    <mergeCell ref="F28:F29"/>
    <mergeCell ref="G28:G29"/>
    <mergeCell ref="G10:G12"/>
    <mergeCell ref="G13:G14"/>
    <mergeCell ref="F21:F27"/>
    <mergeCell ref="G21:G27"/>
    <mergeCell ref="F7:G9"/>
    <mergeCell ref="A4:G4"/>
    <mergeCell ref="A30:B30"/>
    <mergeCell ref="A7:A9"/>
    <mergeCell ref="B7:B9"/>
    <mergeCell ref="E7:E9"/>
    <mergeCell ref="F15:F17"/>
    <mergeCell ref="G15:G17"/>
    <mergeCell ref="F10:F12"/>
    <mergeCell ref="D8:D9"/>
    <mergeCell ref="F13:F14"/>
  </mergeCells>
  <printOptions horizontalCentered="1"/>
  <pageMargins left="0.31496062992125984" right="0.31496062992125984" top="0.35433070866141736" bottom="0.35433070866141736" header="0.31496062992125984" footer="0.31496062992125984"/>
  <pageSetup fitToHeight="5"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dimension ref="A1:W85"/>
  <sheetViews>
    <sheetView view="pageBreakPreview" zoomScale="60" zoomScaleNormal="75" zoomScalePageLayoutView="0" workbookViewId="0" topLeftCell="F1">
      <pane ySplit="15" topLeftCell="A16" activePane="bottomLeft" state="frozen"/>
      <selection pane="topLeft" activeCell="A1" sqref="A1"/>
      <selection pane="bottomLeft" activeCell="N18" sqref="N18"/>
    </sheetView>
  </sheetViews>
  <sheetFormatPr defaultColWidth="9.140625" defaultRowHeight="12.75"/>
  <cols>
    <col min="1" max="1" width="5.00390625" style="242" customWidth="1"/>
    <col min="2" max="2" width="64.140625" style="242" customWidth="1"/>
    <col min="3" max="3" width="21.57421875" style="242" customWidth="1"/>
    <col min="4" max="4" width="13.421875" style="242" hidden="1" customWidth="1"/>
    <col min="5" max="5" width="19.421875" style="242" customWidth="1"/>
    <col min="6" max="7" width="12.8515625" style="242" customWidth="1"/>
    <col min="8" max="8" width="18.421875" style="242" customWidth="1"/>
    <col min="9" max="9" width="17.57421875" style="242" customWidth="1"/>
    <col min="10" max="10" width="17.140625" style="242" customWidth="1"/>
    <col min="11" max="12" width="12.8515625" style="242" customWidth="1"/>
    <col min="13" max="13" width="16.00390625" style="242" customWidth="1"/>
    <col min="14" max="14" width="19.00390625" style="242" customWidth="1"/>
    <col min="15" max="15" width="12.421875" style="242" hidden="1" customWidth="1"/>
    <col min="16" max="16" width="14.8515625" style="242" customWidth="1"/>
    <col min="17" max="17" width="13.140625" style="242" customWidth="1"/>
    <col min="18" max="18" width="21.00390625" style="242" customWidth="1"/>
    <col min="19" max="19" width="14.57421875" style="242" customWidth="1"/>
    <col min="20" max="20" width="14.8515625" style="242" customWidth="1"/>
    <col min="21" max="21" width="13.57421875" style="242" customWidth="1"/>
    <col min="22" max="22" width="17.28125" style="242" customWidth="1"/>
    <col min="23" max="23" width="19.00390625" style="242" bestFit="1" customWidth="1"/>
  </cols>
  <sheetData>
    <row r="1" spans="1:23" ht="3.75" customHeight="1">
      <c r="A1" s="233"/>
      <c r="B1" s="233"/>
      <c r="C1" s="233"/>
      <c r="D1" s="233"/>
      <c r="E1" s="233"/>
      <c r="F1" s="233"/>
      <c r="G1" s="233"/>
      <c r="H1" s="233"/>
      <c r="I1" s="233"/>
      <c r="J1" s="288"/>
      <c r="K1" s="288"/>
      <c r="L1" s="288"/>
      <c r="M1" s="288"/>
      <c r="N1" s="288"/>
      <c r="O1" s="288"/>
      <c r="P1" s="288"/>
      <c r="Q1" s="233"/>
      <c r="R1" s="241"/>
      <c r="S1" s="288"/>
      <c r="T1" s="288"/>
      <c r="U1" s="288"/>
      <c r="V1" s="288"/>
      <c r="W1" s="288"/>
    </row>
    <row r="2" spans="1:23" ht="20.25" customHeight="1">
      <c r="A2" s="233"/>
      <c r="B2" s="233"/>
      <c r="C2" s="233"/>
      <c r="D2" s="233"/>
      <c r="E2" s="233"/>
      <c r="F2" s="241"/>
      <c r="G2" s="241"/>
      <c r="H2" s="288"/>
      <c r="I2" s="288"/>
      <c r="J2" s="288"/>
      <c r="K2" s="288"/>
      <c r="L2" s="288"/>
      <c r="M2" s="288"/>
      <c r="N2" s="288"/>
      <c r="O2" s="288"/>
      <c r="P2" s="288"/>
      <c r="Q2" s="539"/>
      <c r="R2" s="539"/>
      <c r="S2" s="233" t="s">
        <v>41</v>
      </c>
      <c r="T2" s="241"/>
      <c r="U2" s="288"/>
      <c r="V2" s="288"/>
      <c r="W2" s="524"/>
    </row>
    <row r="3" spans="1:23" ht="0.75" customHeight="1">
      <c r="A3" s="233"/>
      <c r="B3" s="233"/>
      <c r="C3" s="233"/>
      <c r="D3" s="233"/>
      <c r="E3" s="721"/>
      <c r="F3" s="721"/>
      <c r="G3" s="721"/>
      <c r="H3" s="721"/>
      <c r="I3" s="721"/>
      <c r="J3" s="288"/>
      <c r="K3" s="288"/>
      <c r="L3" s="288"/>
      <c r="M3" s="288"/>
      <c r="N3" s="288"/>
      <c r="O3" s="288"/>
      <c r="P3" s="288"/>
      <c r="Q3" s="539"/>
      <c r="R3" s="539"/>
      <c r="S3" s="721" t="s">
        <v>592</v>
      </c>
      <c r="T3" s="721"/>
      <c r="U3" s="721"/>
      <c r="V3" s="721"/>
      <c r="W3" s="524"/>
    </row>
    <row r="4" spans="1:22" ht="6.75" customHeight="1" hidden="1">
      <c r="A4" s="233"/>
      <c r="B4" s="233"/>
      <c r="C4" s="233"/>
      <c r="D4" s="233"/>
      <c r="E4" s="721"/>
      <c r="F4" s="721"/>
      <c r="G4" s="721"/>
      <c r="H4" s="721"/>
      <c r="I4" s="721"/>
      <c r="J4" s="288"/>
      <c r="K4" s="288"/>
      <c r="L4" s="288"/>
      <c r="M4" s="288"/>
      <c r="N4" s="288"/>
      <c r="O4" s="288"/>
      <c r="P4" s="288"/>
      <c r="Q4" s="539"/>
      <c r="R4" s="539"/>
      <c r="S4" s="721"/>
      <c r="T4" s="721"/>
      <c r="U4" s="721"/>
      <c r="V4" s="721"/>
    </row>
    <row r="5" spans="1:22" ht="10.5" customHeight="1">
      <c r="A5" s="233"/>
      <c r="B5" s="233"/>
      <c r="C5" s="233"/>
      <c r="D5" s="233"/>
      <c r="E5" s="721"/>
      <c r="F5" s="721"/>
      <c r="G5" s="721"/>
      <c r="H5" s="721"/>
      <c r="I5" s="721"/>
      <c r="J5" s="288"/>
      <c r="K5" s="288"/>
      <c r="L5" s="288"/>
      <c r="M5" s="288"/>
      <c r="N5" s="288"/>
      <c r="O5" s="288"/>
      <c r="P5" s="288"/>
      <c r="Q5" s="539"/>
      <c r="R5" s="539"/>
      <c r="S5" s="721"/>
      <c r="T5" s="721"/>
      <c r="U5" s="721"/>
      <c r="V5" s="721"/>
    </row>
    <row r="6" spans="1:22" ht="15.75">
      <c r="A6" s="233"/>
      <c r="B6" s="233"/>
      <c r="C6" s="233"/>
      <c r="D6" s="233"/>
      <c r="E6" s="721"/>
      <c r="F6" s="721"/>
      <c r="G6" s="721"/>
      <c r="H6" s="721"/>
      <c r="I6" s="721"/>
      <c r="J6" s="288"/>
      <c r="K6" s="288"/>
      <c r="L6" s="288"/>
      <c r="M6" s="288"/>
      <c r="N6" s="288"/>
      <c r="O6" s="288"/>
      <c r="P6" s="288"/>
      <c r="Q6" s="539"/>
      <c r="R6" s="539"/>
      <c r="S6" s="721"/>
      <c r="T6" s="721"/>
      <c r="U6" s="721"/>
      <c r="V6" s="721"/>
    </row>
    <row r="7" spans="1:22" ht="15.75">
      <c r="A7" s="233"/>
      <c r="B7" s="233"/>
      <c r="C7" s="233"/>
      <c r="D7" s="233"/>
      <c r="E7" s="721"/>
      <c r="F7" s="721"/>
      <c r="G7" s="721"/>
      <c r="H7" s="721"/>
      <c r="I7" s="721"/>
      <c r="J7" s="288"/>
      <c r="K7" s="288"/>
      <c r="L7" s="288"/>
      <c r="M7" s="288"/>
      <c r="N7" s="288"/>
      <c r="O7" s="288"/>
      <c r="P7" s="288"/>
      <c r="Q7" s="539"/>
      <c r="R7" s="539"/>
      <c r="S7" s="721"/>
      <c r="T7" s="721"/>
      <c r="U7" s="721"/>
      <c r="V7" s="721"/>
    </row>
    <row r="8" spans="1:22" ht="30" customHeight="1">
      <c r="A8" s="233"/>
      <c r="B8" s="233"/>
      <c r="C8" s="233"/>
      <c r="D8" s="233"/>
      <c r="E8" s="721"/>
      <c r="F8" s="721"/>
      <c r="G8" s="721"/>
      <c r="H8" s="721"/>
      <c r="I8" s="721"/>
      <c r="J8" s="288"/>
      <c r="K8" s="288"/>
      <c r="L8" s="288"/>
      <c r="M8" s="288"/>
      <c r="N8" s="288"/>
      <c r="O8" s="288"/>
      <c r="P8" s="288"/>
      <c r="Q8" s="539"/>
      <c r="R8" s="539"/>
      <c r="S8" s="721"/>
      <c r="T8" s="721"/>
      <c r="U8" s="721"/>
      <c r="V8" s="721"/>
    </row>
    <row r="9" spans="1:22" ht="22.5" customHeight="1">
      <c r="A9" s="233"/>
      <c r="B9" s="233"/>
      <c r="C9" s="233"/>
      <c r="D9" s="233"/>
      <c r="E9" s="721"/>
      <c r="F9" s="721"/>
      <c r="G9" s="721"/>
      <c r="H9" s="721"/>
      <c r="I9" s="721"/>
      <c r="J9" s="288"/>
      <c r="K9" s="288"/>
      <c r="L9" s="288"/>
      <c r="M9" s="288"/>
      <c r="N9" s="288"/>
      <c r="O9" s="288"/>
      <c r="P9" s="288"/>
      <c r="Q9" s="557"/>
      <c r="R9" s="289"/>
      <c r="S9" s="721"/>
      <c r="T9" s="721"/>
      <c r="U9" s="721"/>
      <c r="V9" s="721"/>
    </row>
    <row r="10" spans="1:22" ht="18.75" customHeight="1">
      <c r="A10" s="233"/>
      <c r="B10" s="233"/>
      <c r="C10" s="233"/>
      <c r="D10" s="233"/>
      <c r="E10" s="552"/>
      <c r="F10" s="552"/>
      <c r="G10" s="605"/>
      <c r="H10" s="552"/>
      <c r="I10" s="552"/>
      <c r="J10" s="288"/>
      <c r="K10" s="288"/>
      <c r="L10" s="288"/>
      <c r="M10" s="288"/>
      <c r="N10" s="288"/>
      <c r="O10" s="288"/>
      <c r="P10" s="288"/>
      <c r="Q10" s="557"/>
      <c r="R10" s="552"/>
      <c r="S10" s="721" t="s">
        <v>707</v>
      </c>
      <c r="T10" s="721"/>
      <c r="U10" s="721"/>
      <c r="V10" s="721"/>
    </row>
    <row r="11" spans="1:22" ht="15.75" customHeight="1">
      <c r="A11" s="727" t="s">
        <v>473</v>
      </c>
      <c r="B11" s="727"/>
      <c r="C11" s="727"/>
      <c r="D11" s="727"/>
      <c r="E11" s="727"/>
      <c r="F11" s="727"/>
      <c r="G11" s="727"/>
      <c r="H11" s="727"/>
      <c r="I11" s="727"/>
      <c r="J11" s="727"/>
      <c r="K11" s="727"/>
      <c r="L11" s="727"/>
      <c r="M11" s="727"/>
      <c r="N11" s="727"/>
      <c r="O11" s="727"/>
      <c r="P11" s="727"/>
      <c r="Q11" s="727"/>
      <c r="R11" s="727"/>
      <c r="S11" s="727"/>
      <c r="T11" s="727"/>
      <c r="U11" s="727"/>
      <c r="V11" s="727"/>
    </row>
    <row r="12" spans="1:23" ht="15.75">
      <c r="A12" s="233"/>
      <c r="B12" s="233"/>
      <c r="C12" s="233"/>
      <c r="D12" s="233"/>
      <c r="E12" s="233"/>
      <c r="F12" s="233"/>
      <c r="G12" s="233"/>
      <c r="H12" s="233"/>
      <c r="I12" s="233"/>
      <c r="J12" s="233"/>
      <c r="K12" s="233"/>
      <c r="L12" s="233"/>
      <c r="M12" s="233"/>
      <c r="N12" s="233"/>
      <c r="O12" s="728"/>
      <c r="P12" s="728"/>
      <c r="Q12" s="728"/>
      <c r="R12" s="728"/>
      <c r="S12" s="728"/>
      <c r="T12" s="728"/>
      <c r="U12" s="728"/>
      <c r="V12" s="728"/>
      <c r="W12" s="242" t="s">
        <v>233</v>
      </c>
    </row>
    <row r="13" spans="1:23" ht="15.75" customHeight="1">
      <c r="A13" s="690" t="s">
        <v>5</v>
      </c>
      <c r="B13" s="690" t="s">
        <v>73</v>
      </c>
      <c r="C13" s="690" t="s">
        <v>234</v>
      </c>
      <c r="D13" s="290"/>
      <c r="E13" s="695" t="s">
        <v>74</v>
      </c>
      <c r="F13" s="722"/>
      <c r="G13" s="722"/>
      <c r="H13" s="722"/>
      <c r="I13" s="696"/>
      <c r="J13" s="695" t="s">
        <v>7</v>
      </c>
      <c r="K13" s="722"/>
      <c r="L13" s="722"/>
      <c r="M13" s="722"/>
      <c r="N13" s="722"/>
      <c r="O13" s="722"/>
      <c r="P13" s="722"/>
      <c r="Q13" s="722"/>
      <c r="R13" s="722"/>
      <c r="S13" s="722"/>
      <c r="T13" s="722"/>
      <c r="U13" s="722"/>
      <c r="V13" s="722"/>
      <c r="W13" s="696"/>
    </row>
    <row r="14" spans="1:23" ht="27.75" customHeight="1">
      <c r="A14" s="691"/>
      <c r="B14" s="691"/>
      <c r="C14" s="691"/>
      <c r="D14" s="286"/>
      <c r="E14" s="690" t="s">
        <v>75</v>
      </c>
      <c r="F14" s="690" t="s">
        <v>76</v>
      </c>
      <c r="G14" s="690" t="s">
        <v>648</v>
      </c>
      <c r="H14" s="313"/>
      <c r="I14" s="690" t="s">
        <v>158</v>
      </c>
      <c r="J14" s="695">
        <v>2021</v>
      </c>
      <c r="K14" s="722"/>
      <c r="L14" s="722"/>
      <c r="M14" s="722"/>
      <c r="N14" s="696"/>
      <c r="O14" s="690" t="s">
        <v>78</v>
      </c>
      <c r="P14" s="695">
        <v>2022</v>
      </c>
      <c r="Q14" s="722"/>
      <c r="R14" s="722"/>
      <c r="S14" s="696"/>
      <c r="T14" s="695">
        <v>2023</v>
      </c>
      <c r="U14" s="722"/>
      <c r="V14" s="722"/>
      <c r="W14" s="696"/>
    </row>
    <row r="15" spans="1:23" ht="56.25">
      <c r="A15" s="692"/>
      <c r="B15" s="692"/>
      <c r="C15" s="692"/>
      <c r="D15" s="287"/>
      <c r="E15" s="692"/>
      <c r="F15" s="692"/>
      <c r="G15" s="692"/>
      <c r="H15" s="314" t="s">
        <v>418</v>
      </c>
      <c r="I15" s="692"/>
      <c r="J15" s="650" t="s">
        <v>75</v>
      </c>
      <c r="K15" s="650" t="s">
        <v>76</v>
      </c>
      <c r="L15" s="648" t="s">
        <v>648</v>
      </c>
      <c r="M15" s="649" t="s">
        <v>418</v>
      </c>
      <c r="N15" s="650" t="s">
        <v>158</v>
      </c>
      <c r="O15" s="692"/>
      <c r="P15" s="285" t="s">
        <v>75</v>
      </c>
      <c r="Q15" s="285" t="s">
        <v>76</v>
      </c>
      <c r="R15" s="374" t="s">
        <v>418</v>
      </c>
      <c r="S15" s="285" t="s">
        <v>158</v>
      </c>
      <c r="T15" s="285" t="s">
        <v>75</v>
      </c>
      <c r="U15" s="285" t="s">
        <v>76</v>
      </c>
      <c r="V15" s="374" t="s">
        <v>418</v>
      </c>
      <c r="W15" s="285" t="s">
        <v>158</v>
      </c>
    </row>
    <row r="16" spans="1:23" ht="56.25">
      <c r="A16" s="182">
        <v>1</v>
      </c>
      <c r="B16" s="143" t="s">
        <v>608</v>
      </c>
      <c r="C16" s="110">
        <f>E16+F16+H16+I16+G16</f>
        <v>1105581.9</v>
      </c>
      <c r="D16" s="110" t="e">
        <f>E16+F16+#REF!</f>
        <v>#REF!</v>
      </c>
      <c r="E16" s="110">
        <f>J16</f>
        <v>13627.3</v>
      </c>
      <c r="F16" s="110"/>
      <c r="G16" s="110">
        <f>L16</f>
        <v>200</v>
      </c>
      <c r="H16" s="110">
        <f>M16+R16+V16</f>
        <v>1091754.5999999999</v>
      </c>
      <c r="I16" s="114"/>
      <c r="J16" s="110">
        <f>'дод 3  Трансп.інфрастр.   '!E23+'дод 3  Трансп.інфрастр.   '!E31</f>
        <v>13627.3</v>
      </c>
      <c r="K16" s="110"/>
      <c r="L16" s="608">
        <f>'дод 3  Трансп.інфрастр.   '!E25</f>
        <v>200</v>
      </c>
      <c r="M16" s="110">
        <f>'дод 3  Трансп.інфрастр.   '!E50-'дод 3  Трансп.інфрастр.   '!E25-'дод 3  Трансп.інфрастр.   '!E23</f>
        <v>229736.1</v>
      </c>
      <c r="N16" s="291"/>
      <c r="O16" s="110" t="e">
        <f>#REF!</f>
        <v>#REF!</v>
      </c>
      <c r="P16" s="110"/>
      <c r="Q16" s="110"/>
      <c r="R16" s="110">
        <f>'дод 3  Трансп.інфрастр.   '!F50</f>
        <v>413461.69999999995</v>
      </c>
      <c r="S16" s="110"/>
      <c r="T16" s="110"/>
      <c r="U16" s="110"/>
      <c r="V16" s="110">
        <f>'дод 3  Трансп.інфрастр.   '!G50</f>
        <v>448556.8</v>
      </c>
      <c r="W16" s="292"/>
    </row>
    <row r="17" spans="1:23" ht="41.25" customHeight="1">
      <c r="A17" s="182">
        <f>A16+1</f>
        <v>2</v>
      </c>
      <c r="B17" s="143" t="s">
        <v>609</v>
      </c>
      <c r="C17" s="110">
        <f aca="true" t="shared" si="0" ref="C17:C37">E17+F17+H17+I17+G17</f>
        <v>237118.5</v>
      </c>
      <c r="D17" s="110" t="e">
        <f>E17+F17+#REF!</f>
        <v>#REF!</v>
      </c>
      <c r="E17" s="110"/>
      <c r="F17" s="110"/>
      <c r="G17" s="110"/>
      <c r="H17" s="110">
        <f aca="true" t="shared" si="1" ref="H17:H35">M17+R17+V17</f>
        <v>237118.5</v>
      </c>
      <c r="I17" s="114"/>
      <c r="J17" s="110"/>
      <c r="K17" s="110"/>
      <c r="L17" s="110"/>
      <c r="M17" s="110">
        <f>'дод 4 Свет '!E30</f>
        <v>56368.200000000004</v>
      </c>
      <c r="N17" s="292"/>
      <c r="O17" s="110"/>
      <c r="P17" s="110"/>
      <c r="Q17" s="110"/>
      <c r="R17" s="110">
        <f>'дод 4 Свет '!F30</f>
        <v>87743</v>
      </c>
      <c r="S17" s="110"/>
      <c r="T17" s="110"/>
      <c r="U17" s="110"/>
      <c r="V17" s="110">
        <f>'дод 4 Свет '!J30</f>
        <v>93007.3</v>
      </c>
      <c r="W17" s="292"/>
    </row>
    <row r="18" spans="1:23" ht="61.5" customHeight="1">
      <c r="A18" s="182">
        <f aca="true" t="shared" si="2" ref="A18:A24">A17+1</f>
        <v>3</v>
      </c>
      <c r="B18" s="143" t="s">
        <v>610</v>
      </c>
      <c r="C18" s="110">
        <f t="shared" si="0"/>
        <v>123196.09999999999</v>
      </c>
      <c r="D18" s="110" t="e">
        <f>E18+F18+#REF!</f>
        <v>#REF!</v>
      </c>
      <c r="E18" s="110"/>
      <c r="F18" s="110"/>
      <c r="G18" s="110"/>
      <c r="H18" s="110">
        <f>M18+R18+V18</f>
        <v>121425.79999999999</v>
      </c>
      <c r="I18" s="110">
        <f>N18+S18+W18</f>
        <v>1770.3000000000002</v>
      </c>
      <c r="J18" s="110"/>
      <c r="K18" s="110"/>
      <c r="L18" s="110"/>
      <c r="M18" s="110">
        <f>'дод 5 озеленення  '!E85-'дод 5 озеленення  '!E60</f>
        <v>37354.2</v>
      </c>
      <c r="N18" s="293">
        <f>'дод 5 озеленення  '!E60</f>
        <v>160</v>
      </c>
      <c r="O18" s="110"/>
      <c r="P18" s="110"/>
      <c r="Q18" s="110"/>
      <c r="R18" s="110">
        <f>'дод 5 озеленення  '!F85-'дод 5 озеленення  '!F60</f>
        <v>40617</v>
      </c>
      <c r="S18" s="110">
        <f>'дод 5 озеленення  '!F60</f>
        <v>781.7</v>
      </c>
      <c r="T18" s="110"/>
      <c r="U18" s="110"/>
      <c r="V18" s="110">
        <f>'дод 5 озеленення  '!G85-'дод 5 озеленення  '!G60</f>
        <v>43454.6</v>
      </c>
      <c r="W18" s="293">
        <f>'дод 5 озеленення  '!G60</f>
        <v>828.6</v>
      </c>
    </row>
    <row r="19" spans="1:23" ht="31.5" customHeight="1">
      <c r="A19" s="494">
        <f t="shared" si="2"/>
        <v>4</v>
      </c>
      <c r="B19" s="143" t="s">
        <v>572</v>
      </c>
      <c r="C19" s="110">
        <f t="shared" si="0"/>
        <v>6157.6</v>
      </c>
      <c r="D19" s="110"/>
      <c r="E19" s="110"/>
      <c r="F19" s="110"/>
      <c r="G19" s="110"/>
      <c r="H19" s="110"/>
      <c r="I19" s="110">
        <f>N19+S19+W19</f>
        <v>6157.6</v>
      </c>
      <c r="J19" s="110"/>
      <c r="K19" s="110"/>
      <c r="L19" s="110"/>
      <c r="M19" s="110"/>
      <c r="N19" s="293">
        <f>'дод 16  цільовий фонд '!E21</f>
        <v>2207.6</v>
      </c>
      <c r="O19" s="110"/>
      <c r="P19" s="110"/>
      <c r="Q19" s="110"/>
      <c r="R19" s="110"/>
      <c r="S19" s="110">
        <f>'дод 16  цільовий фонд '!F21</f>
        <v>1900</v>
      </c>
      <c r="T19" s="110"/>
      <c r="U19" s="110"/>
      <c r="V19" s="110"/>
      <c r="W19" s="293">
        <f>'дод 16  цільовий фонд '!G21</f>
        <v>2050</v>
      </c>
    </row>
    <row r="20" spans="1:23" ht="75">
      <c r="A20" s="494">
        <f t="shared" si="2"/>
        <v>5</v>
      </c>
      <c r="B20" s="143" t="s">
        <v>79</v>
      </c>
      <c r="C20" s="110">
        <f t="shared" si="0"/>
        <v>73723.6</v>
      </c>
      <c r="D20" s="110" t="e">
        <f>E20+F20+#REF!</f>
        <v>#REF!</v>
      </c>
      <c r="E20" s="110"/>
      <c r="F20" s="110"/>
      <c r="G20" s="110"/>
      <c r="H20" s="110">
        <f t="shared" si="1"/>
        <v>73623.6</v>
      </c>
      <c r="I20" s="110">
        <f>N20+S20+W20</f>
        <v>100</v>
      </c>
      <c r="J20" s="110"/>
      <c r="K20" s="110"/>
      <c r="L20" s="110"/>
      <c r="M20" s="110">
        <f>'дод 6  Кладовища '!E33-'дод 6  Кладовища '!E28</f>
        <v>15929.400000000001</v>
      </c>
      <c r="N20" s="293">
        <f>'дод 6  Кладовища '!E28</f>
        <v>50</v>
      </c>
      <c r="O20" s="110"/>
      <c r="P20" s="110"/>
      <c r="Q20" s="110"/>
      <c r="R20" s="110">
        <f>'дод 6  Кладовища '!F33-'дод 6  Кладовища '!F28</f>
        <v>27723.399999999998</v>
      </c>
      <c r="S20" s="110">
        <f>'дод 6  Кладовища '!F28</f>
        <v>50</v>
      </c>
      <c r="T20" s="110"/>
      <c r="U20" s="110"/>
      <c r="V20" s="110">
        <f>'дод 6  Кладовища '!G33-'дод 6  Кладовища '!G28</f>
        <v>29970.799999999996</v>
      </c>
      <c r="W20" s="293">
        <f>'дод 6  Кладовища '!G28</f>
        <v>0</v>
      </c>
    </row>
    <row r="21" spans="1:23" ht="37.5">
      <c r="A21" s="494">
        <f t="shared" si="2"/>
        <v>6</v>
      </c>
      <c r="B21" s="143" t="s">
        <v>611</v>
      </c>
      <c r="C21" s="110">
        <f t="shared" si="0"/>
        <v>29593.899999999998</v>
      </c>
      <c r="D21" s="110" t="e">
        <f>E21+F21+#REF!</f>
        <v>#REF!</v>
      </c>
      <c r="E21" s="110"/>
      <c r="F21" s="110"/>
      <c r="G21" s="110"/>
      <c r="H21" s="110">
        <f t="shared" si="1"/>
        <v>29593.899999999998</v>
      </c>
      <c r="I21" s="114"/>
      <c r="J21" s="110"/>
      <c r="K21" s="110"/>
      <c r="L21" s="110"/>
      <c r="M21" s="110">
        <f>'дод 7  сан очистка'!E26</f>
        <v>7011.5</v>
      </c>
      <c r="N21" s="292"/>
      <c r="O21" s="110"/>
      <c r="P21" s="110"/>
      <c r="Q21" s="110"/>
      <c r="R21" s="110">
        <f>'дод 7  сан очистка'!F26</f>
        <v>10971.099999999999</v>
      </c>
      <c r="S21" s="110"/>
      <c r="T21" s="110"/>
      <c r="U21" s="110"/>
      <c r="V21" s="110">
        <f>'дод 7  сан очистка'!J26</f>
        <v>11611.3</v>
      </c>
      <c r="W21" s="292"/>
    </row>
    <row r="22" spans="1:23" ht="45.75" customHeight="1">
      <c r="A22" s="494">
        <f t="shared" si="2"/>
        <v>7</v>
      </c>
      <c r="B22" s="143" t="s">
        <v>80</v>
      </c>
      <c r="C22" s="110">
        <f t="shared" si="0"/>
        <v>37188.200000000004</v>
      </c>
      <c r="D22" s="110" t="e">
        <f>E22+F22+#REF!</f>
        <v>#REF!</v>
      </c>
      <c r="E22" s="110"/>
      <c r="F22" s="110"/>
      <c r="G22" s="110"/>
      <c r="H22" s="110">
        <f t="shared" si="1"/>
        <v>37188.200000000004</v>
      </c>
      <c r="I22" s="114"/>
      <c r="J22" s="110"/>
      <c r="K22" s="110"/>
      <c r="L22" s="110"/>
      <c r="M22" s="110">
        <f>'дод 8 Пот Благуострій'!E29</f>
        <v>14895.600000000002</v>
      </c>
      <c r="N22" s="292"/>
      <c r="O22" s="110"/>
      <c r="P22" s="110"/>
      <c r="Q22" s="110"/>
      <c r="R22" s="110">
        <f>'дод 8 Пот Благуострій'!G29</f>
        <v>10806.400000000001</v>
      </c>
      <c r="S22" s="110"/>
      <c r="T22" s="110"/>
      <c r="U22" s="110"/>
      <c r="V22" s="110">
        <f>'дод 8 Пот Благуострій'!H29</f>
        <v>11486.199999999999</v>
      </c>
      <c r="W22" s="292"/>
    </row>
    <row r="23" spans="1:23" ht="49.5" customHeight="1">
      <c r="A23" s="494">
        <f t="shared" si="2"/>
        <v>8</v>
      </c>
      <c r="B23" s="143" t="s">
        <v>81</v>
      </c>
      <c r="C23" s="110">
        <f t="shared" si="0"/>
        <v>5064.200000000001</v>
      </c>
      <c r="D23" s="110" t="e">
        <f>E23+F23+#REF!</f>
        <v>#REF!</v>
      </c>
      <c r="E23" s="110"/>
      <c r="F23" s="110"/>
      <c r="G23" s="110"/>
      <c r="H23" s="110">
        <f t="shared" si="1"/>
        <v>5064.200000000001</v>
      </c>
      <c r="I23" s="114"/>
      <c r="J23" s="110"/>
      <c r="K23" s="110"/>
      <c r="L23" s="110"/>
      <c r="M23" s="110">
        <f>'дод 9  Тварини'!E16</f>
        <v>1162</v>
      </c>
      <c r="N23" s="292"/>
      <c r="O23" s="110"/>
      <c r="P23" s="110"/>
      <c r="Q23" s="110"/>
      <c r="R23" s="110">
        <f>'дод 9  Тварини'!F16</f>
        <v>1894.3</v>
      </c>
      <c r="S23" s="110"/>
      <c r="T23" s="110"/>
      <c r="U23" s="110"/>
      <c r="V23" s="110">
        <f>'дод 9  Тварини'!J16</f>
        <v>2007.9</v>
      </c>
      <c r="W23" s="292"/>
    </row>
    <row r="24" spans="1:23" ht="37.5">
      <c r="A24" s="494">
        <f t="shared" si="2"/>
        <v>9</v>
      </c>
      <c r="B24" s="143" t="s">
        <v>477</v>
      </c>
      <c r="C24" s="110">
        <f t="shared" si="0"/>
        <v>58546.5</v>
      </c>
      <c r="D24" s="110" t="e">
        <f>E24+F24+#REF!</f>
        <v>#REF!</v>
      </c>
      <c r="E24" s="110">
        <f>J24</f>
        <v>7655</v>
      </c>
      <c r="F24" s="110"/>
      <c r="G24" s="110"/>
      <c r="H24" s="110">
        <f t="shared" si="1"/>
        <v>50891.5</v>
      </c>
      <c r="I24" s="114"/>
      <c r="J24" s="110">
        <f>'дод 10  Кап Благоустрою інші'!E16</f>
        <v>7655</v>
      </c>
      <c r="K24" s="110"/>
      <c r="L24" s="110"/>
      <c r="M24" s="110">
        <f>'дод 10  Кап Благоустрою інші'!E18-'дод 10  Кап Благоустрою інші'!E16</f>
        <v>7400</v>
      </c>
      <c r="N24" s="292"/>
      <c r="O24" s="110"/>
      <c r="P24" s="110"/>
      <c r="Q24" s="110"/>
      <c r="R24" s="110">
        <f>'дод 10  Кап Благоустрою інші'!F18</f>
        <v>21112.4</v>
      </c>
      <c r="S24" s="110"/>
      <c r="T24" s="110"/>
      <c r="U24" s="110"/>
      <c r="V24" s="110">
        <f>'дод 10  Кап Благоустрою інші'!J18</f>
        <v>22379.1</v>
      </c>
      <c r="W24" s="292"/>
    </row>
    <row r="25" spans="1:23" ht="37.5">
      <c r="A25" s="494">
        <v>10</v>
      </c>
      <c r="B25" s="143" t="s">
        <v>478</v>
      </c>
      <c r="C25" s="110">
        <f t="shared" si="0"/>
        <v>50221.3</v>
      </c>
      <c r="D25" s="110" t="e">
        <f>E25+F25+#REF!</f>
        <v>#REF!</v>
      </c>
      <c r="E25" s="110"/>
      <c r="F25" s="110"/>
      <c r="G25" s="110"/>
      <c r="H25" s="110">
        <f t="shared" si="1"/>
        <v>50221.3</v>
      </c>
      <c r="I25" s="114"/>
      <c r="J25" s="110"/>
      <c r="K25" s="110"/>
      <c r="L25" s="110"/>
      <c r="M25" s="110">
        <f>'дод 11   кап ремонт житло. '!E32</f>
        <v>9700.3</v>
      </c>
      <c r="N25" s="292"/>
      <c r="O25" s="110"/>
      <c r="P25" s="110"/>
      <c r="Q25" s="110"/>
      <c r="R25" s="110">
        <f>'дод 11   кап ремонт житло. '!F32</f>
        <v>19670.4</v>
      </c>
      <c r="S25" s="110"/>
      <c r="T25" s="110"/>
      <c r="U25" s="110"/>
      <c r="V25" s="110">
        <f>'дод 11   кап ремонт житло. '!J32</f>
        <v>20850.6</v>
      </c>
      <c r="W25" s="292"/>
    </row>
    <row r="26" spans="1:23" ht="60" customHeight="1">
      <c r="A26" s="494">
        <v>11</v>
      </c>
      <c r="B26" s="143" t="s">
        <v>82</v>
      </c>
      <c r="C26" s="110">
        <f t="shared" si="0"/>
        <v>9419</v>
      </c>
      <c r="D26" s="271" t="e">
        <f>E26+F26+#REF!</f>
        <v>#REF!</v>
      </c>
      <c r="E26" s="271"/>
      <c r="F26" s="271"/>
      <c r="G26" s="271"/>
      <c r="H26" s="110">
        <f t="shared" si="1"/>
        <v>9419</v>
      </c>
      <c r="I26" s="116"/>
      <c r="J26" s="271"/>
      <c r="K26" s="271"/>
      <c r="L26" s="271"/>
      <c r="M26" s="110">
        <f>'дод 12 Святкові   '!E54</f>
        <v>3175</v>
      </c>
      <c r="N26" s="294"/>
      <c r="O26" s="271"/>
      <c r="P26" s="271"/>
      <c r="Q26" s="271"/>
      <c r="R26" s="110">
        <f>'дод 12 Святкові   '!F54</f>
        <v>2995.3</v>
      </c>
      <c r="S26" s="271"/>
      <c r="T26" s="271"/>
      <c r="U26" s="271"/>
      <c r="V26" s="110">
        <f>'дод 12 Святкові   '!J54</f>
        <v>3248.7</v>
      </c>
      <c r="W26" s="292"/>
    </row>
    <row r="27" spans="1:23" ht="37.5">
      <c r="A27" s="494">
        <v>12</v>
      </c>
      <c r="B27" s="143" t="s">
        <v>612</v>
      </c>
      <c r="C27" s="110">
        <f t="shared" si="0"/>
        <v>12834.303</v>
      </c>
      <c r="D27" s="271"/>
      <c r="E27" s="271"/>
      <c r="F27" s="271"/>
      <c r="G27" s="271"/>
      <c r="H27" s="110">
        <f>M27+R27+V27</f>
        <v>7474.692</v>
      </c>
      <c r="I27" s="110">
        <f>N27+S27+W27</f>
        <v>5359.611</v>
      </c>
      <c r="J27" s="271"/>
      <c r="K27" s="271"/>
      <c r="L27" s="271"/>
      <c r="M27" s="110">
        <f>'дод 13 інша діяльність 6090'!E73-'дод 13 інша діяльність 6090'!E30</f>
        <v>2854.04</v>
      </c>
      <c r="N27" s="503">
        <f>'дод 13 інша діяльність 6090'!E30</f>
        <v>1785</v>
      </c>
      <c r="O27" s="271"/>
      <c r="P27" s="271"/>
      <c r="Q27" s="271"/>
      <c r="R27" s="110">
        <f>'дод 13 інша діяльність 6090'!F73-'дод 13 інша діяльність 6090'!F30</f>
        <v>2292.6</v>
      </c>
      <c r="S27" s="110">
        <f>'дод 13 інша діяльність 6090'!F30</f>
        <v>1785</v>
      </c>
      <c r="T27" s="271"/>
      <c r="U27" s="271"/>
      <c r="V27" s="110">
        <f>'дод 13 інша діяльність 6090'!J73-'дод 13 інша діяльність 6090'!J30</f>
        <v>2328.0520000000006</v>
      </c>
      <c r="W27" s="503">
        <f>'дод 13 інша діяльність 6090'!J30</f>
        <v>1789.611</v>
      </c>
    </row>
    <row r="28" spans="1:23" ht="56.25">
      <c r="A28" s="494">
        <v>13</v>
      </c>
      <c r="B28" s="143" t="s">
        <v>613</v>
      </c>
      <c r="C28" s="110">
        <f t="shared" si="0"/>
        <v>39372.3</v>
      </c>
      <c r="D28" s="110" t="e">
        <f>E28+F28+#REF!</f>
        <v>#REF!</v>
      </c>
      <c r="E28" s="110"/>
      <c r="F28" s="110"/>
      <c r="G28" s="110"/>
      <c r="H28" s="110">
        <f t="shared" si="1"/>
        <v>39372.3</v>
      </c>
      <c r="I28" s="271">
        <f aca="true" t="shared" si="3" ref="I28:I35">N28+S28+W28</f>
        <v>0</v>
      </c>
      <c r="J28" s="110"/>
      <c r="K28" s="110"/>
      <c r="L28" s="110"/>
      <c r="M28" s="110">
        <f>'дод 14   Вода  '!E50</f>
        <v>31792</v>
      </c>
      <c r="N28" s="292"/>
      <c r="O28" s="110"/>
      <c r="P28" s="110"/>
      <c r="Q28" s="110"/>
      <c r="R28" s="110">
        <f>'дод 14   Вода  '!F50</f>
        <v>3680</v>
      </c>
      <c r="S28" s="110"/>
      <c r="T28" s="110"/>
      <c r="U28" s="110"/>
      <c r="V28" s="110">
        <f>'дод 14   Вода  '!J50</f>
        <v>3900.3</v>
      </c>
      <c r="W28" s="292"/>
    </row>
    <row r="29" spans="1:23" ht="52.5" customHeight="1">
      <c r="A29" s="494">
        <v>14</v>
      </c>
      <c r="B29" s="143" t="s">
        <v>479</v>
      </c>
      <c r="C29" s="110">
        <f t="shared" si="0"/>
        <v>3688.1000000000004</v>
      </c>
      <c r="D29" s="110" t="e">
        <f>E29+F29+#REF!</f>
        <v>#REF!</v>
      </c>
      <c r="E29" s="110"/>
      <c r="F29" s="110"/>
      <c r="G29" s="110"/>
      <c r="H29" s="110">
        <f t="shared" si="1"/>
        <v>3688.1000000000004</v>
      </c>
      <c r="I29" s="271">
        <f t="shared" si="3"/>
        <v>0</v>
      </c>
      <c r="J29" s="110"/>
      <c r="K29" s="110"/>
      <c r="L29" s="110"/>
      <c r="M29" s="110">
        <f>'дод 15  финпидтримка  '!E46</f>
        <v>3028.7000000000003</v>
      </c>
      <c r="N29" s="292"/>
      <c r="O29" s="110"/>
      <c r="P29" s="110"/>
      <c r="Q29" s="110"/>
      <c r="R29" s="110">
        <f>'дод 15  финпидтримка  '!F46</f>
        <v>320.1</v>
      </c>
      <c r="S29" s="110"/>
      <c r="T29" s="110"/>
      <c r="U29" s="110"/>
      <c r="V29" s="110">
        <f>'дод 15  финпидтримка  '!J46</f>
        <v>339.3</v>
      </c>
      <c r="W29" s="292"/>
    </row>
    <row r="30" spans="1:23" ht="27.75" customHeight="1">
      <c r="A30" s="494">
        <v>15</v>
      </c>
      <c r="B30" s="143" t="s">
        <v>83</v>
      </c>
      <c r="C30" s="110">
        <f t="shared" si="0"/>
        <v>10240.6</v>
      </c>
      <c r="D30" s="110"/>
      <c r="E30" s="110"/>
      <c r="F30" s="110"/>
      <c r="G30" s="110"/>
      <c r="H30" s="110">
        <f t="shared" si="1"/>
        <v>10240.6</v>
      </c>
      <c r="I30" s="271">
        <f t="shared" si="3"/>
        <v>0</v>
      </c>
      <c r="J30" s="110"/>
      <c r="K30" s="110"/>
      <c r="L30" s="110"/>
      <c r="M30" s="110">
        <f>'дод 17  Енргозбер. заходи'!E21</f>
        <v>1998</v>
      </c>
      <c r="N30" s="292"/>
      <c r="O30" s="110"/>
      <c r="P30" s="110"/>
      <c r="Q30" s="110"/>
      <c r="R30" s="110">
        <f>'дод 17  Енргозбер. заходи'!F21</f>
        <v>4001.3</v>
      </c>
      <c r="S30" s="110"/>
      <c r="T30" s="110"/>
      <c r="U30" s="110"/>
      <c r="V30" s="110">
        <f>'дод 17  Енргозбер. заходи'!J21</f>
        <v>4241.3</v>
      </c>
      <c r="W30" s="292"/>
    </row>
    <row r="31" spans="1:23" ht="37.5">
      <c r="A31" s="494">
        <v>16</v>
      </c>
      <c r="B31" s="143" t="s">
        <v>480</v>
      </c>
      <c r="C31" s="110">
        <f t="shared" si="0"/>
        <v>5619.53</v>
      </c>
      <c r="D31" s="110"/>
      <c r="E31" s="110"/>
      <c r="F31" s="110"/>
      <c r="G31" s="110"/>
      <c r="H31" s="110">
        <f t="shared" si="1"/>
        <v>5619.53</v>
      </c>
      <c r="I31" s="271">
        <f t="shared" si="3"/>
        <v>0</v>
      </c>
      <c r="J31" s="110"/>
      <c r="K31" s="110"/>
      <c r="L31" s="110"/>
      <c r="M31" s="110">
        <f>'дод 18 статут зміцн.мат.тех.'!E133</f>
        <v>5619.53</v>
      </c>
      <c r="N31" s="292"/>
      <c r="O31" s="110"/>
      <c r="P31" s="110"/>
      <c r="Q31" s="110"/>
      <c r="R31" s="110">
        <f>'дод 18 статут зміцн.мат.тех.'!F133</f>
        <v>0</v>
      </c>
      <c r="S31" s="110"/>
      <c r="T31" s="110"/>
      <c r="U31" s="110"/>
      <c r="V31" s="110">
        <f>'дод 18 статут зміцн.мат.тех.'!I133</f>
        <v>0</v>
      </c>
      <c r="W31" s="292"/>
    </row>
    <row r="32" spans="1:23" ht="56.25">
      <c r="A32" s="494">
        <v>17</v>
      </c>
      <c r="B32" s="143" t="s">
        <v>42</v>
      </c>
      <c r="C32" s="110">
        <f t="shared" si="0"/>
        <v>15000</v>
      </c>
      <c r="D32" s="110"/>
      <c r="E32" s="110"/>
      <c r="F32" s="110"/>
      <c r="G32" s="110"/>
      <c r="H32" s="110">
        <f t="shared" si="1"/>
        <v>15000</v>
      </c>
      <c r="I32" s="271">
        <f t="shared" si="3"/>
        <v>0</v>
      </c>
      <c r="J32" s="110"/>
      <c r="K32" s="110"/>
      <c r="L32" s="110"/>
      <c r="M32" s="110">
        <f>'дод 19  Субв. Сироватк (Крас '!E18</f>
        <v>15000</v>
      </c>
      <c r="N32" s="292"/>
      <c r="O32" s="110"/>
      <c r="P32" s="110"/>
      <c r="Q32" s="110"/>
      <c r="R32" s="110">
        <f>'дод 19  Субв. Сироватк (Крас '!F18</f>
        <v>0</v>
      </c>
      <c r="S32" s="110"/>
      <c r="T32" s="110"/>
      <c r="U32" s="110"/>
      <c r="V32" s="110">
        <f>'дод 19  Субв. Сироватк (Крас '!J18</f>
        <v>0</v>
      </c>
      <c r="W32" s="292"/>
    </row>
    <row r="33" spans="1:23" ht="56.25">
      <c r="A33" s="494">
        <v>18</v>
      </c>
      <c r="B33" s="143" t="s">
        <v>481</v>
      </c>
      <c r="C33" s="110">
        <f t="shared" si="0"/>
        <v>760</v>
      </c>
      <c r="D33" s="110"/>
      <c r="E33" s="110"/>
      <c r="F33" s="110"/>
      <c r="G33" s="110"/>
      <c r="H33" s="110">
        <f t="shared" si="1"/>
        <v>760</v>
      </c>
      <c r="I33" s="271">
        <f t="shared" si="3"/>
        <v>0</v>
      </c>
      <c r="J33" s="110"/>
      <c r="K33" s="110"/>
      <c r="L33" s="110"/>
      <c r="M33" s="110">
        <f>'дод 20  паспорт дом  '!E21</f>
        <v>100</v>
      </c>
      <c r="N33" s="292"/>
      <c r="O33" s="110"/>
      <c r="P33" s="110"/>
      <c r="Q33" s="110"/>
      <c r="R33" s="110">
        <f>'дод 20  паспорт дом  '!F21</f>
        <v>320</v>
      </c>
      <c r="S33" s="110"/>
      <c r="T33" s="110"/>
      <c r="U33" s="110"/>
      <c r="V33" s="110">
        <f>'дод 20  паспорт дом  '!J21</f>
        <v>340</v>
      </c>
      <c r="W33" s="323"/>
    </row>
    <row r="34" spans="1:23" ht="30.75" customHeight="1">
      <c r="A34" s="494">
        <v>19</v>
      </c>
      <c r="B34" s="143" t="s">
        <v>174</v>
      </c>
      <c r="C34" s="110">
        <f t="shared" si="0"/>
        <v>270122.6</v>
      </c>
      <c r="D34" s="110"/>
      <c r="E34" s="110">
        <f>J34+P34+T34</f>
        <v>3000</v>
      </c>
      <c r="F34" s="110"/>
      <c r="G34" s="110">
        <f>L34</f>
        <v>200</v>
      </c>
      <c r="H34" s="110">
        <f>M34+R34+V34</f>
        <v>183422.6</v>
      </c>
      <c r="I34" s="271">
        <f t="shared" si="3"/>
        <v>83500</v>
      </c>
      <c r="J34" s="110">
        <f>'дод.21 Буд.реставр. та реконстр'!E64</f>
        <v>3000</v>
      </c>
      <c r="K34" s="110"/>
      <c r="L34" s="110">
        <f>'дод.21 Буд.реставр. та реконстр'!E47</f>
        <v>200</v>
      </c>
      <c r="M34" s="110">
        <f>'дод.21 Буд.реставр. та реконстр'!E65-'дод.21 Буд.реставр. та реконстр'!E57-'дод.21 Буд.реставр. та реконстр'!E64-'дод.21 Буд.реставр. та реконстр'!E47</f>
        <v>30575</v>
      </c>
      <c r="N34" s="593">
        <f>'дод.21 Буд.реставр. та реконстр'!E57</f>
        <v>5000</v>
      </c>
      <c r="O34" s="110"/>
      <c r="P34" s="110"/>
      <c r="Q34" s="110"/>
      <c r="R34" s="110">
        <f>'дод.21 Буд.реставр. та реконстр'!F65-'дод.21 Буд.реставр. та реконстр'!F57</f>
        <v>76733.8</v>
      </c>
      <c r="S34" s="110">
        <f>'дод.21 Буд.реставр. та реконстр'!F57</f>
        <v>25000</v>
      </c>
      <c r="T34" s="110"/>
      <c r="U34" s="110"/>
      <c r="V34" s="110">
        <f>'дод.21 Буд.реставр. та реконстр'!G65-'дод.21 Буд.реставр. та реконстр'!G57</f>
        <v>76113.8</v>
      </c>
      <c r="W34" s="593">
        <f>'дод.21 Буд.реставр. та реконстр'!G57</f>
        <v>53500</v>
      </c>
    </row>
    <row r="35" spans="1:23" ht="37.5">
      <c r="A35" s="182">
        <v>20</v>
      </c>
      <c r="B35" s="143" t="s">
        <v>643</v>
      </c>
      <c r="C35" s="110">
        <f t="shared" si="0"/>
        <v>-2794.09</v>
      </c>
      <c r="D35" s="110"/>
      <c r="E35" s="110">
        <f>J35+P35+T35</f>
        <v>0</v>
      </c>
      <c r="F35" s="110"/>
      <c r="G35" s="110"/>
      <c r="H35" s="110">
        <f t="shared" si="1"/>
        <v>-2794.09</v>
      </c>
      <c r="I35" s="271">
        <f t="shared" si="3"/>
        <v>0</v>
      </c>
      <c r="J35" s="110"/>
      <c r="K35" s="110"/>
      <c r="L35" s="110"/>
      <c r="M35" s="110">
        <f>'дод 22 Поверн  бюдж позичок'!E19</f>
        <v>-2794.09</v>
      </c>
      <c r="N35" s="292"/>
      <c r="O35" s="110"/>
      <c r="P35" s="110"/>
      <c r="Q35" s="110"/>
      <c r="R35" s="110">
        <f>'дод 22 Поверн  бюдж позичок'!F19</f>
        <v>0</v>
      </c>
      <c r="S35" s="110"/>
      <c r="T35" s="110"/>
      <c r="U35" s="110"/>
      <c r="V35" s="110">
        <f>'дод 22 Поверн  бюдж позичок'!J19</f>
        <v>0</v>
      </c>
      <c r="W35" s="292"/>
    </row>
    <row r="36" spans="1:23" ht="131.25">
      <c r="A36" s="687">
        <v>21</v>
      </c>
      <c r="B36" s="143" t="s">
        <v>704</v>
      </c>
      <c r="C36" s="110">
        <f>E36+F36+H36+I36+G36</f>
        <v>194791.961</v>
      </c>
      <c r="D36" s="110"/>
      <c r="E36" s="110">
        <f>J36+P36+T36</f>
        <v>194791.961</v>
      </c>
      <c r="F36" s="110"/>
      <c r="G36" s="110"/>
      <c r="H36" s="110">
        <f>M36+R36+V36</f>
        <v>0</v>
      </c>
      <c r="I36" s="271">
        <f>N36+S36+W36</f>
        <v>0</v>
      </c>
      <c r="J36" s="271">
        <f>'дод 25  Заборг в тариф '!E18</f>
        <v>194791.961</v>
      </c>
      <c r="K36" s="110"/>
      <c r="L36" s="110"/>
      <c r="M36" s="110"/>
      <c r="N36" s="292"/>
      <c r="O36" s="110"/>
      <c r="P36" s="110"/>
      <c r="Q36" s="110"/>
      <c r="R36" s="110"/>
      <c r="S36" s="110"/>
      <c r="T36" s="110"/>
      <c r="U36" s="110"/>
      <c r="V36" s="110"/>
      <c r="W36" s="292"/>
    </row>
    <row r="37" spans="1:23" ht="35.25" customHeight="1">
      <c r="A37" s="723" t="s">
        <v>4</v>
      </c>
      <c r="B37" s="724"/>
      <c r="C37" s="416">
        <f>E37+F37+H37+I37+G37</f>
        <v>2285446.1040000003</v>
      </c>
      <c r="D37" s="416" t="e">
        <f>D16+D17+D18+D20+D21+D22+D23+D24+D25+D26+D28+D29+D30+D31+D32+D33+D34+D35</f>
        <v>#REF!</v>
      </c>
      <c r="E37" s="416">
        <f>J37+P37+T37</f>
        <v>219074.261</v>
      </c>
      <c r="F37" s="416">
        <f>K37+Q37+U37</f>
        <v>0</v>
      </c>
      <c r="G37" s="416">
        <f>L37</f>
        <v>400</v>
      </c>
      <c r="H37" s="416">
        <f>M37+R37+V37</f>
        <v>1969084.3320000004</v>
      </c>
      <c r="I37" s="416">
        <f>N37+S37+W37</f>
        <v>96887.511</v>
      </c>
      <c r="J37" s="416">
        <f>SUM(J16:J36)</f>
        <v>219074.261</v>
      </c>
      <c r="K37" s="416">
        <f aca="true" t="shared" si="4" ref="K37:W37">SUM(K16:K35)</f>
        <v>0</v>
      </c>
      <c r="L37" s="416">
        <f>L34+L16</f>
        <v>400</v>
      </c>
      <c r="M37" s="416">
        <f>SUM(M16:M35)</f>
        <v>470905.48</v>
      </c>
      <c r="N37" s="416">
        <f>SUM(N16:N35)</f>
        <v>9202.6</v>
      </c>
      <c r="O37" s="416" t="e">
        <f t="shared" si="4"/>
        <v>#REF!</v>
      </c>
      <c r="P37" s="416">
        <f t="shared" si="4"/>
        <v>0</v>
      </c>
      <c r="Q37" s="416">
        <f t="shared" si="4"/>
        <v>0</v>
      </c>
      <c r="R37" s="416">
        <f>SUM(R16:R35)</f>
        <v>724342.8000000002</v>
      </c>
      <c r="S37" s="416">
        <f>SUM(S16:S35)</f>
        <v>29516.7</v>
      </c>
      <c r="T37" s="416">
        <f t="shared" si="4"/>
        <v>0</v>
      </c>
      <c r="U37" s="416">
        <f t="shared" si="4"/>
        <v>0</v>
      </c>
      <c r="V37" s="416">
        <f>SUM(V16:V35)</f>
        <v>773836.0520000001</v>
      </c>
      <c r="W37" s="416">
        <f t="shared" si="4"/>
        <v>58168.211</v>
      </c>
    </row>
    <row r="38" spans="1:22" ht="15" customHeight="1">
      <c r="A38" s="118"/>
      <c r="B38" s="118"/>
      <c r="C38" s="234"/>
      <c r="D38" s="234"/>
      <c r="E38" s="234"/>
      <c r="F38" s="234"/>
      <c r="G38" s="234"/>
      <c r="H38" s="234"/>
      <c r="I38" s="234"/>
      <c r="J38" s="234"/>
      <c r="K38" s="234"/>
      <c r="L38" s="234"/>
      <c r="M38" s="234"/>
      <c r="N38" s="234"/>
      <c r="O38" s="234"/>
      <c r="P38" s="234"/>
      <c r="Q38" s="234"/>
      <c r="R38" s="234"/>
      <c r="S38" s="234"/>
      <c r="T38" s="234"/>
      <c r="U38" s="234"/>
      <c r="V38" s="234"/>
    </row>
    <row r="39" spans="1:22" ht="10.5" customHeight="1" hidden="1">
      <c r="A39" s="118"/>
      <c r="B39" s="118"/>
      <c r="C39" s="234"/>
      <c r="D39" s="234"/>
      <c r="E39" s="234"/>
      <c r="F39" s="234"/>
      <c r="G39" s="234"/>
      <c r="H39" s="234"/>
      <c r="I39" s="234"/>
      <c r="J39" s="234"/>
      <c r="K39" s="234"/>
      <c r="L39" s="234"/>
      <c r="M39" s="234"/>
      <c r="N39" s="234"/>
      <c r="O39" s="234"/>
      <c r="P39" s="234"/>
      <c r="Q39" s="234"/>
      <c r="R39" s="234"/>
      <c r="S39" s="234"/>
      <c r="T39" s="234"/>
      <c r="U39" s="234"/>
      <c r="V39" s="234"/>
    </row>
    <row r="40" spans="1:22" ht="15.75" hidden="1">
      <c r="A40" s="118"/>
      <c r="B40" s="118"/>
      <c r="C40" s="234"/>
      <c r="D40" s="234"/>
      <c r="E40" s="234"/>
      <c r="F40" s="234"/>
      <c r="G40" s="234"/>
      <c r="H40" s="234"/>
      <c r="I40" s="234"/>
      <c r="J40" s="234"/>
      <c r="K40" s="234"/>
      <c r="L40" s="234"/>
      <c r="M40" s="234"/>
      <c r="N40" s="234"/>
      <c r="O40" s="234"/>
      <c r="P40" s="234"/>
      <c r="Q40" s="234"/>
      <c r="R40" s="234"/>
      <c r="S40" s="234"/>
      <c r="T40" s="234"/>
      <c r="U40" s="234"/>
      <c r="V40" s="234"/>
    </row>
    <row r="41" spans="1:22" ht="22.5">
      <c r="A41" s="118"/>
      <c r="B41" s="118"/>
      <c r="C41" s="119"/>
      <c r="D41" s="119"/>
      <c r="E41" s="119"/>
      <c r="F41" s="119"/>
      <c r="G41" s="119"/>
      <c r="H41" s="119"/>
      <c r="I41" s="119"/>
      <c r="J41" s="119"/>
      <c r="K41" s="119"/>
      <c r="L41" s="119"/>
      <c r="M41" s="119"/>
      <c r="N41" s="658"/>
      <c r="O41" s="119"/>
      <c r="P41" s="119"/>
      <c r="Q41" s="119"/>
      <c r="R41" s="234"/>
      <c r="S41" s="235"/>
      <c r="T41" s="236"/>
      <c r="V41" s="237"/>
    </row>
    <row r="42" spans="1:23" s="429" customFormat="1" ht="21" customHeight="1">
      <c r="A42" s="725" t="s">
        <v>15</v>
      </c>
      <c r="B42" s="725"/>
      <c r="C42" s="418"/>
      <c r="D42" s="419"/>
      <c r="E42" s="420"/>
      <c r="F42" s="421"/>
      <c r="G42" s="421"/>
      <c r="H42" s="422"/>
      <c r="I42" s="423"/>
      <c r="J42" s="424"/>
      <c r="K42" s="424"/>
      <c r="L42" s="424"/>
      <c r="M42" s="424"/>
      <c r="N42" s="659"/>
      <c r="O42" s="425"/>
      <c r="P42" s="425"/>
      <c r="Q42" s="641"/>
      <c r="R42" s="426"/>
      <c r="S42" s="726" t="s">
        <v>674</v>
      </c>
      <c r="T42" s="726"/>
      <c r="U42" s="726"/>
      <c r="V42" s="427"/>
      <c r="W42" s="428"/>
    </row>
    <row r="43" spans="1:23" ht="22.5">
      <c r="A43" s="264"/>
      <c r="B43" s="264"/>
      <c r="C43" s="247"/>
      <c r="D43" s="240"/>
      <c r="F43" s="240"/>
      <c r="G43" s="240"/>
      <c r="H43" s="240"/>
      <c r="I43" s="240"/>
      <c r="J43" s="119"/>
      <c r="K43" s="119"/>
      <c r="L43" s="119"/>
      <c r="M43" s="119"/>
      <c r="N43" s="658"/>
      <c r="R43" s="246"/>
      <c r="T43" s="248"/>
      <c r="U43" s="248"/>
      <c r="V43" s="171"/>
      <c r="W43" s="238"/>
    </row>
    <row r="44" spans="1:23" ht="15.75" customHeight="1">
      <c r="A44" s="694" t="s">
        <v>673</v>
      </c>
      <c r="B44" s="694"/>
      <c r="C44" s="239"/>
      <c r="D44" s="240"/>
      <c r="E44" s="240"/>
      <c r="F44" s="233"/>
      <c r="G44" s="233"/>
      <c r="H44" s="233"/>
      <c r="I44" s="233"/>
      <c r="J44" s="721"/>
      <c r="K44" s="721"/>
      <c r="L44" s="721"/>
      <c r="M44" s="721"/>
      <c r="N44" s="721"/>
      <c r="O44" s="721"/>
      <c r="P44" s="721"/>
      <c r="Q44" s="721"/>
      <c r="R44" s="721"/>
      <c r="S44" s="289"/>
      <c r="T44" s="289"/>
      <c r="W44" s="289"/>
    </row>
    <row r="45" spans="1:22" ht="18.75">
      <c r="A45" s="613"/>
      <c r="B45" s="613"/>
      <c r="C45" s="246"/>
      <c r="D45" s="246"/>
      <c r="E45" s="246"/>
      <c r="F45" s="246"/>
      <c r="G45" s="246"/>
      <c r="H45" s="246"/>
      <c r="I45" s="246"/>
      <c r="V45" s="249"/>
    </row>
    <row r="46" spans="1:20" ht="15.75" hidden="1">
      <c r="A46" s="250"/>
      <c r="B46" s="251"/>
      <c r="S46" s="246"/>
      <c r="T46" s="246"/>
    </row>
    <row r="47" spans="1:2" ht="15" hidden="1">
      <c r="A47" s="250"/>
      <c r="B47" s="250"/>
    </row>
    <row r="48" spans="1:22" ht="15" hidden="1">
      <c r="A48" s="250"/>
      <c r="B48" s="250"/>
      <c r="E48" s="252"/>
      <c r="F48" s="252"/>
      <c r="G48" s="252"/>
      <c r="H48" s="252"/>
      <c r="I48" s="252"/>
      <c r="J48" s="252"/>
      <c r="K48" s="252"/>
      <c r="L48" s="252"/>
      <c r="M48" s="252"/>
      <c r="N48" s="252"/>
      <c r="O48" s="252"/>
      <c r="P48" s="252"/>
      <c r="Q48" s="252"/>
      <c r="R48" s="252"/>
      <c r="S48" s="252"/>
      <c r="T48" s="252"/>
      <c r="U48" s="252"/>
      <c r="V48" s="252"/>
    </row>
    <row r="49" spans="1:2" ht="15" hidden="1">
      <c r="A49" s="250"/>
      <c r="B49" s="250"/>
    </row>
    <row r="50" spans="1:2" ht="15" hidden="1">
      <c r="A50" s="250"/>
      <c r="B50" s="250"/>
    </row>
    <row r="51" spans="1:20" ht="15" hidden="1">
      <c r="A51" s="250"/>
      <c r="B51" s="250"/>
      <c r="S51" s="246"/>
      <c r="T51" s="246"/>
    </row>
    <row r="52" spans="1:20" ht="15" hidden="1">
      <c r="A52" s="250"/>
      <c r="B52" s="250"/>
      <c r="C52" s="246"/>
      <c r="D52" s="246"/>
      <c r="E52" s="246"/>
      <c r="F52" s="246"/>
      <c r="G52" s="246"/>
      <c r="H52" s="246"/>
      <c r="I52" s="246"/>
      <c r="J52" s="246"/>
      <c r="K52" s="246"/>
      <c r="L52" s="246"/>
      <c r="M52" s="246"/>
      <c r="N52" s="246"/>
      <c r="O52" s="246"/>
      <c r="P52" s="246"/>
      <c r="Q52" s="246"/>
      <c r="R52" s="246"/>
      <c r="S52" s="246"/>
      <c r="T52" s="246"/>
    </row>
    <row r="53" spans="1:20" ht="15" hidden="1">
      <c r="A53" s="250"/>
      <c r="B53" s="250"/>
      <c r="C53" s="246"/>
      <c r="D53" s="246"/>
      <c r="E53" s="246"/>
      <c r="F53" s="246"/>
      <c r="G53" s="246"/>
      <c r="H53" s="246"/>
      <c r="I53" s="246"/>
      <c r="S53" s="246"/>
      <c r="T53" s="246"/>
    </row>
    <row r="54" spans="1:2" ht="15" hidden="1">
      <c r="A54" s="250"/>
      <c r="B54" s="250"/>
    </row>
    <row r="55" spans="1:2" ht="15" hidden="1">
      <c r="A55" s="250"/>
      <c r="B55" s="250"/>
    </row>
    <row r="56" spans="1:20" ht="15" hidden="1">
      <c r="A56" s="250"/>
      <c r="B56" s="250"/>
      <c r="S56" s="246"/>
      <c r="T56" s="246"/>
    </row>
    <row r="57" spans="1:2" ht="15" hidden="1">
      <c r="A57" s="250"/>
      <c r="B57" s="250"/>
    </row>
    <row r="58" spans="1:20" ht="15" hidden="1">
      <c r="A58" s="250"/>
      <c r="B58" s="250"/>
      <c r="S58" s="246"/>
      <c r="T58" s="246"/>
    </row>
    <row r="59" spans="1:2" ht="15" hidden="1">
      <c r="A59" s="250"/>
      <c r="B59" s="250"/>
    </row>
    <row r="60" spans="1:2" ht="15" hidden="1">
      <c r="A60" s="250"/>
      <c r="B60" s="250"/>
    </row>
    <row r="61" spans="1:2" ht="15" hidden="1">
      <c r="A61" s="250"/>
      <c r="B61" s="250"/>
    </row>
    <row r="62" spans="1:2" ht="15" hidden="1">
      <c r="A62" s="250"/>
      <c r="B62" s="250"/>
    </row>
    <row r="63" spans="1:2" ht="15" hidden="1">
      <c r="A63" s="250"/>
      <c r="B63" s="250"/>
    </row>
    <row r="64" spans="1:2" ht="15" hidden="1">
      <c r="A64" s="250"/>
      <c r="B64" s="250"/>
    </row>
    <row r="65" spans="1:2" ht="15" hidden="1">
      <c r="A65" s="250"/>
      <c r="B65" s="250"/>
    </row>
    <row r="66" spans="1:2" ht="15" hidden="1">
      <c r="A66" s="250"/>
      <c r="B66" s="250"/>
    </row>
    <row r="67" spans="1:2" ht="15" hidden="1">
      <c r="A67" s="250"/>
      <c r="B67" s="250"/>
    </row>
    <row r="68" spans="1:2" ht="15" hidden="1">
      <c r="A68" s="250"/>
      <c r="B68" s="250"/>
    </row>
    <row r="69" spans="1:2" ht="15" hidden="1">
      <c r="A69" s="250"/>
      <c r="B69" s="250"/>
    </row>
    <row r="70" spans="1:2" ht="15" hidden="1">
      <c r="A70" s="250"/>
      <c r="B70" s="250"/>
    </row>
    <row r="71" spans="1:2" ht="15" hidden="1">
      <c r="A71" s="250"/>
      <c r="B71" s="250"/>
    </row>
    <row r="72" spans="1:2" ht="15" hidden="1">
      <c r="A72" s="250"/>
      <c r="B72" s="250"/>
    </row>
    <row r="73" spans="1:2" ht="15" hidden="1">
      <c r="A73" s="250"/>
      <c r="B73" s="250"/>
    </row>
    <row r="74" spans="1:2" ht="15" hidden="1">
      <c r="A74" s="250"/>
      <c r="B74" s="250"/>
    </row>
    <row r="75" spans="1:2" ht="15" hidden="1">
      <c r="A75" s="250"/>
      <c r="B75" s="250"/>
    </row>
    <row r="76" spans="1:2" ht="15" hidden="1">
      <c r="A76" s="250"/>
      <c r="B76" s="250"/>
    </row>
    <row r="77" spans="1:2" ht="15" hidden="1">
      <c r="A77" s="250"/>
      <c r="B77" s="250"/>
    </row>
    <row r="78" spans="1:2" ht="15" hidden="1">
      <c r="A78" s="250"/>
      <c r="B78" s="250"/>
    </row>
    <row r="79" spans="1:2" ht="15" hidden="1">
      <c r="A79" s="250"/>
      <c r="B79" s="250"/>
    </row>
    <row r="80" spans="1:2" ht="15" hidden="1">
      <c r="A80" s="250"/>
      <c r="B80" s="250"/>
    </row>
    <row r="81" spans="1:2" ht="15" hidden="1">
      <c r="A81" s="250"/>
      <c r="B81" s="250"/>
    </row>
    <row r="82" spans="1:2" ht="15" hidden="1">
      <c r="A82" s="250"/>
      <c r="B82" s="250"/>
    </row>
    <row r="83" spans="1:2" ht="15" hidden="1">
      <c r="A83" s="250"/>
      <c r="B83" s="250"/>
    </row>
    <row r="84" spans="1:2" ht="15" hidden="1">
      <c r="A84" s="250"/>
      <c r="B84" s="250"/>
    </row>
    <row r="85" ht="15" hidden="1">
      <c r="A85" s="250"/>
    </row>
  </sheetData>
  <sheetProtection/>
  <mergeCells count="23">
    <mergeCell ref="A11:V11"/>
    <mergeCell ref="O12:V12"/>
    <mergeCell ref="F14:F15"/>
    <mergeCell ref="S10:V10"/>
    <mergeCell ref="E13:I13"/>
    <mergeCell ref="C13:C15"/>
    <mergeCell ref="A42:B42"/>
    <mergeCell ref="S42:U42"/>
    <mergeCell ref="A13:A15"/>
    <mergeCell ref="G14:G15"/>
    <mergeCell ref="E14:E15"/>
    <mergeCell ref="P14:S14"/>
    <mergeCell ref="O14:O15"/>
    <mergeCell ref="E3:I9"/>
    <mergeCell ref="S3:V9"/>
    <mergeCell ref="T14:W14"/>
    <mergeCell ref="A37:B37"/>
    <mergeCell ref="J13:W13"/>
    <mergeCell ref="A44:B44"/>
    <mergeCell ref="J44:R44"/>
    <mergeCell ref="I14:I15"/>
    <mergeCell ref="J14:N14"/>
    <mergeCell ref="B13:B15"/>
  </mergeCells>
  <printOptions horizontalCentered="1" verticalCentered="1"/>
  <pageMargins left="0.5511811023622047" right="0.5905511811023623" top="0.7480314960629921" bottom="0.5905511811023623" header="0.31496062992125984" footer="0.31496062992125984"/>
  <pageSetup horizontalDpi="600" verticalDpi="600" orientation="landscape" paperSize="9" scale="34"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N154"/>
  <sheetViews>
    <sheetView view="pageBreakPreview" zoomScale="80" zoomScaleSheetLayoutView="80" zoomScalePageLayoutView="0" workbookViewId="0" topLeftCell="C1">
      <selection activeCell="G18" sqref="G18"/>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33" t="s">
        <v>633</v>
      </c>
      <c r="I1" s="733"/>
      <c r="J1" s="733"/>
      <c r="K1" s="733"/>
      <c r="L1" s="733"/>
      <c r="M1" s="241"/>
    </row>
    <row r="2" spans="8:13" ht="12.75" customHeight="1">
      <c r="H2" s="305" t="s">
        <v>9</v>
      </c>
      <c r="I2" s="305"/>
      <c r="J2" s="233"/>
      <c r="K2" s="305"/>
      <c r="L2" s="305"/>
      <c r="M2" s="305"/>
    </row>
    <row r="3" spans="8:13" ht="15" customHeight="1">
      <c r="H3" s="305" t="s">
        <v>301</v>
      </c>
      <c r="I3" s="305"/>
      <c r="J3" s="233"/>
      <c r="K3" s="305"/>
      <c r="L3" s="305"/>
      <c r="M3" s="305"/>
    </row>
    <row r="4" spans="8:13" ht="15" customHeight="1">
      <c r="H4" s="241" t="s">
        <v>302</v>
      </c>
      <c r="I4" s="241"/>
      <c r="J4" s="233"/>
      <c r="K4" s="305"/>
      <c r="L4" s="305"/>
      <c r="M4" s="305"/>
    </row>
    <row r="5" spans="8:13" ht="15" customHeight="1">
      <c r="H5" s="241" t="s">
        <v>564</v>
      </c>
      <c r="I5" s="241"/>
      <c r="J5" s="233"/>
      <c r="K5" s="305"/>
      <c r="L5" s="305"/>
      <c r="M5" s="305"/>
    </row>
    <row r="6" spans="8:13" ht="15" customHeight="1">
      <c r="H6" s="241" t="s">
        <v>581</v>
      </c>
      <c r="I6" s="241"/>
      <c r="J6" s="242"/>
      <c r="K6" s="305"/>
      <c r="L6" s="305"/>
      <c r="M6" s="305"/>
    </row>
    <row r="7" spans="2:13" ht="15" customHeight="1">
      <c r="B7" s="15"/>
      <c r="C7" s="15"/>
      <c r="D7" s="15"/>
      <c r="H7" s="734" t="s">
        <v>591</v>
      </c>
      <c r="I7" s="734"/>
      <c r="J7" s="734"/>
      <c r="K7" s="734"/>
      <c r="L7" s="734"/>
      <c r="M7" s="734"/>
    </row>
    <row r="8" spans="2:13" ht="15.75">
      <c r="B8" s="15"/>
      <c r="C8" s="15"/>
      <c r="D8" s="15"/>
      <c r="H8" s="721" t="s">
        <v>707</v>
      </c>
      <c r="I8" s="721"/>
      <c r="J8" s="721"/>
      <c r="K8" s="721"/>
      <c r="L8" s="258"/>
      <c r="M8" s="258"/>
    </row>
    <row r="9" spans="2:13" ht="15.75" customHeight="1">
      <c r="B9" s="15"/>
      <c r="C9" s="15"/>
      <c r="D9" s="15"/>
      <c r="H9" s="256"/>
      <c r="I9" s="53"/>
      <c r="J9" s="17"/>
      <c r="K9" s="17"/>
      <c r="L9" s="17"/>
      <c r="M9" s="17"/>
    </row>
    <row r="10" spans="2:9" ht="12" customHeight="1">
      <c r="B10" s="15"/>
      <c r="C10" s="15"/>
      <c r="D10" s="15"/>
      <c r="E10" s="15"/>
      <c r="F10" s="15"/>
      <c r="G10" s="15"/>
      <c r="H10" s="12" t="s">
        <v>269</v>
      </c>
      <c r="I10" s="12"/>
    </row>
    <row r="11" spans="1:9" ht="17.25" customHeight="1">
      <c r="A11" s="735" t="s">
        <v>614</v>
      </c>
      <c r="B11" s="735"/>
      <c r="C11" s="735"/>
      <c r="D11" s="735"/>
      <c r="E11" s="735"/>
      <c r="F11" s="735"/>
      <c r="G11" s="735"/>
      <c r="H11" s="735"/>
      <c r="I11" s="15"/>
    </row>
    <row r="12" spans="1:9" ht="13.5" customHeight="1">
      <c r="A12" s="253"/>
      <c r="B12" s="33"/>
      <c r="C12" s="33"/>
      <c r="D12" s="33"/>
      <c r="E12" s="33"/>
      <c r="F12" s="33"/>
      <c r="G12" s="33"/>
      <c r="H12" s="295" t="s">
        <v>233</v>
      </c>
      <c r="I12" s="15"/>
    </row>
    <row r="13" spans="1:9" ht="19.5" customHeight="1">
      <c r="A13" s="729" t="s">
        <v>26</v>
      </c>
      <c r="B13" s="729" t="s">
        <v>10</v>
      </c>
      <c r="C13" s="729" t="s">
        <v>11</v>
      </c>
      <c r="D13" s="729" t="s">
        <v>235</v>
      </c>
      <c r="E13" s="732" t="s">
        <v>7</v>
      </c>
      <c r="F13" s="732"/>
      <c r="G13" s="732"/>
      <c r="H13" s="732" t="s">
        <v>13</v>
      </c>
      <c r="I13" s="15"/>
    </row>
    <row r="14" spans="1:9" ht="15.75" customHeight="1">
      <c r="A14" s="730"/>
      <c r="B14" s="730"/>
      <c r="C14" s="730"/>
      <c r="D14" s="730"/>
      <c r="E14" s="729">
        <v>2021</v>
      </c>
      <c r="F14" s="729">
        <v>2022</v>
      </c>
      <c r="G14" s="729">
        <v>2023</v>
      </c>
      <c r="H14" s="732"/>
      <c r="I14" s="15"/>
    </row>
    <row r="15" spans="1:9" ht="21" customHeight="1">
      <c r="A15" s="731"/>
      <c r="B15" s="731"/>
      <c r="C15" s="731"/>
      <c r="D15" s="731"/>
      <c r="E15" s="731"/>
      <c r="F15" s="731"/>
      <c r="G15" s="731"/>
      <c r="H15" s="732"/>
      <c r="I15" s="15"/>
    </row>
    <row r="16" spans="1:9" ht="33.75" customHeight="1" hidden="1">
      <c r="A16" s="62">
        <v>1</v>
      </c>
      <c r="B16" s="57" t="s">
        <v>27</v>
      </c>
      <c r="C16" s="35" t="s">
        <v>14</v>
      </c>
      <c r="D16" s="68" t="e">
        <f>#REF!+E16+F16+G16</f>
        <v>#REF!</v>
      </c>
      <c r="E16" s="68"/>
      <c r="F16" s="68"/>
      <c r="G16" s="68"/>
      <c r="H16" s="35" t="s">
        <v>28</v>
      </c>
      <c r="I16" s="15"/>
    </row>
    <row r="17" spans="1:14" ht="72" customHeight="1">
      <c r="A17" s="375">
        <v>1</v>
      </c>
      <c r="B17" s="324" t="s">
        <v>486</v>
      </c>
      <c r="C17" s="35" t="s">
        <v>340</v>
      </c>
      <c r="D17" s="69">
        <f aca="true" t="shared" si="0" ref="D17:D49">E17+F17+G17</f>
        <v>265821.8</v>
      </c>
      <c r="E17" s="110">
        <f>90000-22000</f>
        <v>68000</v>
      </c>
      <c r="F17" s="110">
        <v>96030</v>
      </c>
      <c r="G17" s="110">
        <v>101791.8</v>
      </c>
      <c r="H17" s="181" t="s">
        <v>681</v>
      </c>
      <c r="I17" s="15"/>
      <c r="N17" s="14" t="s">
        <v>487</v>
      </c>
    </row>
    <row r="18" spans="1:14" ht="52.5" customHeight="1">
      <c r="A18" s="375">
        <v>2</v>
      </c>
      <c r="B18" s="324" t="s">
        <v>43</v>
      </c>
      <c r="C18" s="35" t="s">
        <v>340</v>
      </c>
      <c r="D18" s="69">
        <f t="shared" si="0"/>
        <v>439500</v>
      </c>
      <c r="E18" s="110">
        <f>150000+6000-63000</f>
        <v>93000</v>
      </c>
      <c r="F18" s="110">
        <v>165000</v>
      </c>
      <c r="G18" s="110">
        <v>181500</v>
      </c>
      <c r="H18" s="736" t="s">
        <v>445</v>
      </c>
      <c r="I18" s="15"/>
      <c r="N18" s="484" t="s">
        <v>515</v>
      </c>
    </row>
    <row r="19" spans="1:14" s="258" customFormat="1" ht="36" customHeight="1" hidden="1">
      <c r="A19" s="504" t="s">
        <v>208</v>
      </c>
      <c r="B19" s="383" t="s">
        <v>534</v>
      </c>
      <c r="C19" s="505" t="s">
        <v>340</v>
      </c>
      <c r="D19" s="69">
        <f t="shared" si="0"/>
        <v>71955.5</v>
      </c>
      <c r="E19" s="244">
        <v>22500</v>
      </c>
      <c r="F19" s="244">
        <v>24007.5</v>
      </c>
      <c r="G19" s="244">
        <v>25448</v>
      </c>
      <c r="H19" s="736"/>
      <c r="I19" s="233"/>
      <c r="N19" s="513"/>
    </row>
    <row r="20" spans="1:14" s="258" customFormat="1" ht="33.75" customHeight="1" hidden="1">
      <c r="A20" s="504" t="s">
        <v>232</v>
      </c>
      <c r="B20" s="383" t="s">
        <v>535</v>
      </c>
      <c r="C20" s="505" t="s">
        <v>340</v>
      </c>
      <c r="D20" s="69">
        <f t="shared" si="0"/>
        <v>7675.200000000001</v>
      </c>
      <c r="E20" s="244">
        <v>2400</v>
      </c>
      <c r="F20" s="244">
        <v>2560.8</v>
      </c>
      <c r="G20" s="244">
        <v>2714.4</v>
      </c>
      <c r="H20" s="736"/>
      <c r="I20" s="233"/>
      <c r="N20" s="513"/>
    </row>
    <row r="21" spans="1:14" s="258" customFormat="1" ht="35.25" customHeight="1" hidden="1">
      <c r="A21" s="504" t="s">
        <v>242</v>
      </c>
      <c r="B21" s="383" t="s">
        <v>536</v>
      </c>
      <c r="C21" s="505" t="s">
        <v>340</v>
      </c>
      <c r="D21" s="69">
        <f t="shared" si="0"/>
        <v>1599</v>
      </c>
      <c r="E21" s="244">
        <v>500</v>
      </c>
      <c r="F21" s="244">
        <v>533.5</v>
      </c>
      <c r="G21" s="244">
        <v>565.5</v>
      </c>
      <c r="H21" s="736"/>
      <c r="I21" s="233"/>
      <c r="N21" s="513"/>
    </row>
    <row r="22" spans="1:14" s="258" customFormat="1" ht="32.25" customHeight="1" hidden="1">
      <c r="A22" s="504" t="s">
        <v>243</v>
      </c>
      <c r="B22" s="383" t="s">
        <v>537</v>
      </c>
      <c r="C22" s="505" t="s">
        <v>340</v>
      </c>
      <c r="D22" s="69">
        <f t="shared" si="0"/>
        <v>3198</v>
      </c>
      <c r="E22" s="244">
        <v>1000</v>
      </c>
      <c r="F22" s="244">
        <v>1067</v>
      </c>
      <c r="G22" s="244">
        <v>1131</v>
      </c>
      <c r="H22" s="736"/>
      <c r="I22" s="233"/>
      <c r="N22" s="513"/>
    </row>
    <row r="23" spans="1:14" s="258" customFormat="1" ht="60" customHeight="1">
      <c r="A23" s="563" t="s">
        <v>300</v>
      </c>
      <c r="B23" s="564" t="s">
        <v>596</v>
      </c>
      <c r="C23" s="565" t="s">
        <v>36</v>
      </c>
      <c r="D23" s="69">
        <f t="shared" si="0"/>
        <v>6127.3</v>
      </c>
      <c r="E23" s="110">
        <f>1527.3+4600</f>
        <v>6127.3</v>
      </c>
      <c r="F23" s="244"/>
      <c r="G23" s="244"/>
      <c r="H23" s="35" t="s">
        <v>445</v>
      </c>
      <c r="I23" s="233"/>
      <c r="N23" s="513"/>
    </row>
    <row r="24" spans="1:14" s="258" customFormat="1" ht="60" customHeight="1">
      <c r="A24" s="594" t="s">
        <v>597</v>
      </c>
      <c r="B24" s="595" t="s">
        <v>638</v>
      </c>
      <c r="C24" s="35" t="s">
        <v>340</v>
      </c>
      <c r="D24" s="69">
        <f t="shared" si="0"/>
        <v>0</v>
      </c>
      <c r="E24" s="110">
        <f>25000-25000</f>
        <v>0</v>
      </c>
      <c r="F24" s="244"/>
      <c r="G24" s="244"/>
      <c r="H24" s="35" t="s">
        <v>445</v>
      </c>
      <c r="I24" s="233"/>
      <c r="N24" s="513"/>
    </row>
    <row r="25" spans="1:14" s="258" customFormat="1" ht="60" customHeight="1">
      <c r="A25" s="604" t="s">
        <v>331</v>
      </c>
      <c r="B25" s="606" t="s">
        <v>647</v>
      </c>
      <c r="C25" s="35" t="s">
        <v>648</v>
      </c>
      <c r="D25" s="69">
        <f t="shared" si="0"/>
        <v>200</v>
      </c>
      <c r="E25" s="110">
        <v>200</v>
      </c>
      <c r="F25" s="244"/>
      <c r="G25" s="244"/>
      <c r="H25" s="35" t="s">
        <v>445</v>
      </c>
      <c r="I25" s="233"/>
      <c r="N25" s="513"/>
    </row>
    <row r="26" spans="1:14" ht="75" customHeight="1">
      <c r="A26" s="182">
        <v>6</v>
      </c>
      <c r="B26" s="324" t="s">
        <v>492</v>
      </c>
      <c r="C26" s="35" t="s">
        <v>340</v>
      </c>
      <c r="D26" s="69">
        <f t="shared" si="0"/>
        <v>241996.3</v>
      </c>
      <c r="E26" s="110">
        <f>78624+4058.2-31682.2</f>
        <v>51000</v>
      </c>
      <c r="F26" s="110">
        <f>86486.6+4464</f>
        <v>90950.6</v>
      </c>
      <c r="G26" s="110">
        <f>95135.3+4910.4</f>
        <v>100045.7</v>
      </c>
      <c r="H26" s="737" t="s">
        <v>445</v>
      </c>
      <c r="I26" s="15"/>
      <c r="N26" s="484" t="s">
        <v>526</v>
      </c>
    </row>
    <row r="27" spans="1:14" s="258" customFormat="1" ht="36" customHeight="1" hidden="1">
      <c r="A27" s="514" t="s">
        <v>256</v>
      </c>
      <c r="B27" s="383" t="s">
        <v>534</v>
      </c>
      <c r="C27" s="505" t="s">
        <v>340</v>
      </c>
      <c r="D27" s="69">
        <f t="shared" si="0"/>
        <v>1280</v>
      </c>
      <c r="E27" s="244">
        <v>400</v>
      </c>
      <c r="F27" s="244">
        <v>427</v>
      </c>
      <c r="G27" s="244">
        <v>453</v>
      </c>
      <c r="H27" s="738"/>
      <c r="I27" s="233"/>
      <c r="N27" s="513"/>
    </row>
    <row r="28" spans="1:14" s="258" customFormat="1" ht="42" customHeight="1" hidden="1">
      <c r="A28" s="514" t="s">
        <v>285</v>
      </c>
      <c r="B28" s="383" t="s">
        <v>535</v>
      </c>
      <c r="C28" s="505" t="s">
        <v>340</v>
      </c>
      <c r="D28" s="69">
        <f t="shared" si="0"/>
        <v>959.4000000000001</v>
      </c>
      <c r="E28" s="244">
        <v>300</v>
      </c>
      <c r="F28" s="244">
        <v>320.1</v>
      </c>
      <c r="G28" s="244">
        <v>339.3</v>
      </c>
      <c r="H28" s="738"/>
      <c r="I28" s="233"/>
      <c r="N28" s="513"/>
    </row>
    <row r="29" spans="1:14" s="258" customFormat="1" ht="41.25" customHeight="1" hidden="1">
      <c r="A29" s="514" t="s">
        <v>325</v>
      </c>
      <c r="B29" s="383" t="s">
        <v>536</v>
      </c>
      <c r="C29" s="505" t="s">
        <v>340</v>
      </c>
      <c r="D29" s="69">
        <f t="shared" si="0"/>
        <v>1599</v>
      </c>
      <c r="E29" s="244">
        <v>500</v>
      </c>
      <c r="F29" s="244">
        <v>533.5</v>
      </c>
      <c r="G29" s="244">
        <v>565.5</v>
      </c>
      <c r="H29" s="738"/>
      <c r="I29" s="233"/>
      <c r="N29" s="513"/>
    </row>
    <row r="30" spans="1:14" s="258" customFormat="1" ht="38.25" customHeight="1" hidden="1">
      <c r="A30" s="514" t="s">
        <v>326</v>
      </c>
      <c r="B30" s="383" t="s">
        <v>537</v>
      </c>
      <c r="C30" s="505" t="s">
        <v>340</v>
      </c>
      <c r="D30" s="69">
        <f t="shared" si="0"/>
        <v>1599</v>
      </c>
      <c r="E30" s="244">
        <v>500</v>
      </c>
      <c r="F30" s="244">
        <v>533.5</v>
      </c>
      <c r="G30" s="244">
        <v>565.5</v>
      </c>
      <c r="H30" s="738"/>
      <c r="I30" s="233"/>
      <c r="N30" s="513"/>
    </row>
    <row r="31" spans="1:14" s="258" customFormat="1" ht="112.5">
      <c r="A31" s="514" t="s">
        <v>333</v>
      </c>
      <c r="B31" s="675" t="s">
        <v>692</v>
      </c>
      <c r="C31" s="676" t="s">
        <v>36</v>
      </c>
      <c r="D31" s="69">
        <f t="shared" si="0"/>
        <v>7500</v>
      </c>
      <c r="E31" s="244">
        <v>7500</v>
      </c>
      <c r="F31" s="244"/>
      <c r="G31" s="244"/>
      <c r="H31" s="739"/>
      <c r="I31" s="233"/>
      <c r="N31" s="513"/>
    </row>
    <row r="32" spans="1:14" ht="45.75" customHeight="1">
      <c r="A32" s="182">
        <v>8</v>
      </c>
      <c r="B32" s="143" t="s">
        <v>548</v>
      </c>
      <c r="C32" s="35" t="s">
        <v>340</v>
      </c>
      <c r="D32" s="69">
        <f t="shared" si="0"/>
        <v>2900</v>
      </c>
      <c r="E32" s="110">
        <f>1000-600</f>
        <v>400</v>
      </c>
      <c r="F32" s="110">
        <v>1200</v>
      </c>
      <c r="G32" s="110">
        <v>1300</v>
      </c>
      <c r="H32" s="35" t="s">
        <v>445</v>
      </c>
      <c r="I32" s="15"/>
      <c r="N32" s="14" t="s">
        <v>488</v>
      </c>
    </row>
    <row r="33" spans="1:9" ht="51" customHeight="1">
      <c r="A33" s="376">
        <v>9</v>
      </c>
      <c r="B33" s="384" t="s">
        <v>444</v>
      </c>
      <c r="C33" s="35" t="s">
        <v>340</v>
      </c>
      <c r="D33" s="69">
        <f t="shared" si="0"/>
        <v>3681.1000000000004</v>
      </c>
      <c r="E33" s="110">
        <f>1495-1100</f>
        <v>395</v>
      </c>
      <c r="F33" s="110">
        <v>1595.2</v>
      </c>
      <c r="G33" s="110">
        <v>1690.9</v>
      </c>
      <c r="H33" s="35" t="s">
        <v>445</v>
      </c>
      <c r="I33" s="15"/>
    </row>
    <row r="34" spans="1:9" ht="50.25" customHeight="1">
      <c r="A34" s="181">
        <v>10</v>
      </c>
      <c r="B34" s="378" t="s">
        <v>574</v>
      </c>
      <c r="C34" s="35" t="s">
        <v>340</v>
      </c>
      <c r="D34" s="110">
        <f t="shared" si="0"/>
        <v>18386</v>
      </c>
      <c r="E34" s="110">
        <f>9000+6000-12000</f>
        <v>3000</v>
      </c>
      <c r="F34" s="110">
        <v>7469</v>
      </c>
      <c r="G34" s="110">
        <v>7917</v>
      </c>
      <c r="H34" s="35" t="s">
        <v>445</v>
      </c>
      <c r="I34" s="15"/>
    </row>
    <row r="35" spans="1:14" ht="63.75" customHeight="1">
      <c r="A35" s="181">
        <v>11</v>
      </c>
      <c r="B35" s="324" t="s">
        <v>44</v>
      </c>
      <c r="C35" s="35" t="s">
        <v>340</v>
      </c>
      <c r="D35" s="69">
        <f t="shared" si="0"/>
        <v>1830.9</v>
      </c>
      <c r="E35" s="110">
        <f>351+300+200-851</f>
        <v>0</v>
      </c>
      <c r="F35" s="110">
        <f>374.5+320.1+200</f>
        <v>894.6</v>
      </c>
      <c r="G35" s="110">
        <f>397+339.3+200</f>
        <v>936.3</v>
      </c>
      <c r="H35" s="35" t="s">
        <v>445</v>
      </c>
      <c r="I35" s="15"/>
      <c r="N35" s="14" t="s">
        <v>549</v>
      </c>
    </row>
    <row r="36" spans="1:9" ht="58.5" customHeight="1">
      <c r="A36" s="35">
        <v>12</v>
      </c>
      <c r="B36" s="378" t="s">
        <v>489</v>
      </c>
      <c r="C36" s="35" t="s">
        <v>340</v>
      </c>
      <c r="D36" s="110">
        <f t="shared" si="0"/>
        <v>5068.9</v>
      </c>
      <c r="E36" s="110">
        <f>2000+54.1+700-2200</f>
        <v>554.0999999999999</v>
      </c>
      <c r="F36" s="110">
        <f>2134+57.7</f>
        <v>2191.7</v>
      </c>
      <c r="G36" s="110">
        <f>2262+61.1</f>
        <v>2323.1</v>
      </c>
      <c r="H36" s="35" t="s">
        <v>445</v>
      </c>
      <c r="I36" s="15"/>
    </row>
    <row r="37" spans="1:14" ht="58.5" customHeight="1">
      <c r="A37" s="438">
        <v>13</v>
      </c>
      <c r="B37" s="439" t="s">
        <v>550</v>
      </c>
      <c r="C37" s="35" t="s">
        <v>340</v>
      </c>
      <c r="D37" s="110">
        <f t="shared" si="0"/>
        <v>2550</v>
      </c>
      <c r="E37" s="110">
        <f>1000-750</f>
        <v>250</v>
      </c>
      <c r="F37" s="110">
        <v>1100</v>
      </c>
      <c r="G37" s="110">
        <v>1200</v>
      </c>
      <c r="H37" s="35" t="s">
        <v>445</v>
      </c>
      <c r="I37" s="15"/>
      <c r="N37" s="14" t="s">
        <v>551</v>
      </c>
    </row>
    <row r="38" spans="1:14" ht="50.25" customHeight="1">
      <c r="A38" s="181">
        <v>14</v>
      </c>
      <c r="B38" s="378" t="s">
        <v>552</v>
      </c>
      <c r="C38" s="35" t="s">
        <v>340</v>
      </c>
      <c r="D38" s="110">
        <f t="shared" si="0"/>
        <v>5495.1</v>
      </c>
      <c r="E38" s="110">
        <f>2500-2500</f>
        <v>0</v>
      </c>
      <c r="F38" s="110">
        <v>2667.5</v>
      </c>
      <c r="G38" s="110">
        <v>2827.6</v>
      </c>
      <c r="H38" s="181" t="s">
        <v>161</v>
      </c>
      <c r="I38" s="15"/>
      <c r="N38" s="14" t="s">
        <v>567</v>
      </c>
    </row>
    <row r="39" spans="1:9" ht="59.25" customHeight="1">
      <c r="A39" s="181">
        <v>15</v>
      </c>
      <c r="B39" s="143" t="s">
        <v>490</v>
      </c>
      <c r="C39" s="35" t="s">
        <v>340</v>
      </c>
      <c r="D39" s="110">
        <f t="shared" si="0"/>
        <v>43960</v>
      </c>
      <c r="E39" s="110">
        <f>7000+11000+2000-20000</f>
        <v>0</v>
      </c>
      <c r="F39" s="110">
        <v>21340</v>
      </c>
      <c r="G39" s="110">
        <v>22620</v>
      </c>
      <c r="H39" s="181" t="s">
        <v>161</v>
      </c>
      <c r="I39" s="15"/>
    </row>
    <row r="40" spans="1:9" ht="59.25" customHeight="1">
      <c r="A40" s="35">
        <v>16</v>
      </c>
      <c r="B40" s="384" t="s">
        <v>446</v>
      </c>
      <c r="C40" s="35" t="s">
        <v>340</v>
      </c>
      <c r="D40" s="110">
        <f t="shared" si="0"/>
        <v>18432.699999999997</v>
      </c>
      <c r="E40" s="110">
        <f>7327.4-5000.4</f>
        <v>2327</v>
      </c>
      <c r="F40" s="110">
        <v>7818.3</v>
      </c>
      <c r="G40" s="110">
        <v>8287.4</v>
      </c>
      <c r="H40" s="181" t="s">
        <v>161</v>
      </c>
      <c r="I40" s="15"/>
    </row>
    <row r="41" spans="1:9" ht="64.5" customHeight="1">
      <c r="A41" s="438">
        <v>17</v>
      </c>
      <c r="B41" s="143" t="s">
        <v>447</v>
      </c>
      <c r="C41" s="35" t="s">
        <v>340</v>
      </c>
      <c r="D41" s="110">
        <f t="shared" si="0"/>
        <v>41371.8</v>
      </c>
      <c r="E41" s="110">
        <f>14250-4200</f>
        <v>10050</v>
      </c>
      <c r="F41" s="110">
        <v>15204.8</v>
      </c>
      <c r="G41" s="110">
        <v>16117</v>
      </c>
      <c r="H41" s="181" t="s">
        <v>161</v>
      </c>
      <c r="I41" s="15"/>
    </row>
    <row r="42" spans="1:9" ht="64.5" customHeight="1">
      <c r="A42" s="181">
        <v>18</v>
      </c>
      <c r="B42" s="143" t="s">
        <v>491</v>
      </c>
      <c r="C42" s="35" t="s">
        <v>340</v>
      </c>
      <c r="D42" s="110">
        <f t="shared" si="0"/>
        <v>0</v>
      </c>
      <c r="E42" s="110">
        <f>2000-2000</f>
        <v>0</v>
      </c>
      <c r="F42" s="110"/>
      <c r="G42" s="110"/>
      <c r="H42" s="181" t="s">
        <v>161</v>
      </c>
      <c r="I42" s="15"/>
    </row>
    <row r="43" spans="1:14" ht="64.5" customHeight="1">
      <c r="A43" s="181">
        <v>19</v>
      </c>
      <c r="B43" s="143" t="s">
        <v>517</v>
      </c>
      <c r="C43" s="35" t="s">
        <v>340</v>
      </c>
      <c r="D43" s="110">
        <f t="shared" si="0"/>
        <v>0</v>
      </c>
      <c r="E43" s="110">
        <f>5000-5000</f>
        <v>0</v>
      </c>
      <c r="F43" s="110"/>
      <c r="G43" s="110"/>
      <c r="H43" s="181" t="s">
        <v>161</v>
      </c>
      <c r="I43" s="15"/>
      <c r="N43" s="14" t="s">
        <v>493</v>
      </c>
    </row>
    <row r="44" spans="1:9" ht="64.5" customHeight="1">
      <c r="A44" s="181">
        <v>20</v>
      </c>
      <c r="B44" s="143" t="s">
        <v>518</v>
      </c>
      <c r="C44" s="35" t="s">
        <v>340</v>
      </c>
      <c r="D44" s="110">
        <f t="shared" si="0"/>
        <v>0</v>
      </c>
      <c r="E44" s="110">
        <f>5000-5000</f>
        <v>0</v>
      </c>
      <c r="F44" s="110"/>
      <c r="G44" s="110"/>
      <c r="H44" s="181" t="s">
        <v>161</v>
      </c>
      <c r="I44" s="15"/>
    </row>
    <row r="45" spans="1:9" ht="64.5" customHeight="1">
      <c r="A45" s="181">
        <v>21</v>
      </c>
      <c r="B45" s="143" t="s">
        <v>516</v>
      </c>
      <c r="C45" s="616" t="s">
        <v>340</v>
      </c>
      <c r="D45" s="110">
        <f t="shared" si="0"/>
        <v>0</v>
      </c>
      <c r="E45" s="110">
        <f>1000-1000</f>
        <v>0</v>
      </c>
      <c r="F45" s="110"/>
      <c r="G45" s="110"/>
      <c r="H45" s="181" t="s">
        <v>161</v>
      </c>
      <c r="I45" s="15"/>
    </row>
    <row r="46" spans="1:9" ht="64.5" customHeight="1">
      <c r="A46" s="181">
        <v>22</v>
      </c>
      <c r="B46" s="143" t="s">
        <v>553</v>
      </c>
      <c r="C46" s="616" t="s">
        <v>340</v>
      </c>
      <c r="D46" s="110">
        <f t="shared" si="0"/>
        <v>0</v>
      </c>
      <c r="E46" s="110">
        <f>600-600</f>
        <v>0</v>
      </c>
      <c r="F46" s="110"/>
      <c r="G46" s="110"/>
      <c r="H46" s="181" t="s">
        <v>161</v>
      </c>
      <c r="I46" s="15"/>
    </row>
    <row r="47" spans="1:9" ht="64.5" customHeight="1">
      <c r="A47" s="181">
        <v>23</v>
      </c>
      <c r="B47" s="143" t="s">
        <v>554</v>
      </c>
      <c r="C47" s="616" t="s">
        <v>340</v>
      </c>
      <c r="D47" s="110">
        <f t="shared" si="0"/>
        <v>0</v>
      </c>
      <c r="E47" s="110">
        <f>1200-1200</f>
        <v>0</v>
      </c>
      <c r="F47" s="110"/>
      <c r="G47" s="110"/>
      <c r="H47" s="181" t="s">
        <v>161</v>
      </c>
      <c r="I47" s="15"/>
    </row>
    <row r="48" spans="1:9" ht="64.5" customHeight="1">
      <c r="A48" s="181">
        <v>24</v>
      </c>
      <c r="B48" s="143" t="s">
        <v>666</v>
      </c>
      <c r="C48" s="643" t="s">
        <v>340</v>
      </c>
      <c r="D48" s="110">
        <f t="shared" si="0"/>
        <v>760</v>
      </c>
      <c r="E48" s="110">
        <f>0+760</f>
        <v>760</v>
      </c>
      <c r="F48" s="110"/>
      <c r="G48" s="110"/>
      <c r="H48" s="181"/>
      <c r="I48" s="15"/>
    </row>
    <row r="49" spans="1:9" ht="66" customHeight="1">
      <c r="A49" s="181">
        <v>25</v>
      </c>
      <c r="B49" s="615" t="s">
        <v>575</v>
      </c>
      <c r="C49" s="616" t="s">
        <v>340</v>
      </c>
      <c r="D49" s="110">
        <f t="shared" si="0"/>
        <v>0</v>
      </c>
      <c r="E49" s="110">
        <f>3500-2800-700</f>
        <v>0</v>
      </c>
      <c r="F49" s="110"/>
      <c r="G49" s="110"/>
      <c r="H49" s="181" t="s">
        <v>161</v>
      </c>
      <c r="I49" s="15"/>
    </row>
    <row r="50" spans="1:9" ht="28.5" customHeight="1">
      <c r="A50" s="385"/>
      <c r="B50" s="71" t="s">
        <v>4</v>
      </c>
      <c r="C50" s="71"/>
      <c r="D50" s="58">
        <f>E50+F50+G50</f>
        <v>1098081.9</v>
      </c>
      <c r="E50" s="58">
        <f>E17+E18+E26+E32+E33+E34+E35+E36+E37+E38+E39+E40+E41+E42+E43+E44+E45+E46+E47+E49+E23+E24+E25+E48</f>
        <v>236063.4</v>
      </c>
      <c r="F50" s="58">
        <f>F17+F18+F26+F32+F33+F34+F35+F36+F37+F38+F39+F40+F41+F42+F43+F44+F45+F46+F47+F49+F23+F24</f>
        <v>413461.69999999995</v>
      </c>
      <c r="G50" s="58">
        <f>G17+G18+G26+G32+G33+G34+G35+G36+G37+G38+G39+G40+G41+G42+G43+G44+G45+G46+G47+G49+G23+G24</f>
        <v>448556.8</v>
      </c>
      <c r="H50" s="67"/>
      <c r="I50" s="15"/>
    </row>
    <row r="51" spans="1:9" ht="15.75">
      <c r="A51" s="39"/>
      <c r="B51" s="147"/>
      <c r="C51" s="147"/>
      <c r="D51" s="19"/>
      <c r="E51" s="19"/>
      <c r="F51" s="19"/>
      <c r="G51" s="19"/>
      <c r="H51" s="20"/>
      <c r="I51" s="15"/>
    </row>
    <row r="52" spans="1:9" ht="6" customHeight="1">
      <c r="A52" s="39"/>
      <c r="B52" s="214"/>
      <c r="C52" s="147"/>
      <c r="D52" s="19"/>
      <c r="E52" s="19"/>
      <c r="F52" s="19"/>
      <c r="G52" s="19"/>
      <c r="H52" s="20"/>
      <c r="I52" s="15"/>
    </row>
    <row r="53" spans="1:9" ht="15.75" hidden="1">
      <c r="A53" s="39"/>
      <c r="B53" s="147"/>
      <c r="C53" s="147"/>
      <c r="D53" s="19"/>
      <c r="E53" s="19"/>
      <c r="F53" s="19"/>
      <c r="G53" s="19"/>
      <c r="H53" s="20"/>
      <c r="I53" s="15"/>
    </row>
    <row r="54" spans="2:9" ht="15.75">
      <c r="B54" s="15"/>
      <c r="C54" s="15"/>
      <c r="D54" s="15"/>
      <c r="E54" s="15"/>
      <c r="F54" s="15"/>
      <c r="G54" s="15"/>
      <c r="H54" s="15"/>
      <c r="I54" s="15"/>
    </row>
    <row r="55" spans="2:11" s="430" customFormat="1" ht="20.25" customHeight="1">
      <c r="B55" s="725" t="s">
        <v>15</v>
      </c>
      <c r="C55" s="725"/>
      <c r="D55" s="417"/>
      <c r="E55" s="419"/>
      <c r="F55" s="420"/>
      <c r="H55" s="185" t="s">
        <v>674</v>
      </c>
      <c r="J55" s="431"/>
      <c r="K55" s="432"/>
    </row>
    <row r="56" spans="2:11" s="253" customFormat="1" ht="18.75">
      <c r="B56" s="264"/>
      <c r="C56" s="264"/>
      <c r="D56" s="264"/>
      <c r="E56" s="22"/>
      <c r="F56" s="148"/>
      <c r="H56" s="185"/>
      <c r="J56" s="23"/>
      <c r="K56" s="24"/>
    </row>
    <row r="57" spans="2:9" s="253" customFormat="1" ht="18.75">
      <c r="B57" s="694" t="s">
        <v>673</v>
      </c>
      <c r="C57" s="694"/>
      <c r="D57" s="25"/>
      <c r="E57" s="22"/>
      <c r="F57" s="22"/>
      <c r="G57" s="22"/>
      <c r="H57" s="22"/>
      <c r="I57" s="22"/>
    </row>
    <row r="58" spans="2:11" ht="13.5" customHeight="1">
      <c r="B58" s="27"/>
      <c r="C58" s="27"/>
      <c r="D58" s="26"/>
      <c r="E58" s="26"/>
      <c r="F58" s="26"/>
      <c r="G58" s="26"/>
      <c r="H58" s="26"/>
      <c r="I58" s="26"/>
      <c r="J58" s="15"/>
      <c r="K58" s="15"/>
    </row>
    <row r="59" spans="2:9" ht="15.75" hidden="1">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row r="151" spans="2:9" ht="15.75">
      <c r="B151" s="15"/>
      <c r="C151" s="15"/>
      <c r="D151" s="15"/>
      <c r="E151" s="15"/>
      <c r="F151" s="15"/>
      <c r="G151" s="15"/>
      <c r="H151" s="15"/>
      <c r="I151" s="15"/>
    </row>
    <row r="152" spans="2:9" ht="15.75">
      <c r="B152" s="15"/>
      <c r="C152" s="15"/>
      <c r="D152" s="15"/>
      <c r="E152" s="15"/>
      <c r="F152" s="15"/>
      <c r="G152" s="15"/>
      <c r="H152" s="15"/>
      <c r="I152" s="15"/>
    </row>
    <row r="153" spans="2:9" ht="15.75">
      <c r="B153" s="15"/>
      <c r="C153" s="15"/>
      <c r="D153" s="15"/>
      <c r="E153" s="15"/>
      <c r="F153" s="15"/>
      <c r="G153" s="15"/>
      <c r="H153" s="15"/>
      <c r="I153" s="15"/>
    </row>
    <row r="154" spans="2:9" ht="15.75">
      <c r="B154" s="15"/>
      <c r="C154" s="15"/>
      <c r="D154" s="15"/>
      <c r="E154" s="15"/>
      <c r="F154" s="15"/>
      <c r="G154" s="15"/>
      <c r="H154" s="15"/>
      <c r="I154" s="15"/>
    </row>
  </sheetData>
  <sheetProtection/>
  <mergeCells count="17">
    <mergeCell ref="H8:K8"/>
    <mergeCell ref="B55:C55"/>
    <mergeCell ref="B57:C57"/>
    <mergeCell ref="H1:L1"/>
    <mergeCell ref="H7:M7"/>
    <mergeCell ref="A11:H11"/>
    <mergeCell ref="A13:A15"/>
    <mergeCell ref="B13:B15"/>
    <mergeCell ref="C13:C15"/>
    <mergeCell ref="H18:H22"/>
    <mergeCell ref="H26:H31"/>
    <mergeCell ref="D13:D15"/>
    <mergeCell ref="E13:G13"/>
    <mergeCell ref="H13:H15"/>
    <mergeCell ref="E14:E15"/>
    <mergeCell ref="F14:F15"/>
    <mergeCell ref="G14:G15"/>
  </mergeCells>
  <printOptions horizontalCentered="1"/>
  <pageMargins left="0.1968503937007874" right="0.1968503937007874" top="1.1811023622047245" bottom="0.3937007874015748" header="0" footer="0"/>
  <pageSetup fitToHeight="2" fitToWidth="1" horizontalDpi="600" verticalDpi="600" orientation="landscape" paperSize="9" scale="49" r:id="rId1"/>
  <rowBreaks count="2" manualBreakCount="2">
    <brk id="36" max="7" man="1"/>
    <brk id="58" max="7" man="1"/>
  </rowBreaks>
</worksheet>
</file>

<file path=xl/worksheets/sheet6.xml><?xml version="1.0" encoding="utf-8"?>
<worksheet xmlns="http://schemas.openxmlformats.org/spreadsheetml/2006/main" xmlns:r="http://schemas.openxmlformats.org/officeDocument/2006/relationships">
  <sheetPr>
    <tabColor theme="0"/>
    <pageSetUpPr fitToPage="1"/>
  </sheetPr>
  <dimension ref="A1:N122"/>
  <sheetViews>
    <sheetView view="pageBreakPreview" zoomScale="80" zoomScaleSheetLayoutView="80" zoomScalePageLayoutView="0" workbookViewId="0" topLeftCell="C1">
      <selection activeCell="H17" sqref="H17"/>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33" t="s">
        <v>595</v>
      </c>
      <c r="I1" s="733"/>
      <c r="J1" s="733"/>
      <c r="K1" s="733"/>
      <c r="L1" s="733"/>
      <c r="M1" s="241"/>
    </row>
    <row r="2" spans="8:13" ht="12.75" customHeight="1">
      <c r="H2" s="685" t="s">
        <v>9</v>
      </c>
      <c r="I2" s="685"/>
      <c r="J2" s="233"/>
      <c r="K2" s="685"/>
      <c r="L2" s="685"/>
      <c r="M2" s="685"/>
    </row>
    <row r="3" spans="8:13" ht="15" customHeight="1">
      <c r="H3" s="685" t="s">
        <v>301</v>
      </c>
      <c r="I3" s="685"/>
      <c r="J3" s="233"/>
      <c r="K3" s="685"/>
      <c r="L3" s="685"/>
      <c r="M3" s="685"/>
    </row>
    <row r="4" spans="8:13" ht="15" customHeight="1">
      <c r="H4" s="241" t="s">
        <v>302</v>
      </c>
      <c r="I4" s="241"/>
      <c r="J4" s="233"/>
      <c r="K4" s="685"/>
      <c r="L4" s="685"/>
      <c r="M4" s="685"/>
    </row>
    <row r="5" spans="8:13" ht="15" customHeight="1">
      <c r="H5" s="241" t="s">
        <v>564</v>
      </c>
      <c r="I5" s="241"/>
      <c r="J5" s="233"/>
      <c r="K5" s="685"/>
      <c r="L5" s="685"/>
      <c r="M5" s="685"/>
    </row>
    <row r="6" spans="8:13" ht="15" customHeight="1">
      <c r="H6" s="241" t="s">
        <v>581</v>
      </c>
      <c r="I6" s="241"/>
      <c r="J6" s="242"/>
      <c r="K6" s="685"/>
      <c r="L6" s="685"/>
      <c r="M6" s="685"/>
    </row>
    <row r="7" spans="2:13" ht="15" customHeight="1">
      <c r="B7" s="15"/>
      <c r="C7" s="15"/>
      <c r="D7" s="15"/>
      <c r="H7" s="860" t="s">
        <v>591</v>
      </c>
      <c r="I7" s="860"/>
      <c r="J7" s="860"/>
      <c r="K7" s="860"/>
      <c r="L7" s="860"/>
      <c r="M7" s="860"/>
    </row>
    <row r="8" spans="2:13" ht="18.75">
      <c r="B8" s="15"/>
      <c r="C8" s="15"/>
      <c r="D8" s="15"/>
      <c r="H8" s="685" t="s">
        <v>703</v>
      </c>
      <c r="I8" s="596"/>
      <c r="J8" s="685"/>
      <c r="K8" s="685"/>
      <c r="L8" s="258"/>
      <c r="M8" s="258"/>
    </row>
    <row r="9" spans="2:13" ht="15.75" customHeight="1">
      <c r="B9" s="15"/>
      <c r="C9" s="15"/>
      <c r="D9" s="15"/>
      <c r="H9" s="861"/>
      <c r="I9" s="862"/>
      <c r="J9" s="17"/>
      <c r="K9" s="17"/>
      <c r="L9" s="17"/>
      <c r="M9" s="17"/>
    </row>
    <row r="10" spans="2:9" ht="12" customHeight="1">
      <c r="B10" s="15"/>
      <c r="C10" s="15"/>
      <c r="D10" s="15"/>
      <c r="E10" s="15"/>
      <c r="F10" s="15"/>
      <c r="G10" s="15"/>
      <c r="H10" s="12" t="s">
        <v>269</v>
      </c>
      <c r="I10" s="12"/>
    </row>
    <row r="11" spans="1:9" ht="54.75" customHeight="1">
      <c r="A11" s="735" t="s">
        <v>704</v>
      </c>
      <c r="B11" s="735"/>
      <c r="C11" s="735"/>
      <c r="D11" s="735"/>
      <c r="E11" s="735"/>
      <c r="F11" s="735"/>
      <c r="G11" s="735"/>
      <c r="H11" s="735"/>
      <c r="I11" s="15"/>
    </row>
    <row r="12" spans="1:9" ht="13.5" customHeight="1">
      <c r="A12" s="253"/>
      <c r="B12" s="33"/>
      <c r="C12" s="33"/>
      <c r="D12" s="33"/>
      <c r="E12" s="33"/>
      <c r="F12" s="33"/>
      <c r="G12" s="33"/>
      <c r="H12" s="295" t="s">
        <v>233</v>
      </c>
      <c r="I12" s="15"/>
    </row>
    <row r="13" spans="1:9" ht="19.5" customHeight="1">
      <c r="A13" s="729" t="s">
        <v>26</v>
      </c>
      <c r="B13" s="729" t="s">
        <v>10</v>
      </c>
      <c r="C13" s="729" t="s">
        <v>11</v>
      </c>
      <c r="D13" s="729" t="s">
        <v>235</v>
      </c>
      <c r="E13" s="732" t="s">
        <v>7</v>
      </c>
      <c r="F13" s="732"/>
      <c r="G13" s="732"/>
      <c r="H13" s="732" t="s">
        <v>13</v>
      </c>
      <c r="I13" s="15"/>
    </row>
    <row r="14" spans="1:9" ht="15.75" customHeight="1">
      <c r="A14" s="730"/>
      <c r="B14" s="730"/>
      <c r="C14" s="730"/>
      <c r="D14" s="730"/>
      <c r="E14" s="729">
        <v>2021</v>
      </c>
      <c r="F14" s="729">
        <v>2022</v>
      </c>
      <c r="G14" s="729">
        <v>2023</v>
      </c>
      <c r="H14" s="732"/>
      <c r="I14" s="15"/>
    </row>
    <row r="15" spans="1:9" ht="21" customHeight="1">
      <c r="A15" s="731"/>
      <c r="B15" s="731"/>
      <c r="C15" s="731"/>
      <c r="D15" s="731"/>
      <c r="E15" s="731"/>
      <c r="F15" s="731"/>
      <c r="G15" s="731"/>
      <c r="H15" s="732"/>
      <c r="I15" s="15"/>
    </row>
    <row r="16" spans="1:9" ht="33.75" customHeight="1" hidden="1">
      <c r="A16" s="62">
        <v>1</v>
      </c>
      <c r="B16" s="57" t="s">
        <v>27</v>
      </c>
      <c r="C16" s="35" t="s">
        <v>14</v>
      </c>
      <c r="D16" s="68" t="e">
        <f>#REF!+E16+F16+G16</f>
        <v>#REF!</v>
      </c>
      <c r="E16" s="68"/>
      <c r="F16" s="68"/>
      <c r="G16" s="68"/>
      <c r="H16" s="35" t="s">
        <v>28</v>
      </c>
      <c r="I16" s="15"/>
    </row>
    <row r="17" spans="1:14" ht="126.75" customHeight="1">
      <c r="A17" s="686">
        <v>1</v>
      </c>
      <c r="B17" s="324" t="s">
        <v>705</v>
      </c>
      <c r="C17" s="687" t="s">
        <v>36</v>
      </c>
      <c r="D17" s="863">
        <f>E17+F17+G17</f>
        <v>194791.961</v>
      </c>
      <c r="E17" s="271">
        <v>194791.961</v>
      </c>
      <c r="F17" s="110">
        <v>0</v>
      </c>
      <c r="G17" s="110">
        <v>0</v>
      </c>
      <c r="H17" s="181" t="s">
        <v>706</v>
      </c>
      <c r="I17" s="15"/>
      <c r="N17" s="14" t="s">
        <v>487</v>
      </c>
    </row>
    <row r="18" spans="1:9" ht="28.5" customHeight="1">
      <c r="A18" s="385"/>
      <c r="B18" s="71" t="s">
        <v>4</v>
      </c>
      <c r="C18" s="71"/>
      <c r="D18" s="58">
        <f>E17</f>
        <v>194791.961</v>
      </c>
      <c r="E18" s="58">
        <f>E17</f>
        <v>194791.961</v>
      </c>
      <c r="F18" s="58">
        <f>F17</f>
        <v>0</v>
      </c>
      <c r="G18" s="58">
        <f>G17</f>
        <v>0</v>
      </c>
      <c r="H18" s="67"/>
      <c r="I18" s="15"/>
    </row>
    <row r="19" spans="1:9" ht="15.75">
      <c r="A19" s="39"/>
      <c r="B19" s="147"/>
      <c r="C19" s="147"/>
      <c r="D19" s="19"/>
      <c r="E19" s="19"/>
      <c r="F19" s="19"/>
      <c r="G19" s="19"/>
      <c r="H19" s="20"/>
      <c r="I19" s="15"/>
    </row>
    <row r="20" spans="1:9" ht="6" customHeight="1">
      <c r="A20" s="39"/>
      <c r="B20" s="864"/>
      <c r="C20" s="147"/>
      <c r="D20" s="19"/>
      <c r="E20" s="19"/>
      <c r="F20" s="19"/>
      <c r="G20" s="19"/>
      <c r="H20" s="20"/>
      <c r="I20" s="15"/>
    </row>
    <row r="21" spans="1:9" ht="15.75" hidden="1">
      <c r="A21" s="39"/>
      <c r="B21" s="147"/>
      <c r="C21" s="147"/>
      <c r="D21" s="19"/>
      <c r="E21" s="19"/>
      <c r="F21" s="19"/>
      <c r="G21" s="19"/>
      <c r="H21" s="20"/>
      <c r="I21" s="15"/>
    </row>
    <row r="22" spans="2:9" ht="15.75">
      <c r="B22" s="15"/>
      <c r="C22" s="15"/>
      <c r="D22" s="15"/>
      <c r="E22" s="15"/>
      <c r="F22" s="15"/>
      <c r="G22" s="15"/>
      <c r="H22" s="15"/>
      <c r="I22" s="15"/>
    </row>
    <row r="23" spans="2:11" s="430" customFormat="1" ht="20.25" customHeight="1">
      <c r="B23" s="725" t="s">
        <v>15</v>
      </c>
      <c r="C23" s="725"/>
      <c r="D23" s="417"/>
      <c r="E23" s="419"/>
      <c r="F23" s="420"/>
      <c r="H23" s="185" t="s">
        <v>674</v>
      </c>
      <c r="J23" s="431"/>
      <c r="K23" s="432"/>
    </row>
    <row r="24" spans="2:11" s="253" customFormat="1" ht="18.75">
      <c r="B24" s="264"/>
      <c r="C24" s="264"/>
      <c r="D24" s="264"/>
      <c r="E24" s="22"/>
      <c r="F24" s="148"/>
      <c r="H24" s="185"/>
      <c r="J24" s="23"/>
      <c r="K24" s="24"/>
    </row>
    <row r="25" spans="2:9" s="253" customFormat="1" ht="18.75">
      <c r="B25" s="694" t="s">
        <v>673</v>
      </c>
      <c r="C25" s="694"/>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F14:F15"/>
    <mergeCell ref="G14:G15"/>
    <mergeCell ref="B23:C23"/>
    <mergeCell ref="B25:C25"/>
    <mergeCell ref="H1:L1"/>
    <mergeCell ref="H7:M7"/>
    <mergeCell ref="A11:H11"/>
    <mergeCell ref="A13:A15"/>
    <mergeCell ref="B13:B15"/>
    <mergeCell ref="C13:C15"/>
    <mergeCell ref="D13:D15"/>
    <mergeCell ref="E13:G13"/>
    <mergeCell ref="H13:H15"/>
    <mergeCell ref="E14:E15"/>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7.xml><?xml version="1.0" encoding="utf-8"?>
<worksheet xmlns="http://schemas.openxmlformats.org/spreadsheetml/2006/main" xmlns:r="http://schemas.openxmlformats.org/officeDocument/2006/relationships">
  <sheetPr>
    <tabColor theme="0"/>
    <pageSetUpPr fitToPage="1"/>
  </sheetPr>
  <dimension ref="A1:K43"/>
  <sheetViews>
    <sheetView view="pageBreakPreview" zoomScaleSheetLayoutView="100" zoomScalePageLayoutView="0" workbookViewId="0" topLeftCell="A1">
      <selection activeCell="E20" sqref="E20"/>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746" t="s">
        <v>595</v>
      </c>
      <c r="G1" s="746"/>
      <c r="H1" s="746"/>
      <c r="I1" s="746"/>
      <c r="J1" s="746"/>
      <c r="K1" s="17"/>
    </row>
    <row r="2" spans="2:11" ht="15" customHeight="1">
      <c r="B2" s="15"/>
      <c r="C2" s="15"/>
      <c r="D2" s="15"/>
      <c r="E2" s="15"/>
      <c r="F2" s="12" t="s">
        <v>9</v>
      </c>
      <c r="G2" s="12"/>
      <c r="H2" s="15"/>
      <c r="I2" s="12"/>
      <c r="J2" s="12"/>
      <c r="K2" s="12"/>
    </row>
    <row r="3" spans="2:11" ht="15" customHeight="1">
      <c r="B3" s="15"/>
      <c r="C3" s="15"/>
      <c r="D3" s="15"/>
      <c r="E3" s="15"/>
      <c r="F3" s="12" t="s">
        <v>301</v>
      </c>
      <c r="G3" s="12"/>
      <c r="H3" s="15"/>
      <c r="I3" s="12"/>
      <c r="J3" s="12"/>
      <c r="K3" s="12"/>
    </row>
    <row r="4" spans="2:11" ht="16.5" customHeight="1">
      <c r="B4" s="15"/>
      <c r="C4" s="15"/>
      <c r="D4" s="15"/>
      <c r="E4" s="15"/>
      <c r="F4" s="17" t="s">
        <v>302</v>
      </c>
      <c r="G4" s="17"/>
      <c r="H4" s="15"/>
      <c r="I4" s="12"/>
      <c r="J4" s="12"/>
      <c r="K4" s="12"/>
    </row>
    <row r="5" spans="2:11" ht="15" customHeight="1">
      <c r="B5" s="15"/>
      <c r="C5" s="15"/>
      <c r="D5" s="15"/>
      <c r="E5" s="15"/>
      <c r="F5" s="17" t="s">
        <v>564</v>
      </c>
      <c r="G5" s="17"/>
      <c r="H5" s="15"/>
      <c r="I5" s="12"/>
      <c r="J5" s="12"/>
      <c r="K5" s="12"/>
    </row>
    <row r="6" spans="2:11" ht="16.5" customHeight="1">
      <c r="B6" s="15"/>
      <c r="C6" s="15"/>
      <c r="D6" s="15"/>
      <c r="E6" s="15"/>
      <c r="F6" s="17" t="s">
        <v>581</v>
      </c>
      <c r="G6" s="17"/>
      <c r="H6" s="245"/>
      <c r="I6" s="12"/>
      <c r="J6" s="12"/>
      <c r="K6" s="12"/>
    </row>
    <row r="7" spans="2:11" ht="16.5" customHeight="1">
      <c r="B7" s="15"/>
      <c r="C7" s="15"/>
      <c r="D7" s="15"/>
      <c r="E7" s="15"/>
      <c r="F7" s="745" t="s">
        <v>591</v>
      </c>
      <c r="G7" s="745"/>
      <c r="H7" s="745"/>
      <c r="I7" s="745"/>
      <c r="J7" s="745"/>
      <c r="K7" s="745"/>
    </row>
    <row r="8" spans="2:11" ht="15.75" customHeight="1">
      <c r="B8" s="15"/>
      <c r="C8" s="15"/>
      <c r="D8" s="15"/>
      <c r="E8" s="15"/>
      <c r="F8" s="745" t="s">
        <v>689</v>
      </c>
      <c r="G8" s="745"/>
      <c r="H8" s="745"/>
      <c r="I8" s="745"/>
      <c r="J8" s="745"/>
      <c r="K8" s="745"/>
    </row>
    <row r="9" spans="2:11" ht="15.75">
      <c r="B9" s="15"/>
      <c r="C9" s="15"/>
      <c r="D9" s="15"/>
      <c r="E9" s="15"/>
      <c r="F9" s="15"/>
      <c r="G9" s="15"/>
      <c r="H9" s="15"/>
      <c r="I9" s="15"/>
      <c r="J9" s="15"/>
      <c r="K9" s="15"/>
    </row>
    <row r="10" spans="2:11" ht="18.75" customHeight="1">
      <c r="B10" s="735" t="s">
        <v>615</v>
      </c>
      <c r="C10" s="735"/>
      <c r="D10" s="735"/>
      <c r="E10" s="735"/>
      <c r="F10" s="735"/>
      <c r="G10" s="735"/>
      <c r="H10" s="735"/>
      <c r="I10" s="735"/>
      <c r="J10" s="735"/>
      <c r="K10" s="735"/>
    </row>
    <row r="11" spans="2:11" ht="15.75">
      <c r="B11" s="15"/>
      <c r="C11" s="15"/>
      <c r="D11" s="743"/>
      <c r="E11" s="743"/>
      <c r="F11" s="743"/>
      <c r="G11" s="743"/>
      <c r="H11" s="743"/>
      <c r="I11" s="15"/>
      <c r="J11" s="15"/>
      <c r="K11" s="34" t="s">
        <v>21</v>
      </c>
    </row>
    <row r="12" spans="1:11" ht="15.75" customHeight="1">
      <c r="A12" s="729" t="s">
        <v>5</v>
      </c>
      <c r="B12" s="729" t="s">
        <v>10</v>
      </c>
      <c r="C12" s="729" t="s">
        <v>11</v>
      </c>
      <c r="D12" s="729" t="s">
        <v>235</v>
      </c>
      <c r="E12" s="744" t="s">
        <v>7</v>
      </c>
      <c r="F12" s="744"/>
      <c r="G12" s="744"/>
      <c r="H12" s="744"/>
      <c r="I12" s="744"/>
      <c r="J12" s="744"/>
      <c r="K12" s="732" t="s">
        <v>13</v>
      </c>
    </row>
    <row r="13" spans="1:11" ht="15.75" customHeight="1">
      <c r="A13" s="730"/>
      <c r="B13" s="730"/>
      <c r="C13" s="730"/>
      <c r="D13" s="730"/>
      <c r="E13" s="729">
        <v>2021</v>
      </c>
      <c r="F13" s="747">
        <v>2022</v>
      </c>
      <c r="G13" s="729" t="s">
        <v>22</v>
      </c>
      <c r="H13" s="729" t="s">
        <v>23</v>
      </c>
      <c r="I13" s="729" t="s">
        <v>24</v>
      </c>
      <c r="J13" s="732">
        <v>2023</v>
      </c>
      <c r="K13" s="732"/>
    </row>
    <row r="14" spans="1:11" ht="18" customHeight="1">
      <c r="A14" s="731"/>
      <c r="B14" s="731"/>
      <c r="C14" s="731"/>
      <c r="D14" s="731"/>
      <c r="E14" s="731"/>
      <c r="F14" s="748"/>
      <c r="G14" s="731"/>
      <c r="H14" s="731"/>
      <c r="I14" s="731"/>
      <c r="J14" s="732"/>
      <c r="K14" s="732"/>
    </row>
    <row r="15" spans="1:11" s="336" customFormat="1" ht="69" customHeight="1">
      <c r="A15" s="181">
        <v>1</v>
      </c>
      <c r="B15" s="324" t="s">
        <v>555</v>
      </c>
      <c r="C15" s="181" t="s">
        <v>340</v>
      </c>
      <c r="D15" s="532">
        <f aca="true" t="shared" si="0" ref="D15:D24">SUM(E15:J15)</f>
        <v>93405.3</v>
      </c>
      <c r="E15" s="189">
        <f>36160.1+45.4+45+20+35-1000-21700.5</f>
        <v>13605</v>
      </c>
      <c r="F15" s="534">
        <v>38738</v>
      </c>
      <c r="G15" s="533"/>
      <c r="H15" s="533"/>
      <c r="I15" s="533"/>
      <c r="J15" s="533">
        <v>41062.3</v>
      </c>
      <c r="K15" s="737" t="s">
        <v>161</v>
      </c>
    </row>
    <row r="16" spans="1:11" ht="30" customHeight="1" hidden="1">
      <c r="A16" s="515" t="s">
        <v>162</v>
      </c>
      <c r="B16" s="383" t="s">
        <v>534</v>
      </c>
      <c r="C16" s="740" t="s">
        <v>340</v>
      </c>
      <c r="D16" s="535">
        <f t="shared" si="0"/>
        <v>1279.1999999999998</v>
      </c>
      <c r="E16" s="661">
        <v>400</v>
      </c>
      <c r="F16" s="97">
        <v>426.8</v>
      </c>
      <c r="G16" s="96"/>
      <c r="H16" s="96"/>
      <c r="I16" s="96"/>
      <c r="J16" s="96">
        <v>452.4</v>
      </c>
      <c r="K16" s="738"/>
    </row>
    <row r="17" spans="1:11" ht="32.25" customHeight="1" hidden="1">
      <c r="A17" s="515" t="s">
        <v>169</v>
      </c>
      <c r="B17" s="383" t="s">
        <v>535</v>
      </c>
      <c r="C17" s="741"/>
      <c r="D17" s="535">
        <f t="shared" si="0"/>
        <v>480.1</v>
      </c>
      <c r="E17" s="661">
        <v>150</v>
      </c>
      <c r="F17" s="97">
        <v>160.1</v>
      </c>
      <c r="G17" s="96"/>
      <c r="H17" s="96"/>
      <c r="I17" s="96"/>
      <c r="J17" s="96">
        <v>170</v>
      </c>
      <c r="K17" s="738"/>
    </row>
    <row r="18" spans="1:11" ht="33.75" customHeight="1" hidden="1">
      <c r="A18" s="515" t="s">
        <v>170</v>
      </c>
      <c r="B18" s="383" t="s">
        <v>536</v>
      </c>
      <c r="C18" s="741"/>
      <c r="D18" s="535">
        <f t="shared" si="0"/>
        <v>480.1</v>
      </c>
      <c r="E18" s="661">
        <v>150</v>
      </c>
      <c r="F18" s="97">
        <v>160.1</v>
      </c>
      <c r="G18" s="96"/>
      <c r="H18" s="96"/>
      <c r="I18" s="96"/>
      <c r="J18" s="96">
        <v>170</v>
      </c>
      <c r="K18" s="738"/>
    </row>
    <row r="19" spans="1:11" ht="30" customHeight="1" hidden="1">
      <c r="A19" s="515" t="s">
        <v>171</v>
      </c>
      <c r="B19" s="383" t="s">
        <v>537</v>
      </c>
      <c r="C19" s="742"/>
      <c r="D19" s="535">
        <f t="shared" si="0"/>
        <v>480.1</v>
      </c>
      <c r="E19" s="661">
        <v>150</v>
      </c>
      <c r="F19" s="97">
        <v>160.1</v>
      </c>
      <c r="G19" s="96"/>
      <c r="H19" s="96"/>
      <c r="I19" s="96"/>
      <c r="J19" s="96">
        <v>170</v>
      </c>
      <c r="K19" s="739"/>
    </row>
    <row r="20" spans="1:11" s="336" customFormat="1" ht="60.75" customHeight="1">
      <c r="A20" s="181">
        <v>2</v>
      </c>
      <c r="B20" s="324" t="s">
        <v>556</v>
      </c>
      <c r="C20" s="181" t="s">
        <v>340</v>
      </c>
      <c r="D20" s="533">
        <f t="shared" si="0"/>
        <v>41330</v>
      </c>
      <c r="E20" s="642">
        <f>150+3500+1400+2500+1000+800+1300+2500+3500+250+220-13420</f>
        <v>3700</v>
      </c>
      <c r="F20" s="93">
        <v>18267</v>
      </c>
      <c r="G20" s="93"/>
      <c r="H20" s="93"/>
      <c r="I20" s="93"/>
      <c r="J20" s="93">
        <v>19363</v>
      </c>
      <c r="K20" s="737" t="s">
        <v>161</v>
      </c>
    </row>
    <row r="21" spans="1:11" ht="33.75" customHeight="1" hidden="1">
      <c r="A21" s="515" t="s">
        <v>208</v>
      </c>
      <c r="B21" s="383" t="s">
        <v>534</v>
      </c>
      <c r="C21" s="740" t="s">
        <v>340</v>
      </c>
      <c r="D21" s="536">
        <f t="shared" si="0"/>
        <v>480.1</v>
      </c>
      <c r="E21" s="97">
        <v>150</v>
      </c>
      <c r="F21" s="97">
        <v>160.1</v>
      </c>
      <c r="G21" s="96"/>
      <c r="H21" s="96"/>
      <c r="I21" s="96"/>
      <c r="J21" s="96">
        <v>170</v>
      </c>
      <c r="K21" s="738"/>
    </row>
    <row r="22" spans="1:11" ht="31.5" customHeight="1" hidden="1">
      <c r="A22" s="515" t="s">
        <v>232</v>
      </c>
      <c r="B22" s="383" t="s">
        <v>535</v>
      </c>
      <c r="C22" s="741"/>
      <c r="D22" s="536">
        <f t="shared" si="0"/>
        <v>830.1</v>
      </c>
      <c r="E22" s="97">
        <v>500</v>
      </c>
      <c r="F22" s="97">
        <v>160.1</v>
      </c>
      <c r="G22" s="96"/>
      <c r="H22" s="96"/>
      <c r="I22" s="96"/>
      <c r="J22" s="96">
        <v>170</v>
      </c>
      <c r="K22" s="738"/>
    </row>
    <row r="23" spans="1:11" ht="29.25" customHeight="1" hidden="1">
      <c r="A23" s="515" t="s">
        <v>242</v>
      </c>
      <c r="B23" s="383" t="s">
        <v>536</v>
      </c>
      <c r="C23" s="741"/>
      <c r="D23" s="536">
        <f t="shared" si="0"/>
        <v>480.1</v>
      </c>
      <c r="E23" s="97">
        <v>150</v>
      </c>
      <c r="F23" s="97">
        <v>160.1</v>
      </c>
      <c r="G23" s="96"/>
      <c r="H23" s="96"/>
      <c r="I23" s="96"/>
      <c r="J23" s="96">
        <v>170</v>
      </c>
      <c r="K23" s="738"/>
    </row>
    <row r="24" spans="1:11" ht="31.5" customHeight="1" hidden="1">
      <c r="A24" s="515" t="s">
        <v>243</v>
      </c>
      <c r="B24" s="383" t="s">
        <v>537</v>
      </c>
      <c r="C24" s="742"/>
      <c r="D24" s="536">
        <f t="shared" si="0"/>
        <v>1600</v>
      </c>
      <c r="E24" s="97">
        <v>500</v>
      </c>
      <c r="F24" s="97">
        <v>534</v>
      </c>
      <c r="G24" s="96"/>
      <c r="H24" s="96"/>
      <c r="I24" s="96"/>
      <c r="J24" s="96">
        <v>566</v>
      </c>
      <c r="K24" s="739"/>
    </row>
    <row r="25" spans="1:11" s="336" customFormat="1" ht="62.25" customHeight="1">
      <c r="A25" s="181">
        <v>3</v>
      </c>
      <c r="B25" s="324" t="s">
        <v>557</v>
      </c>
      <c r="C25" s="181" t="s">
        <v>340</v>
      </c>
      <c r="D25" s="533">
        <f>E25+F25+J25</f>
        <v>102383.20000000001</v>
      </c>
      <c r="E25" s="642">
        <f>28000+407.9+4+46.3+308.7+141.9+6000-35.6+4190</f>
        <v>39063.200000000004</v>
      </c>
      <c r="F25" s="93">
        <v>30738</v>
      </c>
      <c r="G25" s="93"/>
      <c r="H25" s="93"/>
      <c r="I25" s="93"/>
      <c r="J25" s="93">
        <v>32582</v>
      </c>
      <c r="K25" s="737" t="s">
        <v>161</v>
      </c>
    </row>
    <row r="26" spans="1:11" ht="27" customHeight="1" hidden="1">
      <c r="A26" s="515" t="s">
        <v>256</v>
      </c>
      <c r="B26" s="383" t="s">
        <v>534</v>
      </c>
      <c r="C26" s="740" t="s">
        <v>340</v>
      </c>
      <c r="D26" s="95">
        <f>E26+F26+J26</f>
        <v>1600</v>
      </c>
      <c r="E26" s="97">
        <v>500</v>
      </c>
      <c r="F26" s="97">
        <v>534</v>
      </c>
      <c r="G26" s="96"/>
      <c r="H26" s="96"/>
      <c r="I26" s="96"/>
      <c r="J26" s="96">
        <v>566</v>
      </c>
      <c r="K26" s="738"/>
    </row>
    <row r="27" spans="1:11" ht="27" customHeight="1" hidden="1">
      <c r="A27" s="515" t="s">
        <v>285</v>
      </c>
      <c r="B27" s="383" t="s">
        <v>535</v>
      </c>
      <c r="C27" s="741"/>
      <c r="D27" s="95">
        <f>E27+F27+J27</f>
        <v>319.7</v>
      </c>
      <c r="E27" s="97">
        <v>100</v>
      </c>
      <c r="F27" s="96">
        <v>106.7</v>
      </c>
      <c r="G27" s="96"/>
      <c r="H27" s="96"/>
      <c r="I27" s="96"/>
      <c r="J27" s="96">
        <v>113</v>
      </c>
      <c r="K27" s="738"/>
    </row>
    <row r="28" spans="1:11" ht="29.25" customHeight="1" hidden="1">
      <c r="A28" s="515" t="s">
        <v>285</v>
      </c>
      <c r="B28" s="383" t="s">
        <v>536</v>
      </c>
      <c r="C28" s="741"/>
      <c r="D28" s="95">
        <f>E28+F28+J28</f>
        <v>959.4000000000001</v>
      </c>
      <c r="E28" s="97">
        <v>300</v>
      </c>
      <c r="F28" s="96">
        <v>320.1</v>
      </c>
      <c r="G28" s="96"/>
      <c r="H28" s="96"/>
      <c r="I28" s="96"/>
      <c r="J28" s="96">
        <v>339.3</v>
      </c>
      <c r="K28" s="738"/>
    </row>
    <row r="29" spans="1:11" ht="30.75" customHeight="1" hidden="1">
      <c r="A29" s="515" t="s">
        <v>325</v>
      </c>
      <c r="B29" s="383" t="s">
        <v>537</v>
      </c>
      <c r="C29" s="742"/>
      <c r="D29" s="95">
        <f>E29+F29+J29</f>
        <v>1600</v>
      </c>
      <c r="E29" s="97">
        <v>500</v>
      </c>
      <c r="F29" s="97">
        <v>534</v>
      </c>
      <c r="G29" s="96"/>
      <c r="H29" s="96"/>
      <c r="I29" s="96"/>
      <c r="J29" s="96">
        <v>566</v>
      </c>
      <c r="K29" s="739"/>
    </row>
    <row r="30" spans="1:11" ht="32.25" customHeight="1">
      <c r="A30" s="65"/>
      <c r="B30" s="56" t="s">
        <v>4</v>
      </c>
      <c r="C30" s="66"/>
      <c r="D30" s="92">
        <f>D25+D20+D15</f>
        <v>237118.5</v>
      </c>
      <c r="E30" s="124">
        <f aca="true" t="shared" si="1" ref="E30:J30">E15+E20+E25</f>
        <v>56368.200000000004</v>
      </c>
      <c r="F30" s="124">
        <f t="shared" si="1"/>
        <v>87743</v>
      </c>
      <c r="G30" s="124">
        <f t="shared" si="1"/>
        <v>0</v>
      </c>
      <c r="H30" s="124">
        <f t="shared" si="1"/>
        <v>0</v>
      </c>
      <c r="I30" s="124">
        <f t="shared" si="1"/>
        <v>0</v>
      </c>
      <c r="J30" s="124">
        <f t="shared" si="1"/>
        <v>93007.3</v>
      </c>
      <c r="K30" s="67"/>
    </row>
    <row r="31" spans="1:11" ht="15.75" customHeight="1">
      <c r="A31" s="37"/>
      <c r="B31" s="18"/>
      <c r="C31" s="18"/>
      <c r="D31" s="19"/>
      <c r="E31" s="120"/>
      <c r="F31" s="120"/>
      <c r="G31" s="120"/>
      <c r="H31" s="120"/>
      <c r="I31" s="120"/>
      <c r="J31" s="120"/>
      <c r="K31" s="20"/>
    </row>
    <row r="32" spans="1:11" ht="15" customHeight="1">
      <c r="A32" s="37"/>
      <c r="B32" s="18"/>
      <c r="C32" s="18"/>
      <c r="D32" s="19"/>
      <c r="E32" s="120"/>
      <c r="F32" s="120"/>
      <c r="G32" s="120"/>
      <c r="H32" s="120"/>
      <c r="I32" s="120"/>
      <c r="J32" s="120"/>
      <c r="K32" s="20"/>
    </row>
    <row r="33" spans="1:11" ht="15.75" customHeight="1">
      <c r="A33" s="37"/>
      <c r="B33" s="18"/>
      <c r="C33" s="18"/>
      <c r="D33" s="19"/>
      <c r="E33" s="120"/>
      <c r="F33" s="120"/>
      <c r="G33" s="120"/>
      <c r="H33" s="120"/>
      <c r="I33" s="120"/>
      <c r="J33" s="120"/>
      <c r="K33" s="20"/>
    </row>
    <row r="34" spans="2:11" ht="15.75">
      <c r="B34" s="18"/>
      <c r="C34" s="18"/>
      <c r="D34" s="19"/>
      <c r="E34" s="19"/>
      <c r="F34" s="19"/>
      <c r="G34" s="19"/>
      <c r="H34" s="19"/>
      <c r="I34" s="19"/>
      <c r="J34" s="19"/>
      <c r="K34" s="20"/>
    </row>
    <row r="35" spans="2:11" ht="18.75" customHeight="1">
      <c r="B35" s="725" t="s">
        <v>15</v>
      </c>
      <c r="C35" s="725"/>
      <c r="D35" s="417"/>
      <c r="E35" s="419"/>
      <c r="F35" s="420"/>
      <c r="G35" s="430"/>
      <c r="H35" s="185" t="s">
        <v>674</v>
      </c>
      <c r="I35" s="16"/>
      <c r="J35" s="16"/>
      <c r="K35" s="185" t="s">
        <v>674</v>
      </c>
    </row>
    <row r="36" spans="2:11" ht="15.75" customHeight="1">
      <c r="B36" s="264"/>
      <c r="C36" s="264"/>
      <c r="D36" s="264"/>
      <c r="E36" s="22"/>
      <c r="F36" s="22"/>
      <c r="G36" s="16"/>
      <c r="H36" s="16"/>
      <c r="I36" s="16"/>
      <c r="J36" s="16"/>
      <c r="K36" s="23"/>
    </row>
    <row r="37" spans="2:11" ht="18.75">
      <c r="B37" s="694" t="s">
        <v>673</v>
      </c>
      <c r="C37" s="694"/>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F7:K7"/>
    <mergeCell ref="B37:C37"/>
    <mergeCell ref="B35:C35"/>
    <mergeCell ref="F1:J1"/>
    <mergeCell ref="F8:K8"/>
    <mergeCell ref="K12:K14"/>
    <mergeCell ref="E13:E14"/>
    <mergeCell ref="F13:F14"/>
    <mergeCell ref="G13:G14"/>
    <mergeCell ref="H13:H14"/>
    <mergeCell ref="I13:I14"/>
    <mergeCell ref="J13:J14"/>
    <mergeCell ref="B10:K10"/>
    <mergeCell ref="D11:H11"/>
    <mergeCell ref="A12:A14"/>
    <mergeCell ref="B12:B14"/>
    <mergeCell ref="C12:C14"/>
    <mergeCell ref="D12:D14"/>
    <mergeCell ref="E12:J12"/>
    <mergeCell ref="K15:K19"/>
    <mergeCell ref="C16:C19"/>
    <mergeCell ref="C21:C24"/>
    <mergeCell ref="K20:K24"/>
    <mergeCell ref="C26:C29"/>
    <mergeCell ref="K25:K29"/>
  </mergeCells>
  <printOptions horizontalCentered="1"/>
  <pageMargins left="0.3937007874015748" right="0.3937007874015748" top="1.1811023622047245" bottom="0" header="0" footer="0"/>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theme="0"/>
  </sheetPr>
  <dimension ref="A1:P146"/>
  <sheetViews>
    <sheetView view="pageBreakPreview" zoomScale="75" zoomScaleSheetLayoutView="75" zoomScalePageLayoutView="0" workbookViewId="0" topLeftCell="A2">
      <selection activeCell="C14" sqref="C14:C15"/>
    </sheetView>
  </sheetViews>
  <sheetFormatPr defaultColWidth="9.140625" defaultRowHeight="12.75" outlineLevelCol="1"/>
  <cols>
    <col min="1" max="1" width="8.421875" style="149" bestFit="1" customWidth="1"/>
    <col min="2" max="2" width="73.7109375" style="0" customWidth="1"/>
    <col min="3" max="3" width="17.7109375" style="0" customWidth="1"/>
    <col min="4" max="4" width="14.421875" style="0" customWidth="1"/>
    <col min="5" max="5" width="13.421875" style="209"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417</v>
      </c>
      <c r="L1" s="344"/>
      <c r="M1" s="2"/>
    </row>
    <row r="2" spans="11:16" ht="15.75">
      <c r="K2" s="12" t="s">
        <v>9</v>
      </c>
      <c r="L2" s="12"/>
      <c r="M2" s="15"/>
      <c r="N2" s="12"/>
      <c r="O2" s="12"/>
      <c r="P2" s="12"/>
    </row>
    <row r="3" spans="11:16" ht="15.75">
      <c r="K3" s="12" t="s">
        <v>301</v>
      </c>
      <c r="L3" s="12"/>
      <c r="M3" s="15"/>
      <c r="N3" s="12"/>
      <c r="O3" s="12"/>
      <c r="P3" s="12"/>
    </row>
    <row r="4" spans="11:16" ht="15.75">
      <c r="K4" s="17" t="s">
        <v>302</v>
      </c>
      <c r="L4" s="17"/>
      <c r="M4" s="15"/>
      <c r="N4" s="12"/>
      <c r="O4" s="12"/>
      <c r="P4" s="12"/>
    </row>
    <row r="5" spans="2:16" ht="15.75">
      <c r="B5" s="1"/>
      <c r="C5" s="1"/>
      <c r="D5" s="1"/>
      <c r="E5" s="210"/>
      <c r="F5" s="1"/>
      <c r="G5" s="1"/>
      <c r="H5" s="1"/>
      <c r="I5" s="1"/>
      <c r="J5" s="2" t="s">
        <v>41</v>
      </c>
      <c r="K5" s="17" t="s">
        <v>564</v>
      </c>
      <c r="L5" s="17"/>
      <c r="M5" s="15"/>
      <c r="N5" s="12"/>
      <c r="O5" s="12"/>
      <c r="P5" s="12"/>
    </row>
    <row r="6" spans="2:16" ht="15.75">
      <c r="B6" s="1"/>
      <c r="C6" s="1"/>
      <c r="D6" s="1"/>
      <c r="E6" s="210"/>
      <c r="F6" s="1"/>
      <c r="G6" s="1"/>
      <c r="H6" s="1"/>
      <c r="I6" s="1"/>
      <c r="J6" s="2"/>
      <c r="K6" s="17" t="s">
        <v>582</v>
      </c>
      <c r="L6" s="17"/>
      <c r="M6" s="245"/>
      <c r="N6" s="12"/>
      <c r="O6" s="12"/>
      <c r="P6" s="12"/>
    </row>
    <row r="7" spans="2:16" ht="15.75">
      <c r="B7" s="1"/>
      <c r="C7" s="1"/>
      <c r="D7" s="1"/>
      <c r="E7" s="210"/>
      <c r="F7" s="1"/>
      <c r="G7" s="1"/>
      <c r="H7" s="1"/>
      <c r="I7" s="1"/>
      <c r="J7" s="2"/>
      <c r="K7" s="17" t="s">
        <v>583</v>
      </c>
      <c r="L7" s="17"/>
      <c r="M7" s="245"/>
      <c r="N7" s="12"/>
      <c r="O7" s="12"/>
      <c r="P7" s="12"/>
    </row>
    <row r="8" spans="2:16" ht="15.75">
      <c r="B8" s="1"/>
      <c r="C8" s="1"/>
      <c r="D8" s="1"/>
      <c r="E8" s="210"/>
      <c r="F8" s="1"/>
      <c r="G8" s="1"/>
      <c r="H8" s="1"/>
      <c r="I8" s="9"/>
      <c r="J8" s="3" t="s">
        <v>45</v>
      </c>
      <c r="K8" s="745" t="s">
        <v>587</v>
      </c>
      <c r="L8" s="745"/>
      <c r="M8" s="745"/>
      <c r="N8" s="745"/>
      <c r="O8" s="745"/>
      <c r="P8" s="745"/>
    </row>
    <row r="9" spans="2:14" ht="18.75">
      <c r="B9" s="1"/>
      <c r="C9" s="1"/>
      <c r="D9" s="1"/>
      <c r="E9" s="210"/>
      <c r="F9" s="1"/>
      <c r="G9" s="1"/>
      <c r="H9" s="1"/>
      <c r="I9" s="9"/>
      <c r="J9" s="3"/>
      <c r="K9" s="673" t="s">
        <v>687</v>
      </c>
      <c r="L9" s="53"/>
      <c r="M9" s="3"/>
      <c r="N9" s="3"/>
    </row>
    <row r="10" spans="2:14" ht="18.75">
      <c r="B10" s="1"/>
      <c r="C10" s="1"/>
      <c r="D10" s="1"/>
      <c r="E10" s="210"/>
      <c r="F10" s="1"/>
      <c r="G10" s="1"/>
      <c r="H10" s="1"/>
      <c r="I10" s="9"/>
      <c r="J10" s="3"/>
      <c r="K10" s="256"/>
      <c r="L10" s="53"/>
      <c r="M10" s="3"/>
      <c r="N10" s="3"/>
    </row>
    <row r="11" spans="2:11" ht="15.75">
      <c r="B11" s="1"/>
      <c r="C11" s="1"/>
      <c r="D11" s="1"/>
      <c r="E11" s="210"/>
      <c r="F11" s="1"/>
      <c r="G11" s="1"/>
      <c r="H11" s="1"/>
      <c r="I11" s="1"/>
      <c r="J11" s="1"/>
      <c r="K11" s="1"/>
    </row>
    <row r="12" spans="1:11" ht="40.5" customHeight="1">
      <c r="A12" s="389"/>
      <c r="B12" s="762" t="s">
        <v>616</v>
      </c>
      <c r="C12" s="762"/>
      <c r="D12" s="762"/>
      <c r="E12" s="762"/>
      <c r="F12" s="762"/>
      <c r="G12" s="762"/>
      <c r="H12" s="762"/>
      <c r="I12" s="762"/>
      <c r="J12" s="762"/>
      <c r="K12" s="762"/>
    </row>
    <row r="13" spans="1:11" ht="15.75">
      <c r="A13" s="389"/>
      <c r="B13" s="1"/>
      <c r="C13" s="1"/>
      <c r="D13" s="1"/>
      <c r="E13" s="210"/>
      <c r="F13" s="1"/>
      <c r="G13" s="1"/>
      <c r="H13" s="1"/>
      <c r="I13" s="1"/>
      <c r="J13" s="1"/>
      <c r="K13" s="44" t="s">
        <v>249</v>
      </c>
    </row>
    <row r="14" spans="1:11" ht="18.75">
      <c r="A14" s="763" t="s">
        <v>46</v>
      </c>
      <c r="B14" s="765" t="s">
        <v>10</v>
      </c>
      <c r="C14" s="765" t="s">
        <v>11</v>
      </c>
      <c r="D14" s="765" t="s">
        <v>235</v>
      </c>
      <c r="E14" s="766" t="s">
        <v>7</v>
      </c>
      <c r="F14" s="766"/>
      <c r="G14" s="766"/>
      <c r="H14" s="766"/>
      <c r="I14" s="766"/>
      <c r="J14" s="766"/>
      <c r="K14" s="765" t="s">
        <v>13</v>
      </c>
    </row>
    <row r="15" spans="1:11" ht="40.5" customHeight="1">
      <c r="A15" s="764"/>
      <c r="B15" s="765"/>
      <c r="C15" s="765"/>
      <c r="D15" s="765"/>
      <c r="E15" s="194">
        <v>2021</v>
      </c>
      <c r="F15" s="54">
        <v>2022</v>
      </c>
      <c r="G15" s="54">
        <v>2023</v>
      </c>
      <c r="H15" s="150" t="s">
        <v>22</v>
      </c>
      <c r="I15" s="150" t="s">
        <v>23</v>
      </c>
      <c r="J15" s="150" t="s">
        <v>24</v>
      </c>
      <c r="K15" s="765"/>
    </row>
    <row r="16" spans="1:13" s="470" customFormat="1" ht="124.5" customHeight="1">
      <c r="A16" s="752">
        <v>1</v>
      </c>
      <c r="B16" s="667" t="s">
        <v>569</v>
      </c>
      <c r="C16" s="752" t="s">
        <v>418</v>
      </c>
      <c r="D16" s="196">
        <f>E16+F16+G16</f>
        <v>10831.5</v>
      </c>
      <c r="E16" s="196">
        <f>3234.7+320.3</f>
        <v>3555</v>
      </c>
      <c r="F16" s="196">
        <v>3500.5</v>
      </c>
      <c r="G16" s="196">
        <v>3776</v>
      </c>
      <c r="H16" s="473">
        <f>H17+H18</f>
        <v>0</v>
      </c>
      <c r="I16" s="473">
        <f>I17+I18</f>
        <v>0</v>
      </c>
      <c r="J16" s="473">
        <f>J17+J18</f>
        <v>0</v>
      </c>
      <c r="K16" s="756" t="s">
        <v>161</v>
      </c>
      <c r="M16" s="470" t="s">
        <v>494</v>
      </c>
    </row>
    <row r="17" spans="1:12" s="472" customFormat="1" ht="32.25" customHeight="1" hidden="1">
      <c r="A17" s="752"/>
      <c r="B17" s="474" t="s">
        <v>282</v>
      </c>
      <c r="C17" s="752"/>
      <c r="D17" s="196">
        <f aca="true" t="shared" si="0" ref="D17:D26">E17+F17+G17</f>
        <v>5596.6</v>
      </c>
      <c r="E17" s="196">
        <f>1125+25+100+250+250</f>
        <v>1750</v>
      </c>
      <c r="F17" s="196">
        <v>1867.3</v>
      </c>
      <c r="G17" s="196">
        <v>1979.3</v>
      </c>
      <c r="H17" s="475"/>
      <c r="I17" s="475"/>
      <c r="J17" s="475"/>
      <c r="K17" s="757"/>
      <c r="L17" s="471"/>
    </row>
    <row r="18" spans="1:11" s="472" customFormat="1" ht="41.25" customHeight="1" hidden="1">
      <c r="A18" s="752"/>
      <c r="B18" s="474" t="s">
        <v>127</v>
      </c>
      <c r="C18" s="752"/>
      <c r="D18" s="196">
        <f t="shared" si="0"/>
        <v>3981.6000000000004</v>
      </c>
      <c r="E18" s="196">
        <f>102.9+1100</f>
        <v>1202.9</v>
      </c>
      <c r="F18" s="196">
        <f>1210+113.2</f>
        <v>1323.2</v>
      </c>
      <c r="G18" s="196">
        <f>124.5+1331</f>
        <v>1455.5</v>
      </c>
      <c r="H18" s="475"/>
      <c r="I18" s="475"/>
      <c r="J18" s="475"/>
      <c r="K18" s="757"/>
    </row>
    <row r="19" spans="1:11" s="472" customFormat="1" ht="19.5" customHeight="1" hidden="1">
      <c r="A19" s="752"/>
      <c r="B19" s="474" t="s">
        <v>145</v>
      </c>
      <c r="C19" s="752"/>
      <c r="D19" s="196">
        <f t="shared" si="0"/>
        <v>204.8</v>
      </c>
      <c r="E19" s="196">
        <v>61.8</v>
      </c>
      <c r="F19" s="196">
        <v>68</v>
      </c>
      <c r="G19" s="196">
        <v>75</v>
      </c>
      <c r="H19" s="475"/>
      <c r="I19" s="475"/>
      <c r="J19" s="475"/>
      <c r="K19" s="757"/>
    </row>
    <row r="20" spans="1:11" s="472" customFormat="1" ht="19.5" customHeight="1" hidden="1">
      <c r="A20" s="752"/>
      <c r="B20" s="474" t="s">
        <v>50</v>
      </c>
      <c r="C20" s="752"/>
      <c r="D20" s="196">
        <f t="shared" si="0"/>
        <v>528.8</v>
      </c>
      <c r="E20" s="196">
        <f>159.8</f>
        <v>159.8</v>
      </c>
      <c r="F20" s="196">
        <v>175.7</v>
      </c>
      <c r="G20" s="196">
        <v>193.3</v>
      </c>
      <c r="H20" s="475"/>
      <c r="I20" s="475"/>
      <c r="J20" s="475"/>
      <c r="K20" s="757"/>
    </row>
    <row r="21" spans="1:11" s="472" customFormat="1" ht="19.5" customHeight="1" hidden="1">
      <c r="A21" s="752"/>
      <c r="B21" s="474" t="s">
        <v>438</v>
      </c>
      <c r="C21" s="752"/>
      <c r="D21" s="196">
        <f t="shared" si="0"/>
        <v>100.69999999999999</v>
      </c>
      <c r="E21" s="196">
        <v>30.4</v>
      </c>
      <c r="F21" s="196">
        <v>33.5</v>
      </c>
      <c r="G21" s="196">
        <v>36.8</v>
      </c>
      <c r="H21" s="475"/>
      <c r="I21" s="475"/>
      <c r="J21" s="475"/>
      <c r="K21" s="757"/>
    </row>
    <row r="22" spans="1:11" s="472" customFormat="1" ht="19.5" customHeight="1" hidden="1">
      <c r="A22" s="752"/>
      <c r="B22" s="474" t="s">
        <v>420</v>
      </c>
      <c r="C22" s="752"/>
      <c r="D22" s="196">
        <f t="shared" si="0"/>
        <v>98.69999999999999</v>
      </c>
      <c r="E22" s="196">
        <v>29.8</v>
      </c>
      <c r="F22" s="196">
        <v>32.8</v>
      </c>
      <c r="G22" s="196">
        <v>36.1</v>
      </c>
      <c r="H22" s="475"/>
      <c r="I22" s="475"/>
      <c r="J22" s="475"/>
      <c r="K22" s="758"/>
    </row>
    <row r="23" spans="1:11" s="472" customFormat="1" ht="19.5" customHeight="1" hidden="1">
      <c r="A23" s="516" t="s">
        <v>162</v>
      </c>
      <c r="B23" s="517" t="s">
        <v>534</v>
      </c>
      <c r="C23" s="759" t="s">
        <v>418</v>
      </c>
      <c r="D23" s="483">
        <f t="shared" si="0"/>
        <v>639.5999999999999</v>
      </c>
      <c r="E23" s="483">
        <v>200</v>
      </c>
      <c r="F23" s="483">
        <v>213.4</v>
      </c>
      <c r="G23" s="483">
        <v>226.2</v>
      </c>
      <c r="H23" s="475"/>
      <c r="I23" s="475"/>
      <c r="J23" s="475"/>
      <c r="K23" s="508"/>
    </row>
    <row r="24" spans="1:11" s="472" customFormat="1" ht="19.5" customHeight="1" hidden="1">
      <c r="A24" s="516" t="s">
        <v>169</v>
      </c>
      <c r="B24" s="517" t="s">
        <v>535</v>
      </c>
      <c r="C24" s="760"/>
      <c r="D24" s="483">
        <f t="shared" si="0"/>
        <v>319.79999999999995</v>
      </c>
      <c r="E24" s="483">
        <v>100</v>
      </c>
      <c r="F24" s="483">
        <v>106.7</v>
      </c>
      <c r="G24" s="483">
        <v>113.1</v>
      </c>
      <c r="H24" s="475"/>
      <c r="I24" s="475"/>
      <c r="J24" s="475"/>
      <c r="K24" s="508"/>
    </row>
    <row r="25" spans="1:11" s="472" customFormat="1" ht="19.5" customHeight="1" hidden="1">
      <c r="A25" s="516" t="s">
        <v>170</v>
      </c>
      <c r="B25" s="517" t="s">
        <v>536</v>
      </c>
      <c r="C25" s="760"/>
      <c r="D25" s="483">
        <f t="shared" si="0"/>
        <v>639.5999999999999</v>
      </c>
      <c r="E25" s="483">
        <v>200</v>
      </c>
      <c r="F25" s="483">
        <v>213.4</v>
      </c>
      <c r="G25" s="483">
        <v>226.2</v>
      </c>
      <c r="H25" s="475"/>
      <c r="I25" s="475"/>
      <c r="J25" s="475"/>
      <c r="K25" s="508"/>
    </row>
    <row r="26" spans="1:11" s="472" customFormat="1" ht="19.5" customHeight="1" hidden="1">
      <c r="A26" s="516" t="s">
        <v>171</v>
      </c>
      <c r="B26" s="517" t="s">
        <v>537</v>
      </c>
      <c r="C26" s="761"/>
      <c r="D26" s="483">
        <f t="shared" si="0"/>
        <v>639.5999999999999</v>
      </c>
      <c r="E26" s="483">
        <v>200</v>
      </c>
      <c r="F26" s="483">
        <v>213.4</v>
      </c>
      <c r="G26" s="483">
        <v>226.2</v>
      </c>
      <c r="H26" s="475"/>
      <c r="I26" s="475"/>
      <c r="J26" s="475"/>
      <c r="K26" s="508"/>
    </row>
    <row r="27" spans="1:13" s="470" customFormat="1" ht="101.25" customHeight="1">
      <c r="A27" s="752">
        <v>2</v>
      </c>
      <c r="B27" s="667" t="s">
        <v>561</v>
      </c>
      <c r="C27" s="752" t="s">
        <v>418</v>
      </c>
      <c r="D27" s="196">
        <f aca="true" t="shared" si="1" ref="D27:D60">E27+F27+G27</f>
        <v>26104.2</v>
      </c>
      <c r="E27" s="196">
        <f>9140+360-5300</f>
        <v>4200</v>
      </c>
      <c r="F27" s="196">
        <f>10053.4+384.1</f>
        <v>10437.5</v>
      </c>
      <c r="G27" s="196">
        <f>11059.5+407.2</f>
        <v>11466.7</v>
      </c>
      <c r="H27" s="473" t="e">
        <f>H28+H29+#REF!+H30</f>
        <v>#REF!</v>
      </c>
      <c r="I27" s="473" t="e">
        <f>I28+I29+#REF!+I30</f>
        <v>#REF!</v>
      </c>
      <c r="J27" s="473" t="e">
        <f>J28+J29+#REF!+J30</f>
        <v>#REF!</v>
      </c>
      <c r="K27" s="756" t="s">
        <v>161</v>
      </c>
      <c r="M27" s="470" t="s">
        <v>495</v>
      </c>
    </row>
    <row r="28" spans="1:11" s="472" customFormat="1" ht="33.75" customHeight="1" hidden="1">
      <c r="A28" s="752"/>
      <c r="B28" s="476" t="s">
        <v>279</v>
      </c>
      <c r="C28" s="752"/>
      <c r="D28" s="196">
        <f t="shared" si="1"/>
        <v>12933</v>
      </c>
      <c r="E28" s="196">
        <v>3907.2</v>
      </c>
      <c r="F28" s="196">
        <v>4298</v>
      </c>
      <c r="G28" s="196">
        <v>4727.8</v>
      </c>
      <c r="H28" s="475"/>
      <c r="I28" s="475"/>
      <c r="J28" s="475"/>
      <c r="K28" s="757"/>
    </row>
    <row r="29" spans="1:11" s="472" customFormat="1" ht="19.5" customHeight="1" hidden="1">
      <c r="A29" s="752"/>
      <c r="B29" s="474" t="s">
        <v>51</v>
      </c>
      <c r="C29" s="752"/>
      <c r="D29" s="196">
        <f t="shared" si="1"/>
        <v>12596.5</v>
      </c>
      <c r="E29" s="196">
        <v>3805.6</v>
      </c>
      <c r="F29" s="196">
        <v>4186.1</v>
      </c>
      <c r="G29" s="196">
        <v>4604.8</v>
      </c>
      <c r="H29" s="475"/>
      <c r="I29" s="475"/>
      <c r="J29" s="475"/>
      <c r="K29" s="757"/>
    </row>
    <row r="30" spans="1:11" s="472" customFormat="1" ht="20.25" customHeight="1" hidden="1">
      <c r="A30" s="752"/>
      <c r="B30" s="474" t="s">
        <v>52</v>
      </c>
      <c r="C30" s="752"/>
      <c r="D30" s="196">
        <f t="shared" si="1"/>
        <v>4723.4</v>
      </c>
      <c r="E30" s="196">
        <v>1427.2</v>
      </c>
      <c r="F30" s="196">
        <v>1569.3</v>
      </c>
      <c r="G30" s="196">
        <v>1726.9</v>
      </c>
      <c r="H30" s="475"/>
      <c r="I30" s="475"/>
      <c r="J30" s="475"/>
      <c r="K30" s="758"/>
    </row>
    <row r="31" spans="1:11" s="472" customFormat="1" ht="15" customHeight="1" hidden="1">
      <c r="A31" s="477"/>
      <c r="B31" s="474" t="s">
        <v>53</v>
      </c>
      <c r="C31" s="666" t="s">
        <v>14</v>
      </c>
      <c r="D31" s="196">
        <f t="shared" si="1"/>
        <v>0</v>
      </c>
      <c r="E31" s="196"/>
      <c r="F31" s="196"/>
      <c r="G31" s="380"/>
      <c r="H31" s="478"/>
      <c r="I31" s="475"/>
      <c r="J31" s="475"/>
      <c r="K31" s="184" t="s">
        <v>54</v>
      </c>
    </row>
    <row r="32" spans="1:11" s="472" customFormat="1" ht="15" customHeight="1" hidden="1">
      <c r="A32" s="477"/>
      <c r="B32" s="474" t="s">
        <v>55</v>
      </c>
      <c r="C32" s="666" t="s">
        <v>14</v>
      </c>
      <c r="D32" s="196">
        <f t="shared" si="1"/>
        <v>0</v>
      </c>
      <c r="E32" s="196">
        <v>0</v>
      </c>
      <c r="F32" s="196">
        <v>0</v>
      </c>
      <c r="G32" s="380">
        <v>0</v>
      </c>
      <c r="H32" s="479"/>
      <c r="I32" s="479"/>
      <c r="J32" s="479"/>
      <c r="K32" s="184" t="s">
        <v>54</v>
      </c>
    </row>
    <row r="33" spans="1:11" s="470" customFormat="1" ht="114" customHeight="1">
      <c r="A33" s="752">
        <v>3</v>
      </c>
      <c r="B33" s="667" t="s">
        <v>559</v>
      </c>
      <c r="C33" s="752" t="s">
        <v>418</v>
      </c>
      <c r="D33" s="196">
        <f t="shared" si="1"/>
        <v>19937.5</v>
      </c>
      <c r="E33" s="196">
        <f>5755+895</f>
        <v>6650</v>
      </c>
      <c r="F33" s="196">
        <v>6328.6</v>
      </c>
      <c r="G33" s="196">
        <v>6958.9</v>
      </c>
      <c r="H33" s="473">
        <f>H34+H35+H36</f>
        <v>0</v>
      </c>
      <c r="I33" s="473">
        <f>I34+I35+I36</f>
        <v>0</v>
      </c>
      <c r="J33" s="473">
        <f>J34+J35+J36</f>
        <v>0</v>
      </c>
      <c r="K33" s="752" t="s">
        <v>161</v>
      </c>
    </row>
    <row r="34" spans="1:11" ht="53.25" customHeight="1" hidden="1">
      <c r="A34" s="752"/>
      <c r="B34" s="474" t="s">
        <v>440</v>
      </c>
      <c r="C34" s="752"/>
      <c r="D34" s="196">
        <f t="shared" si="1"/>
        <v>14088.8</v>
      </c>
      <c r="E34" s="196">
        <f>1752.1+2504.3</f>
        <v>4256.4</v>
      </c>
      <c r="F34" s="196">
        <f>1927.3+2754.8</f>
        <v>4682.1</v>
      </c>
      <c r="G34" s="196">
        <f>2120+3030.3</f>
        <v>5150.3</v>
      </c>
      <c r="H34" s="475"/>
      <c r="I34" s="475"/>
      <c r="J34" s="475"/>
      <c r="K34" s="752"/>
    </row>
    <row r="35" spans="1:11" ht="19.5" customHeight="1" hidden="1">
      <c r="A35" s="752"/>
      <c r="B35" s="474" t="s">
        <v>56</v>
      </c>
      <c r="C35" s="752"/>
      <c r="D35" s="196">
        <f t="shared" si="1"/>
        <v>0</v>
      </c>
      <c r="E35" s="196"/>
      <c r="F35" s="196"/>
      <c r="G35" s="196"/>
      <c r="H35" s="475"/>
      <c r="I35" s="475"/>
      <c r="J35" s="475"/>
      <c r="K35" s="752"/>
    </row>
    <row r="36" spans="1:11" ht="24.75" customHeight="1" hidden="1">
      <c r="A36" s="752"/>
      <c r="B36" s="474" t="s">
        <v>57</v>
      </c>
      <c r="C36" s="752"/>
      <c r="D36" s="196">
        <f t="shared" si="1"/>
        <v>248.3</v>
      </c>
      <c r="E36" s="196">
        <f>75</f>
        <v>75</v>
      </c>
      <c r="F36" s="196">
        <v>82.5</v>
      </c>
      <c r="G36" s="196">
        <v>90.8</v>
      </c>
      <c r="H36" s="475"/>
      <c r="I36" s="475"/>
      <c r="J36" s="475"/>
      <c r="K36" s="752"/>
    </row>
    <row r="37" spans="1:11" ht="2.25" customHeight="1" hidden="1">
      <c r="A37" s="752"/>
      <c r="B37" s="474" t="s">
        <v>58</v>
      </c>
      <c r="C37" s="752"/>
      <c r="D37" s="196">
        <f t="shared" si="1"/>
        <v>0</v>
      </c>
      <c r="E37" s="196"/>
      <c r="F37" s="196"/>
      <c r="G37" s="196"/>
      <c r="H37" s="475"/>
      <c r="I37" s="475"/>
      <c r="J37" s="475"/>
      <c r="K37" s="752"/>
    </row>
    <row r="38" spans="1:11" ht="19.5" customHeight="1" hidden="1">
      <c r="A38" s="752"/>
      <c r="B38" s="474" t="s">
        <v>59</v>
      </c>
      <c r="C38" s="752"/>
      <c r="D38" s="196">
        <f t="shared" si="1"/>
        <v>339</v>
      </c>
      <c r="E38" s="196">
        <v>102.4</v>
      </c>
      <c r="F38" s="196">
        <v>112.7</v>
      </c>
      <c r="G38" s="196">
        <v>123.9</v>
      </c>
      <c r="H38" s="475"/>
      <c r="I38" s="475"/>
      <c r="J38" s="475"/>
      <c r="K38" s="752"/>
    </row>
    <row r="39" spans="1:11" ht="19.5" customHeight="1" hidden="1">
      <c r="A39" s="752"/>
      <c r="B39" s="474" t="s">
        <v>280</v>
      </c>
      <c r="C39" s="752"/>
      <c r="D39" s="196">
        <f t="shared" si="1"/>
        <v>397.2</v>
      </c>
      <c r="E39" s="196">
        <v>120</v>
      </c>
      <c r="F39" s="196">
        <v>132</v>
      </c>
      <c r="G39" s="196">
        <v>145.2</v>
      </c>
      <c r="H39" s="475"/>
      <c r="I39" s="475"/>
      <c r="J39" s="475"/>
      <c r="K39" s="752"/>
    </row>
    <row r="40" spans="1:11" ht="36" customHeight="1" hidden="1">
      <c r="A40" s="752"/>
      <c r="B40" s="474" t="s">
        <v>281</v>
      </c>
      <c r="C40" s="752"/>
      <c r="D40" s="196">
        <f t="shared" si="1"/>
        <v>3813.8999999999996</v>
      </c>
      <c r="E40" s="196">
        <v>1152.2</v>
      </c>
      <c r="F40" s="196">
        <v>1267.5</v>
      </c>
      <c r="G40" s="196">
        <v>1394.2</v>
      </c>
      <c r="H40" s="475"/>
      <c r="I40" s="475"/>
      <c r="J40" s="475"/>
      <c r="K40" s="752"/>
    </row>
    <row r="41" spans="1:11" ht="30" customHeight="1" hidden="1">
      <c r="A41" s="752"/>
      <c r="B41" s="474" t="s">
        <v>423</v>
      </c>
      <c r="C41" s="752"/>
      <c r="D41" s="196">
        <f t="shared" si="1"/>
        <v>155.3</v>
      </c>
      <c r="E41" s="196">
        <v>49</v>
      </c>
      <c r="F41" s="196">
        <v>51.8</v>
      </c>
      <c r="G41" s="196">
        <v>54.5</v>
      </c>
      <c r="H41" s="475"/>
      <c r="I41" s="475"/>
      <c r="J41" s="475"/>
      <c r="K41" s="752"/>
    </row>
    <row r="42" spans="1:11" ht="30.75" customHeight="1" hidden="1">
      <c r="A42" s="754">
        <v>4</v>
      </c>
      <c r="B42" s="755" t="s">
        <v>283</v>
      </c>
      <c r="C42" s="666" t="s">
        <v>14</v>
      </c>
      <c r="D42" s="196">
        <f t="shared" si="1"/>
        <v>0</v>
      </c>
      <c r="E42" s="196"/>
      <c r="F42" s="196"/>
      <c r="G42" s="196"/>
      <c r="H42" s="475"/>
      <c r="I42" s="475"/>
      <c r="J42" s="475"/>
      <c r="K42" s="756" t="s">
        <v>47</v>
      </c>
    </row>
    <row r="43" spans="1:11" ht="25.5" customHeight="1" hidden="1">
      <c r="A43" s="754"/>
      <c r="B43" s="755"/>
      <c r="C43" s="666" t="s">
        <v>296</v>
      </c>
      <c r="D43" s="196">
        <f t="shared" si="1"/>
        <v>0</v>
      </c>
      <c r="E43" s="196"/>
      <c r="F43" s="196"/>
      <c r="G43" s="196"/>
      <c r="H43" s="475"/>
      <c r="I43" s="475"/>
      <c r="J43" s="475"/>
      <c r="K43" s="758"/>
    </row>
    <row r="44" spans="1:11" ht="24" customHeight="1" hidden="1">
      <c r="A44" s="752">
        <v>5</v>
      </c>
      <c r="B44" s="668" t="s">
        <v>60</v>
      </c>
      <c r="C44" s="752" t="s">
        <v>297</v>
      </c>
      <c r="D44" s="196">
        <f t="shared" si="1"/>
        <v>0</v>
      </c>
      <c r="E44" s="196">
        <f>E45+E46+E47+E48+E49+E50</f>
        <v>0</v>
      </c>
      <c r="F44" s="196">
        <f>F45+F46+F47+F48+F49+F50</f>
        <v>0</v>
      </c>
      <c r="G44" s="196">
        <f>G45+G46+G47+G48+G49+G50</f>
        <v>0</v>
      </c>
      <c r="H44" s="473" t="e">
        <f>H45+H46+H47+H48+H49+#REF!+H50+#REF!+#REF!+#REF!</f>
        <v>#REF!</v>
      </c>
      <c r="I44" s="473" t="e">
        <f>I45+I46+I47+I48+I49+#REF!+I50+#REF!+#REF!+#REF!</f>
        <v>#REF!</v>
      </c>
      <c r="J44" s="473" t="e">
        <f>J45+J46+J47+J48+J49+#REF!+J50+#REF!+#REF!+#REF!</f>
        <v>#REF!</v>
      </c>
      <c r="K44" s="756" t="s">
        <v>161</v>
      </c>
    </row>
    <row r="45" spans="1:11" ht="33.75" customHeight="1" hidden="1">
      <c r="A45" s="752"/>
      <c r="B45" s="667" t="s">
        <v>61</v>
      </c>
      <c r="C45" s="752"/>
      <c r="D45" s="196">
        <f t="shared" si="1"/>
        <v>0</v>
      </c>
      <c r="E45" s="196"/>
      <c r="F45" s="196"/>
      <c r="G45" s="196"/>
      <c r="H45" s="475"/>
      <c r="I45" s="475"/>
      <c r="J45" s="475"/>
      <c r="K45" s="757"/>
    </row>
    <row r="46" spans="1:11" ht="20.25" customHeight="1" hidden="1">
      <c r="A46" s="752"/>
      <c r="B46" s="667" t="s">
        <v>48</v>
      </c>
      <c r="C46" s="752"/>
      <c r="D46" s="196">
        <f t="shared" si="1"/>
        <v>0</v>
      </c>
      <c r="E46" s="196"/>
      <c r="F46" s="196"/>
      <c r="G46" s="196"/>
      <c r="H46" s="475"/>
      <c r="I46" s="475"/>
      <c r="J46" s="475"/>
      <c r="K46" s="757"/>
    </row>
    <row r="47" spans="1:11" ht="20.25" customHeight="1" hidden="1">
      <c r="A47" s="752"/>
      <c r="B47" s="667" t="s">
        <v>49</v>
      </c>
      <c r="C47" s="752"/>
      <c r="D47" s="196">
        <f t="shared" si="1"/>
        <v>0</v>
      </c>
      <c r="E47" s="196"/>
      <c r="F47" s="196"/>
      <c r="G47" s="196"/>
      <c r="H47" s="475"/>
      <c r="I47" s="475"/>
      <c r="J47" s="475"/>
      <c r="K47" s="757"/>
    </row>
    <row r="48" spans="1:11" ht="22.5" customHeight="1" hidden="1">
      <c r="A48" s="752"/>
      <c r="B48" s="667" t="s">
        <v>62</v>
      </c>
      <c r="C48" s="752"/>
      <c r="D48" s="196">
        <f t="shared" si="1"/>
        <v>0</v>
      </c>
      <c r="E48" s="196"/>
      <c r="F48" s="196"/>
      <c r="G48" s="196"/>
      <c r="H48" s="475"/>
      <c r="I48" s="475"/>
      <c r="J48" s="475"/>
      <c r="K48" s="757"/>
    </row>
    <row r="49" spans="1:11" ht="20.25" customHeight="1" hidden="1">
      <c r="A49" s="752"/>
      <c r="B49" s="667" t="s">
        <v>51</v>
      </c>
      <c r="C49" s="752"/>
      <c r="D49" s="196">
        <f t="shared" si="1"/>
        <v>0</v>
      </c>
      <c r="E49" s="196"/>
      <c r="F49" s="196"/>
      <c r="G49" s="196"/>
      <c r="H49" s="475"/>
      <c r="I49" s="475"/>
      <c r="J49" s="475"/>
      <c r="K49" s="757"/>
    </row>
    <row r="50" spans="1:11" ht="18.75" customHeight="1" hidden="1">
      <c r="A50" s="752"/>
      <c r="B50" s="667" t="s">
        <v>63</v>
      </c>
      <c r="C50" s="752"/>
      <c r="D50" s="196">
        <f t="shared" si="1"/>
        <v>0</v>
      </c>
      <c r="E50" s="196"/>
      <c r="F50" s="196"/>
      <c r="G50" s="196"/>
      <c r="H50" s="475"/>
      <c r="I50" s="475"/>
      <c r="J50" s="475"/>
      <c r="K50" s="757"/>
    </row>
    <row r="51" spans="1:11" ht="18.75" customHeight="1" hidden="1">
      <c r="A51" s="516" t="s">
        <v>256</v>
      </c>
      <c r="B51" s="517" t="s">
        <v>534</v>
      </c>
      <c r="C51" s="759" t="s">
        <v>418</v>
      </c>
      <c r="D51" s="483">
        <f t="shared" si="1"/>
        <v>160</v>
      </c>
      <c r="E51" s="483">
        <v>50</v>
      </c>
      <c r="F51" s="483">
        <v>53.4</v>
      </c>
      <c r="G51" s="483">
        <v>56.6</v>
      </c>
      <c r="H51" s="475"/>
      <c r="I51" s="475"/>
      <c r="J51" s="475"/>
      <c r="K51" s="757"/>
    </row>
    <row r="52" spans="1:11" ht="18.75" customHeight="1" hidden="1">
      <c r="A52" s="516" t="s">
        <v>285</v>
      </c>
      <c r="B52" s="517" t="s">
        <v>535</v>
      </c>
      <c r="C52" s="760"/>
      <c r="D52" s="483">
        <f t="shared" si="1"/>
        <v>160</v>
      </c>
      <c r="E52" s="483">
        <v>50</v>
      </c>
      <c r="F52" s="483">
        <v>53.4</v>
      </c>
      <c r="G52" s="483">
        <v>56.6</v>
      </c>
      <c r="H52" s="475"/>
      <c r="I52" s="475"/>
      <c r="J52" s="475"/>
      <c r="K52" s="757"/>
    </row>
    <row r="53" spans="1:11" ht="18.75" customHeight="1" hidden="1">
      <c r="A53" s="516" t="s">
        <v>325</v>
      </c>
      <c r="B53" s="517" t="s">
        <v>536</v>
      </c>
      <c r="C53" s="760"/>
      <c r="D53" s="483">
        <f t="shared" si="1"/>
        <v>160</v>
      </c>
      <c r="E53" s="483">
        <v>50</v>
      </c>
      <c r="F53" s="483">
        <v>53.4</v>
      </c>
      <c r="G53" s="483">
        <v>56.6</v>
      </c>
      <c r="H53" s="475"/>
      <c r="I53" s="475"/>
      <c r="J53" s="475"/>
      <c r="K53" s="757"/>
    </row>
    <row r="54" spans="1:11" ht="18.75" customHeight="1" hidden="1">
      <c r="A54" s="516" t="s">
        <v>326</v>
      </c>
      <c r="B54" s="517" t="s">
        <v>537</v>
      </c>
      <c r="C54" s="761"/>
      <c r="D54" s="483">
        <f t="shared" si="1"/>
        <v>160</v>
      </c>
      <c r="E54" s="483">
        <v>50</v>
      </c>
      <c r="F54" s="483">
        <v>53.4</v>
      </c>
      <c r="G54" s="483">
        <v>56.6</v>
      </c>
      <c r="H54" s="475"/>
      <c r="I54" s="475"/>
      <c r="J54" s="475"/>
      <c r="K54" s="757"/>
    </row>
    <row r="55" spans="1:11" s="470" customFormat="1" ht="36" customHeight="1">
      <c r="A55" s="184">
        <v>4</v>
      </c>
      <c r="B55" s="667" t="s">
        <v>568</v>
      </c>
      <c r="C55" s="666" t="s">
        <v>418</v>
      </c>
      <c r="D55" s="196">
        <f t="shared" si="1"/>
        <v>3965</v>
      </c>
      <c r="E55" s="196">
        <f>1500-260-740</f>
        <v>500</v>
      </c>
      <c r="F55" s="196">
        <v>1650</v>
      </c>
      <c r="G55" s="196">
        <v>1815</v>
      </c>
      <c r="H55" s="473"/>
      <c r="I55" s="473"/>
      <c r="J55" s="473"/>
      <c r="K55" s="757"/>
    </row>
    <row r="56" spans="1:11" s="470" customFormat="1" ht="63" customHeight="1">
      <c r="A56" s="477">
        <v>5</v>
      </c>
      <c r="B56" s="667" t="s">
        <v>439</v>
      </c>
      <c r="C56" s="666" t="s">
        <v>418</v>
      </c>
      <c r="D56" s="196">
        <f t="shared" si="1"/>
        <v>10264.099999999999</v>
      </c>
      <c r="E56" s="196">
        <f>3447.7-1147.7</f>
        <v>2300</v>
      </c>
      <c r="F56" s="196">
        <v>3792.4</v>
      </c>
      <c r="G56" s="196">
        <v>4171.7</v>
      </c>
      <c r="H56" s="473"/>
      <c r="I56" s="473"/>
      <c r="J56" s="473"/>
      <c r="K56" s="757"/>
    </row>
    <row r="57" spans="1:11" ht="51" customHeight="1" hidden="1">
      <c r="A57" s="754">
        <v>8</v>
      </c>
      <c r="B57" s="752" t="s">
        <v>64</v>
      </c>
      <c r="C57" s="666" t="s">
        <v>418</v>
      </c>
      <c r="D57" s="196">
        <f t="shared" si="1"/>
        <v>0</v>
      </c>
      <c r="E57" s="196"/>
      <c r="F57" s="196"/>
      <c r="G57" s="196"/>
      <c r="H57" s="475"/>
      <c r="I57" s="475"/>
      <c r="J57" s="475"/>
      <c r="K57" s="757"/>
    </row>
    <row r="58" spans="1:11" ht="18.75" customHeight="1" hidden="1">
      <c r="A58" s="754"/>
      <c r="B58" s="752"/>
      <c r="C58" s="666" t="s">
        <v>418</v>
      </c>
      <c r="D58" s="196">
        <f t="shared" si="1"/>
        <v>0</v>
      </c>
      <c r="E58" s="196"/>
      <c r="F58" s="196"/>
      <c r="G58" s="196"/>
      <c r="H58" s="475"/>
      <c r="I58" s="475"/>
      <c r="J58" s="475"/>
      <c r="K58" s="757"/>
    </row>
    <row r="59" spans="1:11" s="472" customFormat="1" ht="28.5" customHeight="1">
      <c r="A59" s="477">
        <v>6</v>
      </c>
      <c r="B59" s="667" t="s">
        <v>441</v>
      </c>
      <c r="C59" s="666" t="s">
        <v>418</v>
      </c>
      <c r="D59" s="196">
        <f t="shared" si="1"/>
        <v>1361.3000000000002</v>
      </c>
      <c r="E59" s="196">
        <f>481.1-231.1</f>
        <v>250.00000000000003</v>
      </c>
      <c r="F59" s="196">
        <v>529.2</v>
      </c>
      <c r="G59" s="196">
        <v>582.1</v>
      </c>
      <c r="H59" s="475"/>
      <c r="I59" s="475"/>
      <c r="J59" s="475"/>
      <c r="K59" s="758"/>
    </row>
    <row r="60" spans="1:11" s="472" customFormat="1" ht="32.25" customHeight="1">
      <c r="A60" s="754">
        <v>7</v>
      </c>
      <c r="B60" s="753" t="s">
        <v>157</v>
      </c>
      <c r="C60" s="666" t="s">
        <v>156</v>
      </c>
      <c r="D60" s="196">
        <f t="shared" si="1"/>
        <v>1770.3000000000002</v>
      </c>
      <c r="E60" s="196">
        <f>E61</f>
        <v>160</v>
      </c>
      <c r="F60" s="196">
        <f>F61</f>
        <v>781.7</v>
      </c>
      <c r="G60" s="196">
        <f>G61</f>
        <v>828.6</v>
      </c>
      <c r="H60" s="475"/>
      <c r="I60" s="475"/>
      <c r="J60" s="475"/>
      <c r="K60" s="756" t="s">
        <v>161</v>
      </c>
    </row>
    <row r="61" spans="1:11" s="472" customFormat="1" ht="33" customHeight="1">
      <c r="A61" s="754"/>
      <c r="B61" s="753"/>
      <c r="C61" s="666" t="s">
        <v>418</v>
      </c>
      <c r="D61" s="196">
        <f aca="true" t="shared" si="2" ref="D61:D74">E61+F61+G61</f>
        <v>1770.3000000000002</v>
      </c>
      <c r="E61" s="196">
        <f>732.6-572.6</f>
        <v>160</v>
      </c>
      <c r="F61" s="196">
        <v>781.7</v>
      </c>
      <c r="G61" s="196">
        <v>828.6</v>
      </c>
      <c r="H61" s="475"/>
      <c r="I61" s="475"/>
      <c r="J61" s="475"/>
      <c r="K61" s="757"/>
    </row>
    <row r="62" spans="1:11" ht="56.25" customHeight="1" hidden="1">
      <c r="A62" s="754">
        <v>10</v>
      </c>
      <c r="B62" s="752" t="s">
        <v>284</v>
      </c>
      <c r="C62" s="666" t="s">
        <v>14</v>
      </c>
      <c r="D62" s="196">
        <f t="shared" si="2"/>
        <v>0</v>
      </c>
      <c r="E62" s="196"/>
      <c r="F62" s="196"/>
      <c r="G62" s="196"/>
      <c r="H62" s="475"/>
      <c r="I62" s="475"/>
      <c r="J62" s="475"/>
      <c r="K62" s="756" t="s">
        <v>65</v>
      </c>
    </row>
    <row r="63" spans="1:11" ht="18.75" hidden="1">
      <c r="A63" s="754"/>
      <c r="B63" s="752"/>
      <c r="C63" s="666" t="s">
        <v>296</v>
      </c>
      <c r="D63" s="196">
        <f t="shared" si="2"/>
        <v>0</v>
      </c>
      <c r="E63" s="196"/>
      <c r="F63" s="196"/>
      <c r="G63" s="196"/>
      <c r="H63" s="475"/>
      <c r="I63" s="475"/>
      <c r="J63" s="475"/>
      <c r="K63" s="758"/>
    </row>
    <row r="64" spans="1:11" s="470" customFormat="1" ht="23.25" customHeight="1">
      <c r="A64" s="752">
        <v>8</v>
      </c>
      <c r="B64" s="667" t="s">
        <v>66</v>
      </c>
      <c r="C64" s="752" t="s">
        <v>418</v>
      </c>
      <c r="D64" s="196">
        <f t="shared" si="2"/>
        <v>1595.1999999999998</v>
      </c>
      <c r="E64" s="196">
        <f>E65+E66+E67+E68+E69+E71</f>
        <v>529.2</v>
      </c>
      <c r="F64" s="196">
        <f>F65+F66+F67+F69+F71</f>
        <v>518.3000000000001</v>
      </c>
      <c r="G64" s="196">
        <f>G65+G66+G67+G69+G71</f>
        <v>547.6999999999999</v>
      </c>
      <c r="H64" s="473"/>
      <c r="I64" s="473"/>
      <c r="J64" s="473"/>
      <c r="K64" s="756" t="s">
        <v>67</v>
      </c>
    </row>
    <row r="65" spans="1:11" ht="21.75" customHeight="1">
      <c r="A65" s="752"/>
      <c r="B65" s="482" t="s">
        <v>68</v>
      </c>
      <c r="C65" s="752"/>
      <c r="D65" s="483">
        <f t="shared" si="2"/>
        <v>633.0999999999999</v>
      </c>
      <c r="E65" s="483">
        <f>220.3-90.3</f>
        <v>130</v>
      </c>
      <c r="F65" s="483">
        <v>244.2</v>
      </c>
      <c r="G65" s="483">
        <v>258.9</v>
      </c>
      <c r="H65" s="475"/>
      <c r="I65" s="475"/>
      <c r="J65" s="475"/>
      <c r="K65" s="757"/>
    </row>
    <row r="66" spans="1:11" ht="21.75" customHeight="1">
      <c r="A66" s="752"/>
      <c r="B66" s="482" t="s">
        <v>421</v>
      </c>
      <c r="C66" s="752"/>
      <c r="D66" s="483">
        <f t="shared" si="2"/>
        <v>331.3</v>
      </c>
      <c r="E66" s="483">
        <f>105.1-16.9</f>
        <v>88.19999999999999</v>
      </c>
      <c r="F66" s="483">
        <v>117.4</v>
      </c>
      <c r="G66" s="483">
        <v>125.7</v>
      </c>
      <c r="H66" s="475"/>
      <c r="I66" s="475"/>
      <c r="J66" s="475"/>
      <c r="K66" s="757"/>
    </row>
    <row r="67" spans="1:11" ht="36" customHeight="1">
      <c r="A67" s="752"/>
      <c r="B67" s="482" t="s">
        <v>512</v>
      </c>
      <c r="C67" s="752"/>
      <c r="D67" s="483">
        <f t="shared" si="2"/>
        <v>265.9</v>
      </c>
      <c r="E67" s="483">
        <f>30+170</f>
        <v>200</v>
      </c>
      <c r="F67" s="483">
        <v>32</v>
      </c>
      <c r="G67" s="483">
        <v>33.9</v>
      </c>
      <c r="H67" s="475"/>
      <c r="I67" s="475"/>
      <c r="J67" s="475"/>
      <c r="K67" s="757"/>
    </row>
    <row r="68" spans="1:11" ht="18" customHeight="1">
      <c r="A68" s="752"/>
      <c r="B68" s="395" t="s">
        <v>684</v>
      </c>
      <c r="C68" s="752"/>
      <c r="D68" s="483">
        <f t="shared" si="2"/>
        <v>60</v>
      </c>
      <c r="E68" s="483">
        <f>0+60</f>
        <v>60</v>
      </c>
      <c r="F68" s="483"/>
      <c r="G68" s="483"/>
      <c r="H68" s="475"/>
      <c r="I68" s="475"/>
      <c r="J68" s="475"/>
      <c r="K68" s="757"/>
    </row>
    <row r="69" spans="1:11" ht="18.75">
      <c r="A69" s="752"/>
      <c r="B69" s="482" t="s">
        <v>513</v>
      </c>
      <c r="C69" s="752"/>
      <c r="D69" s="483">
        <f t="shared" si="2"/>
        <v>150</v>
      </c>
      <c r="E69" s="483">
        <v>50</v>
      </c>
      <c r="F69" s="483">
        <v>50</v>
      </c>
      <c r="G69" s="483">
        <v>50</v>
      </c>
      <c r="H69" s="475"/>
      <c r="I69" s="475"/>
      <c r="J69" s="475"/>
      <c r="K69" s="757"/>
    </row>
    <row r="70" spans="1:11" ht="18.75" hidden="1">
      <c r="A70" s="752"/>
      <c r="B70" s="482"/>
      <c r="C70" s="752"/>
      <c r="D70" s="483">
        <f t="shared" si="2"/>
        <v>0</v>
      </c>
      <c r="E70" s="483"/>
      <c r="F70" s="483"/>
      <c r="G70" s="483"/>
      <c r="H70" s="475"/>
      <c r="I70" s="475"/>
      <c r="J70" s="475"/>
      <c r="K70" s="757"/>
    </row>
    <row r="71" spans="1:11" ht="27.75" customHeight="1">
      <c r="A71" s="752"/>
      <c r="B71" s="482" t="s">
        <v>514</v>
      </c>
      <c r="C71" s="752"/>
      <c r="D71" s="483">
        <f t="shared" si="2"/>
        <v>154.9</v>
      </c>
      <c r="E71" s="483">
        <f>70-69</f>
        <v>1</v>
      </c>
      <c r="F71" s="483">
        <v>74.7</v>
      </c>
      <c r="G71" s="483">
        <v>79.2</v>
      </c>
      <c r="H71" s="475"/>
      <c r="I71" s="475"/>
      <c r="J71" s="475"/>
      <c r="K71" s="758"/>
    </row>
    <row r="72" spans="1:11" ht="37.5" customHeight="1" hidden="1">
      <c r="A72" s="752">
        <v>12</v>
      </c>
      <c r="B72" s="752" t="s">
        <v>128</v>
      </c>
      <c r="C72" s="666" t="s">
        <v>14</v>
      </c>
      <c r="D72" s="196">
        <f t="shared" si="2"/>
        <v>0</v>
      </c>
      <c r="E72" s="196"/>
      <c r="F72" s="196"/>
      <c r="G72" s="196"/>
      <c r="H72" s="475"/>
      <c r="I72" s="475"/>
      <c r="J72" s="475"/>
      <c r="K72" s="756" t="s">
        <v>129</v>
      </c>
    </row>
    <row r="73" spans="1:11" ht="21.75" customHeight="1" hidden="1">
      <c r="A73" s="752"/>
      <c r="B73" s="752"/>
      <c r="C73" s="666" t="s">
        <v>296</v>
      </c>
      <c r="D73" s="196">
        <f t="shared" si="2"/>
        <v>0</v>
      </c>
      <c r="E73" s="196"/>
      <c r="F73" s="196"/>
      <c r="G73" s="196"/>
      <c r="H73" s="475"/>
      <c r="I73" s="475"/>
      <c r="J73" s="475"/>
      <c r="K73" s="758"/>
    </row>
    <row r="74" spans="1:11" ht="41.25" customHeight="1">
      <c r="A74" s="184">
        <v>9</v>
      </c>
      <c r="B74" s="667" t="s">
        <v>510</v>
      </c>
      <c r="C74" s="666" t="s">
        <v>418</v>
      </c>
      <c r="D74" s="196">
        <f t="shared" si="2"/>
        <v>323.7</v>
      </c>
      <c r="E74" s="196">
        <f>120-60</f>
        <v>60</v>
      </c>
      <c r="F74" s="196">
        <v>128</v>
      </c>
      <c r="G74" s="196">
        <v>135.7</v>
      </c>
      <c r="H74" s="475"/>
      <c r="I74" s="475"/>
      <c r="J74" s="475"/>
      <c r="K74" s="453" t="s">
        <v>129</v>
      </c>
    </row>
    <row r="75" spans="1:11" s="470" customFormat="1" ht="36" customHeight="1">
      <c r="A75" s="184">
        <v>10</v>
      </c>
      <c r="B75" s="667" t="s">
        <v>130</v>
      </c>
      <c r="C75" s="666" t="s">
        <v>418</v>
      </c>
      <c r="D75" s="196">
        <f aca="true" t="shared" si="3" ref="D75:D84">E75+F75+G75</f>
        <v>2738.5</v>
      </c>
      <c r="E75" s="196">
        <f>973-373</f>
        <v>600</v>
      </c>
      <c r="F75" s="196">
        <v>1038.1</v>
      </c>
      <c r="G75" s="196">
        <v>1100.4</v>
      </c>
      <c r="H75" s="473"/>
      <c r="I75" s="473"/>
      <c r="J75" s="473"/>
      <c r="K75" s="453" t="s">
        <v>129</v>
      </c>
    </row>
    <row r="76" spans="1:11" ht="37.5" hidden="1">
      <c r="A76" s="752">
        <v>14</v>
      </c>
      <c r="B76" s="753" t="s">
        <v>147</v>
      </c>
      <c r="C76" s="666" t="s">
        <v>14</v>
      </c>
      <c r="D76" s="196">
        <f t="shared" si="3"/>
        <v>0</v>
      </c>
      <c r="E76" s="196"/>
      <c r="F76" s="196"/>
      <c r="G76" s="196"/>
      <c r="H76" s="475"/>
      <c r="I76" s="475"/>
      <c r="J76" s="475"/>
      <c r="K76" s="756" t="s">
        <v>129</v>
      </c>
    </row>
    <row r="77" spans="1:11" ht="18.75" hidden="1">
      <c r="A77" s="752"/>
      <c r="B77" s="753"/>
      <c r="C77" s="666" t="s">
        <v>296</v>
      </c>
      <c r="D77" s="196">
        <f t="shared" si="3"/>
        <v>0</v>
      </c>
      <c r="E77" s="196"/>
      <c r="F77" s="196"/>
      <c r="G77" s="196"/>
      <c r="H77" s="475"/>
      <c r="I77" s="475"/>
      <c r="J77" s="475"/>
      <c r="K77" s="758"/>
    </row>
    <row r="78" spans="1:11" ht="37.5" hidden="1">
      <c r="A78" s="184">
        <v>15</v>
      </c>
      <c r="B78" s="143" t="s">
        <v>160</v>
      </c>
      <c r="C78" s="670" t="s">
        <v>14</v>
      </c>
      <c r="D78" s="196">
        <f t="shared" si="3"/>
        <v>0</v>
      </c>
      <c r="E78" s="225"/>
      <c r="F78" s="225"/>
      <c r="G78" s="225"/>
      <c r="H78" s="480"/>
      <c r="I78" s="480"/>
      <c r="J78" s="480"/>
      <c r="K78" s="458" t="s">
        <v>161</v>
      </c>
    </row>
    <row r="79" spans="1:11" s="470" customFormat="1" ht="42" customHeight="1">
      <c r="A79" s="477">
        <v>11</v>
      </c>
      <c r="B79" s="143" t="s">
        <v>209</v>
      </c>
      <c r="C79" s="670" t="s">
        <v>418</v>
      </c>
      <c r="D79" s="196">
        <f t="shared" si="3"/>
        <v>945.7</v>
      </c>
      <c r="E79" s="481">
        <f>430.2-430.2</f>
        <v>0</v>
      </c>
      <c r="F79" s="225">
        <v>459.1</v>
      </c>
      <c r="G79" s="225">
        <v>486.6</v>
      </c>
      <c r="H79" s="468"/>
      <c r="I79" s="468"/>
      <c r="J79" s="468"/>
      <c r="K79" s="452" t="s">
        <v>161</v>
      </c>
    </row>
    <row r="80" spans="1:11" ht="0.75" customHeight="1" hidden="1">
      <c r="A80" s="477">
        <v>18</v>
      </c>
      <c r="B80" s="143" t="s">
        <v>221</v>
      </c>
      <c r="C80" s="670" t="s">
        <v>14</v>
      </c>
      <c r="D80" s="196">
        <f t="shared" si="3"/>
        <v>0</v>
      </c>
      <c r="E80" s="381"/>
      <c r="F80" s="225"/>
      <c r="G80" s="225"/>
      <c r="H80" s="480"/>
      <c r="I80" s="480"/>
      <c r="J80" s="480"/>
      <c r="K80" s="452" t="s">
        <v>161</v>
      </c>
    </row>
    <row r="81" spans="1:11" s="470" customFormat="1" ht="42" customHeight="1">
      <c r="A81" s="477">
        <v>12</v>
      </c>
      <c r="B81" s="143" t="s">
        <v>419</v>
      </c>
      <c r="C81" s="670" t="s">
        <v>418</v>
      </c>
      <c r="D81" s="196">
        <f t="shared" si="3"/>
        <v>2510</v>
      </c>
      <c r="E81" s="481">
        <f>640+260</f>
        <v>900</v>
      </c>
      <c r="F81" s="225">
        <v>760</v>
      </c>
      <c r="G81" s="225">
        <v>850</v>
      </c>
      <c r="H81" s="468"/>
      <c r="I81" s="468"/>
      <c r="J81" s="468"/>
      <c r="K81" s="451" t="s">
        <v>161</v>
      </c>
    </row>
    <row r="82" spans="1:11" s="469" customFormat="1" ht="36" customHeight="1" hidden="1">
      <c r="A82" s="477">
        <v>12</v>
      </c>
      <c r="B82" s="143" t="s">
        <v>422</v>
      </c>
      <c r="C82" s="666" t="s">
        <v>340</v>
      </c>
      <c r="D82" s="196">
        <f t="shared" si="3"/>
        <v>1151.32</v>
      </c>
      <c r="E82" s="481">
        <v>360</v>
      </c>
      <c r="F82" s="225">
        <v>384.12</v>
      </c>
      <c r="G82" s="225">
        <v>407.2</v>
      </c>
      <c r="H82" s="468"/>
      <c r="I82" s="468"/>
      <c r="J82" s="468"/>
      <c r="K82" s="451" t="s">
        <v>161</v>
      </c>
    </row>
    <row r="83" spans="1:14" s="470" customFormat="1" ht="36" customHeight="1">
      <c r="A83" s="477">
        <v>13</v>
      </c>
      <c r="B83" s="143" t="s">
        <v>509</v>
      </c>
      <c r="C83" s="666" t="s">
        <v>340</v>
      </c>
      <c r="D83" s="196">
        <f t="shared" si="3"/>
        <v>2078.8</v>
      </c>
      <c r="E83" s="481">
        <v>650</v>
      </c>
      <c r="F83" s="225">
        <v>693.6</v>
      </c>
      <c r="G83" s="225">
        <v>735.2</v>
      </c>
      <c r="H83" s="468"/>
      <c r="I83" s="468"/>
      <c r="J83" s="468"/>
      <c r="K83" s="451" t="s">
        <v>161</v>
      </c>
      <c r="N83" s="470" t="s">
        <v>496</v>
      </c>
    </row>
    <row r="84" spans="1:14" s="348" customFormat="1" ht="36" customHeight="1">
      <c r="A84" s="390">
        <v>14</v>
      </c>
      <c r="B84" s="143" t="s">
        <v>511</v>
      </c>
      <c r="C84" s="666" t="s">
        <v>340</v>
      </c>
      <c r="D84" s="196">
        <f t="shared" si="3"/>
        <v>37000</v>
      </c>
      <c r="E84" s="481">
        <f>10000+1700+160+50+500+5000+15000-15410</f>
        <v>17000</v>
      </c>
      <c r="F84" s="225">
        <v>10000</v>
      </c>
      <c r="G84" s="225">
        <v>10000</v>
      </c>
      <c r="H84" s="371"/>
      <c r="I84" s="371"/>
      <c r="J84" s="371"/>
      <c r="K84" s="451" t="s">
        <v>161</v>
      </c>
      <c r="N84" s="348" t="s">
        <v>497</v>
      </c>
    </row>
    <row r="85" spans="1:11" ht="35.25" customHeight="1">
      <c r="A85" s="391"/>
      <c r="B85" s="749" t="s">
        <v>4</v>
      </c>
      <c r="C85" s="750"/>
      <c r="D85" s="671">
        <f>E85+F85+G85</f>
        <v>123196.09999999999</v>
      </c>
      <c r="E85" s="671">
        <f>E16+E27+E33+E55+E56+E59+E60+E61+E64+E74+E75+E79+E81+E83+E84</f>
        <v>37514.2</v>
      </c>
      <c r="F85" s="671">
        <f>F16+F27+F33+F55+F56+F59+F60+F61+F64+F74+F75+F79+F81+F83+F84</f>
        <v>41398.7</v>
      </c>
      <c r="G85" s="231">
        <f>G16+G27+G33+G55+G56+G59+G60+G61+G64+G74+G75+G79+G81+G83+G84</f>
        <v>44283.2</v>
      </c>
      <c r="H85" s="231" t="e">
        <f>H16+H27+H33+H42+#REF!+#REF!+#REF!+#REF!+#REF!+#REF!+#REF!+H44+#REF!+#REF!+#REF!</f>
        <v>#REF!</v>
      </c>
      <c r="I85" s="231" t="e">
        <f>I16+I27+I33+I42+#REF!+#REF!+#REF!+#REF!+#REF!+#REF!+#REF!+I44+#REF!+#REF!+#REF!</f>
        <v>#REF!</v>
      </c>
      <c r="J85" s="231" t="e">
        <f>J16+J27+J33+J42+#REF!+#REF!+#REF!+#REF!+#REF!+#REF!+#REF!+J44+#REF!+#REF!+#REF!</f>
        <v>#REF!</v>
      </c>
      <c r="K85" s="232"/>
    </row>
    <row r="86" spans="1:11" ht="15.75" customHeight="1">
      <c r="A86" s="389"/>
      <c r="B86" s="4"/>
      <c r="C86" s="4"/>
      <c r="D86" s="152"/>
      <c r="E86" s="211"/>
      <c r="F86" s="152"/>
      <c r="G86" s="152"/>
      <c r="H86" s="152"/>
      <c r="I86" s="152"/>
      <c r="J86" s="152"/>
      <c r="K86" s="153"/>
    </row>
    <row r="87" spans="1:11" ht="27.75" customHeight="1">
      <c r="A87" s="389"/>
      <c r="B87" s="4"/>
      <c r="C87" s="4"/>
      <c r="D87" s="152"/>
      <c r="E87" s="211"/>
      <c r="F87" s="152"/>
      <c r="G87" s="152"/>
      <c r="H87" s="152"/>
      <c r="I87" s="152"/>
      <c r="J87" s="152"/>
      <c r="K87" s="153"/>
    </row>
    <row r="88" spans="1:13" ht="33" customHeight="1">
      <c r="A88" s="389"/>
      <c r="B88" s="751" t="s">
        <v>15</v>
      </c>
      <c r="C88" s="751"/>
      <c r="D88" s="433"/>
      <c r="E88" s="434"/>
      <c r="F88" s="435"/>
      <c r="G88" s="435"/>
      <c r="H88" s="435"/>
      <c r="I88" s="435"/>
      <c r="J88" s="435"/>
      <c r="K88" s="185" t="s">
        <v>674</v>
      </c>
      <c r="L88" s="154"/>
      <c r="M88" s="154"/>
    </row>
    <row r="89" spans="1:12" ht="18.75">
      <c r="A89" s="389"/>
      <c r="B89" s="274"/>
      <c r="C89" s="47"/>
      <c r="D89" s="392"/>
      <c r="E89" s="275"/>
      <c r="F89" s="276"/>
      <c r="G89" s="276"/>
      <c r="H89" s="276"/>
      <c r="I89" s="276"/>
      <c r="J89" s="276"/>
      <c r="K89" s="47"/>
      <c r="L89" s="1"/>
    </row>
    <row r="90" spans="1:12" ht="18.75">
      <c r="A90" s="389"/>
      <c r="B90" s="694" t="s">
        <v>673</v>
      </c>
      <c r="C90" s="694"/>
      <c r="D90" s="47"/>
      <c r="E90" s="212"/>
      <c r="F90" s="8"/>
      <c r="G90" s="8"/>
      <c r="H90" s="392"/>
      <c r="I90" s="392"/>
      <c r="J90" s="392"/>
      <c r="K90" s="277"/>
      <c r="L90" s="1"/>
    </row>
    <row r="91" spans="2:11" ht="15.75">
      <c r="B91" s="1"/>
      <c r="C91" s="42"/>
      <c r="D91" s="7"/>
      <c r="E91" s="213"/>
      <c r="F91" s="7"/>
      <c r="G91" s="7"/>
      <c r="H91" s="7"/>
      <c r="I91" s="7"/>
      <c r="J91" s="7"/>
      <c r="K91" s="1"/>
    </row>
    <row r="92" spans="2:11" ht="15.75">
      <c r="B92" s="1"/>
      <c r="C92" s="43"/>
      <c r="D92" s="7"/>
      <c r="E92" s="213"/>
      <c r="F92" s="7"/>
      <c r="G92" s="7"/>
      <c r="H92" s="7"/>
      <c r="I92" s="7"/>
      <c r="J92" s="7"/>
      <c r="K92" s="1"/>
    </row>
    <row r="93" spans="2:11" ht="15.75">
      <c r="B93" s="1"/>
      <c r="C93" s="1"/>
      <c r="D93" s="1"/>
      <c r="E93" s="210"/>
      <c r="F93" s="1"/>
      <c r="G93" s="1"/>
      <c r="H93" s="1"/>
      <c r="I93" s="1"/>
      <c r="J93" s="1"/>
      <c r="K93" s="1"/>
    </row>
    <row r="94" spans="2:11" ht="15.75">
      <c r="B94" s="1"/>
      <c r="C94" s="1"/>
      <c r="D94" s="1"/>
      <c r="E94" s="210"/>
      <c r="F94" s="1"/>
      <c r="G94" s="1"/>
      <c r="H94" s="1"/>
      <c r="I94" s="1"/>
      <c r="J94" s="1"/>
      <c r="K94" s="1"/>
    </row>
    <row r="95" spans="2:11" ht="15.75">
      <c r="B95" s="1"/>
      <c r="C95" s="1"/>
      <c r="D95" s="1"/>
      <c r="E95" s="210"/>
      <c r="F95" s="1"/>
      <c r="G95" s="1"/>
      <c r="H95" s="1"/>
      <c r="I95" s="1"/>
      <c r="J95" s="1"/>
      <c r="K95" s="1"/>
    </row>
    <row r="96" spans="2:11" ht="15.75">
      <c r="B96" s="1"/>
      <c r="C96" s="1"/>
      <c r="D96" s="1"/>
      <c r="E96" s="210"/>
      <c r="F96" s="1"/>
      <c r="G96" s="1"/>
      <c r="H96" s="1"/>
      <c r="I96" s="1"/>
      <c r="J96" s="1"/>
      <c r="K96" s="1"/>
    </row>
    <row r="97" spans="2:11" ht="15.75">
      <c r="B97" s="1"/>
      <c r="C97" s="1"/>
      <c r="D97" s="1"/>
      <c r="E97" s="210"/>
      <c r="F97" s="1"/>
      <c r="G97" s="1"/>
      <c r="H97" s="1"/>
      <c r="I97" s="1"/>
      <c r="J97" s="1"/>
      <c r="K97" s="1"/>
    </row>
    <row r="98" spans="2:11" ht="15.75">
      <c r="B98" s="1"/>
      <c r="C98" s="1"/>
      <c r="D98" s="1"/>
      <c r="E98" s="210"/>
      <c r="F98" s="1"/>
      <c r="G98" s="1"/>
      <c r="H98" s="1"/>
      <c r="I98" s="1"/>
      <c r="J98" s="1"/>
      <c r="K98" s="1"/>
    </row>
    <row r="99" spans="2:11" ht="15.75">
      <c r="B99" s="1"/>
      <c r="C99" s="1"/>
      <c r="D99" s="1"/>
      <c r="E99" s="210"/>
      <c r="F99" s="1"/>
      <c r="G99" s="1"/>
      <c r="H99" s="1"/>
      <c r="I99" s="1"/>
      <c r="J99" s="1"/>
      <c r="K99" s="1"/>
    </row>
    <row r="100" spans="2:11" ht="15.75">
      <c r="B100" s="1"/>
      <c r="C100" s="1"/>
      <c r="D100" s="1"/>
      <c r="E100" s="210"/>
      <c r="F100" s="1"/>
      <c r="G100" s="1"/>
      <c r="H100" s="1"/>
      <c r="I100" s="1"/>
      <c r="J100" s="1"/>
      <c r="K100" s="1"/>
    </row>
    <row r="101" spans="2:11" ht="15.75">
      <c r="B101" s="1"/>
      <c r="C101" s="1"/>
      <c r="D101" s="1"/>
      <c r="E101" s="210"/>
      <c r="F101" s="1"/>
      <c r="G101" s="1"/>
      <c r="H101" s="1"/>
      <c r="I101" s="1"/>
      <c r="J101" s="1"/>
      <c r="K101" s="1"/>
    </row>
    <row r="102" spans="2:11" ht="15.75">
      <c r="B102" s="1"/>
      <c r="C102" s="1"/>
      <c r="D102" s="1"/>
      <c r="E102" s="210"/>
      <c r="F102" s="1"/>
      <c r="G102" s="1"/>
      <c r="H102" s="1"/>
      <c r="I102" s="1"/>
      <c r="J102" s="1"/>
      <c r="K102" s="1"/>
    </row>
    <row r="103" spans="2:11" ht="15.75">
      <c r="B103" s="1"/>
      <c r="C103" s="1"/>
      <c r="D103" s="1"/>
      <c r="E103" s="210"/>
      <c r="F103" s="1"/>
      <c r="G103" s="1"/>
      <c r="H103" s="1"/>
      <c r="I103" s="1"/>
      <c r="J103" s="1"/>
      <c r="K103" s="1"/>
    </row>
    <row r="104" spans="2:11" ht="15.75">
      <c r="B104" s="1"/>
      <c r="C104" s="1"/>
      <c r="D104" s="1"/>
      <c r="E104" s="210"/>
      <c r="F104" s="1"/>
      <c r="G104" s="1"/>
      <c r="H104" s="1"/>
      <c r="I104" s="1"/>
      <c r="J104" s="1"/>
      <c r="K104" s="1"/>
    </row>
    <row r="105" spans="2:11" ht="15.75">
      <c r="B105" s="1"/>
      <c r="C105" s="1"/>
      <c r="D105" s="1"/>
      <c r="E105" s="210"/>
      <c r="F105" s="1"/>
      <c r="G105" s="1"/>
      <c r="H105" s="1"/>
      <c r="I105" s="1"/>
      <c r="J105" s="1"/>
      <c r="K105" s="1"/>
    </row>
    <row r="106" spans="2:11" ht="15.75">
      <c r="B106" s="1"/>
      <c r="C106" s="1"/>
      <c r="D106" s="1"/>
      <c r="E106" s="210"/>
      <c r="F106" s="1"/>
      <c r="G106" s="1"/>
      <c r="H106" s="1"/>
      <c r="I106" s="1"/>
      <c r="J106" s="1"/>
      <c r="K106" s="1"/>
    </row>
    <row r="107" spans="2:11" ht="15.75">
      <c r="B107" s="1"/>
      <c r="C107" s="1"/>
      <c r="D107" s="1"/>
      <c r="E107" s="210"/>
      <c r="F107" s="1"/>
      <c r="G107" s="1"/>
      <c r="H107" s="1"/>
      <c r="I107" s="1"/>
      <c r="J107" s="1"/>
      <c r="K107" s="1"/>
    </row>
    <row r="108" spans="2:11" ht="15.75">
      <c r="B108" s="1"/>
      <c r="C108" s="1"/>
      <c r="D108" s="1"/>
      <c r="E108" s="210"/>
      <c r="F108" s="1"/>
      <c r="G108" s="1"/>
      <c r="H108" s="1"/>
      <c r="I108" s="1"/>
      <c r="J108" s="1"/>
      <c r="K108" s="1"/>
    </row>
    <row r="109" spans="2:11" ht="15.75">
      <c r="B109" s="1"/>
      <c r="C109" s="1"/>
      <c r="D109" s="1"/>
      <c r="E109" s="210"/>
      <c r="F109" s="1"/>
      <c r="G109" s="1"/>
      <c r="H109" s="1"/>
      <c r="I109" s="1"/>
      <c r="J109" s="1"/>
      <c r="K109" s="1"/>
    </row>
    <row r="110" spans="2:11" ht="15.75">
      <c r="B110" s="1"/>
      <c r="C110" s="1"/>
      <c r="D110" s="1"/>
      <c r="E110" s="210"/>
      <c r="F110" s="1"/>
      <c r="G110" s="1"/>
      <c r="H110" s="1"/>
      <c r="I110" s="1"/>
      <c r="J110" s="1"/>
      <c r="K110" s="1"/>
    </row>
    <row r="111" spans="2:11" ht="15.75">
      <c r="B111" s="1"/>
      <c r="C111" s="1"/>
      <c r="D111" s="1"/>
      <c r="E111" s="210"/>
      <c r="F111" s="1"/>
      <c r="G111" s="1"/>
      <c r="H111" s="1"/>
      <c r="I111" s="1"/>
      <c r="J111" s="1"/>
      <c r="K111" s="1"/>
    </row>
    <row r="112" spans="2:11" ht="15.75">
      <c r="B112" s="1"/>
      <c r="C112" s="1"/>
      <c r="D112" s="1"/>
      <c r="E112" s="210"/>
      <c r="F112" s="1"/>
      <c r="G112" s="1"/>
      <c r="H112" s="1"/>
      <c r="I112" s="1"/>
      <c r="J112" s="1"/>
      <c r="K112" s="1"/>
    </row>
    <row r="113" spans="2:11" ht="15.75">
      <c r="B113" s="1"/>
      <c r="C113" s="1"/>
      <c r="D113" s="1"/>
      <c r="E113" s="210"/>
      <c r="F113" s="1"/>
      <c r="G113" s="1"/>
      <c r="H113" s="1"/>
      <c r="I113" s="1"/>
      <c r="J113" s="1"/>
      <c r="K113" s="1"/>
    </row>
    <row r="114" spans="2:11" ht="15.75">
      <c r="B114" s="1"/>
      <c r="C114" s="1"/>
      <c r="D114" s="1"/>
      <c r="E114" s="210"/>
      <c r="F114" s="1"/>
      <c r="G114" s="1"/>
      <c r="H114" s="1"/>
      <c r="I114" s="1"/>
      <c r="J114" s="1"/>
      <c r="K114" s="1"/>
    </row>
    <row r="115" spans="2:11" ht="15.75">
      <c r="B115" s="1"/>
      <c r="C115" s="1"/>
      <c r="D115" s="1"/>
      <c r="E115" s="210"/>
      <c r="F115" s="1"/>
      <c r="G115" s="1"/>
      <c r="H115" s="1"/>
      <c r="I115" s="1"/>
      <c r="J115" s="1"/>
      <c r="K115" s="1"/>
    </row>
    <row r="116" spans="2:11" ht="15.75">
      <c r="B116" s="1"/>
      <c r="C116" s="1"/>
      <c r="D116" s="1"/>
      <c r="E116" s="210"/>
      <c r="F116" s="1"/>
      <c r="G116" s="1"/>
      <c r="H116" s="1"/>
      <c r="I116" s="1"/>
      <c r="J116" s="1"/>
      <c r="K116" s="1"/>
    </row>
    <row r="117" spans="2:11" ht="15.75">
      <c r="B117" s="1"/>
      <c r="C117" s="1"/>
      <c r="D117" s="1"/>
      <c r="E117" s="210"/>
      <c r="F117" s="1"/>
      <c r="G117" s="1"/>
      <c r="H117" s="1"/>
      <c r="I117" s="1"/>
      <c r="J117" s="1"/>
      <c r="K117" s="1"/>
    </row>
    <row r="118" spans="2:11" ht="15.75">
      <c r="B118" s="1"/>
      <c r="C118" s="1"/>
      <c r="D118" s="1"/>
      <c r="E118" s="210"/>
      <c r="F118" s="1"/>
      <c r="G118" s="1"/>
      <c r="H118" s="1"/>
      <c r="I118" s="1"/>
      <c r="J118" s="1"/>
      <c r="K118" s="1"/>
    </row>
    <row r="119" spans="2:11" ht="15.75">
      <c r="B119" s="1"/>
      <c r="C119" s="1"/>
      <c r="D119" s="1"/>
      <c r="E119" s="210"/>
      <c r="F119" s="1"/>
      <c r="G119" s="1"/>
      <c r="H119" s="1"/>
      <c r="I119" s="1"/>
      <c r="J119" s="1"/>
      <c r="K119" s="1"/>
    </row>
    <row r="120" spans="2:11" ht="15.75">
      <c r="B120" s="1"/>
      <c r="C120" s="1"/>
      <c r="D120" s="1"/>
      <c r="E120" s="210"/>
      <c r="F120" s="1"/>
      <c r="G120" s="1"/>
      <c r="H120" s="1"/>
      <c r="I120" s="1"/>
      <c r="J120" s="1"/>
      <c r="K120" s="1"/>
    </row>
    <row r="121" spans="2:11" ht="15.75">
      <c r="B121" s="1"/>
      <c r="C121" s="1"/>
      <c r="D121" s="1"/>
      <c r="E121" s="210"/>
      <c r="F121" s="1"/>
      <c r="G121" s="1"/>
      <c r="H121" s="1"/>
      <c r="I121" s="1"/>
      <c r="J121" s="1"/>
      <c r="K121" s="1"/>
    </row>
    <row r="122" spans="2:11" ht="15.75">
      <c r="B122" s="1"/>
      <c r="C122" s="1"/>
      <c r="D122" s="1"/>
      <c r="E122" s="210"/>
      <c r="F122" s="1"/>
      <c r="G122" s="1"/>
      <c r="H122" s="1"/>
      <c r="I122" s="1"/>
      <c r="J122" s="1"/>
      <c r="K122" s="1"/>
    </row>
    <row r="123" spans="2:11" ht="15.75">
      <c r="B123" s="1"/>
      <c r="C123" s="1"/>
      <c r="D123" s="1"/>
      <c r="E123" s="210"/>
      <c r="F123" s="1"/>
      <c r="G123" s="1"/>
      <c r="H123" s="1"/>
      <c r="I123" s="1"/>
      <c r="J123" s="1"/>
      <c r="K123" s="1"/>
    </row>
    <row r="124" spans="2:11" ht="15.75">
      <c r="B124" s="1"/>
      <c r="C124" s="1"/>
      <c r="D124" s="1"/>
      <c r="E124" s="210"/>
      <c r="F124" s="1"/>
      <c r="G124" s="1"/>
      <c r="H124" s="1"/>
      <c r="I124" s="1"/>
      <c r="J124" s="1"/>
      <c r="K124" s="1"/>
    </row>
    <row r="125" spans="2:11" ht="15.75">
      <c r="B125" s="1"/>
      <c r="C125" s="1"/>
      <c r="D125" s="1"/>
      <c r="E125" s="210"/>
      <c r="F125" s="1"/>
      <c r="G125" s="1"/>
      <c r="H125" s="1"/>
      <c r="I125" s="1"/>
      <c r="J125" s="1"/>
      <c r="K125" s="1"/>
    </row>
    <row r="126" spans="2:11" ht="15.75">
      <c r="B126" s="1"/>
      <c r="C126" s="1"/>
      <c r="D126" s="1"/>
      <c r="E126" s="210"/>
      <c r="F126" s="1"/>
      <c r="G126" s="1"/>
      <c r="H126" s="1"/>
      <c r="I126" s="1"/>
      <c r="J126" s="1"/>
      <c r="K126" s="1"/>
    </row>
    <row r="127" spans="2:11" ht="15.75">
      <c r="B127" s="1"/>
      <c r="C127" s="1"/>
      <c r="D127" s="1"/>
      <c r="E127" s="210"/>
      <c r="F127" s="1"/>
      <c r="G127" s="1"/>
      <c r="H127" s="1"/>
      <c r="I127" s="1"/>
      <c r="J127" s="1"/>
      <c r="K127" s="1"/>
    </row>
    <row r="128" spans="2:11" ht="15.75">
      <c r="B128" s="1"/>
      <c r="C128" s="1"/>
      <c r="D128" s="1"/>
      <c r="E128" s="210"/>
      <c r="F128" s="1"/>
      <c r="G128" s="1"/>
      <c r="H128" s="1"/>
      <c r="I128" s="1"/>
      <c r="J128" s="1"/>
      <c r="K128" s="1"/>
    </row>
    <row r="129" spans="2:11" ht="15.75">
      <c r="B129" s="1"/>
      <c r="C129" s="1"/>
      <c r="D129" s="1"/>
      <c r="E129" s="210"/>
      <c r="F129" s="1"/>
      <c r="G129" s="1"/>
      <c r="H129" s="1"/>
      <c r="I129" s="1"/>
      <c r="J129" s="1"/>
      <c r="K129" s="1"/>
    </row>
    <row r="130" spans="2:11" ht="15.75">
      <c r="B130" s="1"/>
      <c r="C130" s="1"/>
      <c r="D130" s="1"/>
      <c r="E130" s="210"/>
      <c r="F130" s="1"/>
      <c r="G130" s="1"/>
      <c r="H130" s="1"/>
      <c r="I130" s="1"/>
      <c r="J130" s="1"/>
      <c r="K130" s="1"/>
    </row>
    <row r="131" spans="2:11" ht="15.75">
      <c r="B131" s="1"/>
      <c r="C131" s="1"/>
      <c r="D131" s="1"/>
      <c r="E131" s="210"/>
      <c r="F131" s="1"/>
      <c r="G131" s="1"/>
      <c r="H131" s="1"/>
      <c r="I131" s="1"/>
      <c r="J131" s="1"/>
      <c r="K131" s="1"/>
    </row>
    <row r="132" spans="2:11" ht="15.75">
      <c r="B132" s="1"/>
      <c r="C132" s="1"/>
      <c r="D132" s="1"/>
      <c r="E132" s="210"/>
      <c r="F132" s="1"/>
      <c r="G132" s="1"/>
      <c r="H132" s="1"/>
      <c r="I132" s="1"/>
      <c r="J132" s="1"/>
      <c r="K132" s="1"/>
    </row>
    <row r="133" spans="2:11" ht="15.75">
      <c r="B133" s="1"/>
      <c r="C133" s="1"/>
      <c r="D133" s="1"/>
      <c r="E133" s="210"/>
      <c r="F133" s="1"/>
      <c r="G133" s="1"/>
      <c r="H133" s="1"/>
      <c r="I133" s="1"/>
      <c r="J133" s="1"/>
      <c r="K133" s="1"/>
    </row>
    <row r="134" spans="2:11" ht="15.75">
      <c r="B134" s="1"/>
      <c r="C134" s="1"/>
      <c r="D134" s="1"/>
      <c r="E134" s="210"/>
      <c r="F134" s="1"/>
      <c r="G134" s="1"/>
      <c r="H134" s="1"/>
      <c r="I134" s="1"/>
      <c r="J134" s="1"/>
      <c r="K134" s="1"/>
    </row>
    <row r="135" spans="2:11" ht="15.75">
      <c r="B135" s="1"/>
      <c r="C135" s="1"/>
      <c r="D135" s="1"/>
      <c r="E135" s="210"/>
      <c r="F135" s="1"/>
      <c r="G135" s="1"/>
      <c r="H135" s="1"/>
      <c r="I135" s="1"/>
      <c r="J135" s="1"/>
      <c r="K135" s="1"/>
    </row>
    <row r="136" spans="2:11" ht="15.75">
      <c r="B136" s="1"/>
      <c r="C136" s="1"/>
      <c r="D136" s="1"/>
      <c r="E136" s="210"/>
      <c r="F136" s="1"/>
      <c r="G136" s="1"/>
      <c r="H136" s="1"/>
      <c r="I136" s="1"/>
      <c r="J136" s="1"/>
      <c r="K136" s="1"/>
    </row>
    <row r="137" spans="2:11" ht="15.75">
      <c r="B137" s="1"/>
      <c r="C137" s="1"/>
      <c r="D137" s="1"/>
      <c r="E137" s="210"/>
      <c r="F137" s="1"/>
      <c r="G137" s="1"/>
      <c r="H137" s="1"/>
      <c r="I137" s="1"/>
      <c r="J137" s="1"/>
      <c r="K137" s="1"/>
    </row>
    <row r="138" spans="2:11" ht="15.75">
      <c r="B138" s="1"/>
      <c r="C138" s="1"/>
      <c r="D138" s="1"/>
      <c r="E138" s="210"/>
      <c r="F138" s="1"/>
      <c r="G138" s="1"/>
      <c r="H138" s="1"/>
      <c r="I138" s="1"/>
      <c r="J138" s="1"/>
      <c r="K138" s="1"/>
    </row>
    <row r="139" spans="2:11" ht="15.75">
      <c r="B139" s="1"/>
      <c r="C139" s="1"/>
      <c r="D139" s="1"/>
      <c r="E139" s="210"/>
      <c r="F139" s="1"/>
      <c r="G139" s="1"/>
      <c r="H139" s="1"/>
      <c r="I139" s="1"/>
      <c r="J139" s="1"/>
      <c r="K139" s="1"/>
    </row>
    <row r="140" spans="2:11" ht="15.75">
      <c r="B140" s="1"/>
      <c r="C140" s="1"/>
      <c r="D140" s="1"/>
      <c r="E140" s="210"/>
      <c r="F140" s="1"/>
      <c r="G140" s="1"/>
      <c r="H140" s="1"/>
      <c r="I140" s="1"/>
      <c r="J140" s="1"/>
      <c r="K140" s="1"/>
    </row>
    <row r="141" spans="2:11" ht="15.75">
      <c r="B141" s="1"/>
      <c r="C141" s="1"/>
      <c r="D141" s="1"/>
      <c r="E141" s="210"/>
      <c r="F141" s="1"/>
      <c r="G141" s="1"/>
      <c r="H141" s="1"/>
      <c r="I141" s="1"/>
      <c r="J141" s="1"/>
      <c r="K141" s="1"/>
    </row>
    <row r="142" spans="2:11" ht="15.75">
      <c r="B142" s="1"/>
      <c r="C142" s="1"/>
      <c r="D142" s="1"/>
      <c r="E142" s="210"/>
      <c r="F142" s="1"/>
      <c r="G142" s="1"/>
      <c r="H142" s="1"/>
      <c r="I142" s="1"/>
      <c r="J142" s="1"/>
      <c r="K142" s="1"/>
    </row>
    <row r="143" spans="2:11" ht="15.75">
      <c r="B143" s="1"/>
      <c r="C143" s="1"/>
      <c r="D143" s="1"/>
      <c r="E143" s="210"/>
      <c r="F143" s="1"/>
      <c r="G143" s="1"/>
      <c r="H143" s="1"/>
      <c r="I143" s="1"/>
      <c r="J143" s="1"/>
      <c r="K143" s="1"/>
    </row>
    <row r="144" spans="2:11" ht="15.75">
      <c r="B144" s="1"/>
      <c r="C144" s="1"/>
      <c r="D144" s="1"/>
      <c r="E144" s="210"/>
      <c r="F144" s="1"/>
      <c r="G144" s="1"/>
      <c r="H144" s="1"/>
      <c r="I144" s="1"/>
      <c r="J144" s="1"/>
      <c r="K144" s="1"/>
    </row>
    <row r="145" spans="2:11" ht="15.75">
      <c r="B145" s="1"/>
      <c r="C145" s="1"/>
      <c r="D145" s="1"/>
      <c r="E145" s="210"/>
      <c r="F145" s="1"/>
      <c r="G145" s="1"/>
      <c r="H145" s="1"/>
      <c r="I145" s="1"/>
      <c r="J145" s="1"/>
      <c r="K145" s="1"/>
    </row>
    <row r="146" spans="2:11" ht="15.75">
      <c r="B146" s="1"/>
      <c r="C146" s="1"/>
      <c r="D146" s="1"/>
      <c r="E146" s="210"/>
      <c r="F146" s="1"/>
      <c r="G146" s="1"/>
      <c r="H146" s="1"/>
      <c r="I146" s="1"/>
      <c r="J146" s="1"/>
      <c r="K146" s="1"/>
    </row>
  </sheetData>
  <sheetProtection/>
  <mergeCells count="45">
    <mergeCell ref="B90:C90"/>
    <mergeCell ref="K42:K43"/>
    <mergeCell ref="A27:A30"/>
    <mergeCell ref="C27:C30"/>
    <mergeCell ref="K27:K30"/>
    <mergeCell ref="A16:A22"/>
    <mergeCell ref="A33:A41"/>
    <mergeCell ref="C23:C26"/>
    <mergeCell ref="K76:K77"/>
    <mergeCell ref="K33:K41"/>
    <mergeCell ref="B12:K12"/>
    <mergeCell ref="A14:A15"/>
    <mergeCell ref="B14:B15"/>
    <mergeCell ref="C14:C15"/>
    <mergeCell ref="D14:D15"/>
    <mergeCell ref="E14:J14"/>
    <mergeCell ref="K14:K15"/>
    <mergeCell ref="K8:P8"/>
    <mergeCell ref="K64:K71"/>
    <mergeCell ref="A57:A58"/>
    <mergeCell ref="B57:B58"/>
    <mergeCell ref="A60:A61"/>
    <mergeCell ref="B60:B61"/>
    <mergeCell ref="K60:K61"/>
    <mergeCell ref="K44:K59"/>
    <mergeCell ref="C44:C50"/>
    <mergeCell ref="C51:C54"/>
    <mergeCell ref="K16:K22"/>
    <mergeCell ref="A72:A73"/>
    <mergeCell ref="B72:B73"/>
    <mergeCell ref="K72:K73"/>
    <mergeCell ref="A62:A63"/>
    <mergeCell ref="B62:B63"/>
    <mergeCell ref="K62:K63"/>
    <mergeCell ref="A64:A71"/>
    <mergeCell ref="B85:C85"/>
    <mergeCell ref="B88:C88"/>
    <mergeCell ref="C16:C22"/>
    <mergeCell ref="C33:C41"/>
    <mergeCell ref="A76:A77"/>
    <mergeCell ref="B76:B77"/>
    <mergeCell ref="C64:C71"/>
    <mergeCell ref="A44:A50"/>
    <mergeCell ref="A42:A43"/>
    <mergeCell ref="B42:B43"/>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9.xml><?xml version="1.0" encoding="utf-8"?>
<worksheet xmlns="http://schemas.openxmlformats.org/spreadsheetml/2006/main" xmlns:r="http://schemas.openxmlformats.org/officeDocument/2006/relationships">
  <sheetPr>
    <tabColor theme="0"/>
  </sheetPr>
  <dimension ref="A1:L45"/>
  <sheetViews>
    <sheetView view="pageBreakPreview" zoomScale="87" zoomScaleSheetLayoutView="87" zoomScalePageLayoutView="0" workbookViewId="0" topLeftCell="A1">
      <selection activeCell="G8" sqref="G8:H8"/>
    </sheetView>
  </sheetViews>
  <sheetFormatPr defaultColWidth="9.140625" defaultRowHeight="12.75" outlineLevelCol="1"/>
  <cols>
    <col min="1" max="1" width="6.7109375" style="131" customWidth="1"/>
    <col min="2" max="2" width="50.00390625" style="131" customWidth="1"/>
    <col min="3" max="3" width="20.140625" style="131" customWidth="1"/>
    <col min="4" max="4" width="18.8515625" style="131" customWidth="1"/>
    <col min="5" max="5" width="17.140625" style="131" customWidth="1"/>
    <col min="6" max="6" width="16.421875" style="131" customWidth="1"/>
    <col min="7" max="7" width="17.7109375" style="131" customWidth="1"/>
    <col min="8" max="8" width="55.57421875" style="131" customWidth="1"/>
    <col min="9" max="10" width="9.140625" style="131" hidden="1" customWidth="1"/>
    <col min="11" max="11" width="9.8515625" style="131" hidden="1" customWidth="1"/>
    <col min="12" max="12" width="10.140625" style="131" hidden="1" customWidth="1" outlineLevel="1"/>
    <col min="13" max="15" width="0" style="131" hidden="1" customWidth="1" outlineLevel="1"/>
    <col min="16" max="16" width="9.140625" style="131" customWidth="1" collapsed="1"/>
    <col min="17" max="16384" width="9.140625" style="131" customWidth="1"/>
  </cols>
  <sheetData>
    <row r="1" spans="2:9" ht="15.75">
      <c r="B1" s="136"/>
      <c r="C1" s="136"/>
      <c r="D1" s="136"/>
      <c r="E1" s="136"/>
      <c r="F1" s="136"/>
      <c r="G1" s="1" t="s">
        <v>450</v>
      </c>
      <c r="H1" s="344"/>
      <c r="I1" s="155" t="s">
        <v>16</v>
      </c>
    </row>
    <row r="2" spans="2:12" ht="15.75">
      <c r="B2" s="136"/>
      <c r="C2" s="136"/>
      <c r="D2" s="136"/>
      <c r="E2" s="136"/>
      <c r="F2" s="136"/>
      <c r="G2" s="12" t="s">
        <v>9</v>
      </c>
      <c r="H2" s="12"/>
      <c r="I2" s="15"/>
      <c r="J2" s="12"/>
      <c r="K2" s="12"/>
      <c r="L2" s="12"/>
    </row>
    <row r="3" spans="2:12" ht="15.75">
      <c r="B3" s="136"/>
      <c r="C3" s="136"/>
      <c r="D3" s="136"/>
      <c r="E3" s="136"/>
      <c r="F3" s="136"/>
      <c r="G3" s="12" t="s">
        <v>301</v>
      </c>
      <c r="H3" s="12"/>
      <c r="I3" s="15"/>
      <c r="J3" s="12"/>
      <c r="K3" s="12"/>
      <c r="L3" s="12"/>
    </row>
    <row r="4" spans="2:12" ht="15.75">
      <c r="B4" s="136"/>
      <c r="C4" s="136"/>
      <c r="D4" s="136"/>
      <c r="E4" s="136"/>
      <c r="F4" s="136"/>
      <c r="G4" s="17" t="s">
        <v>302</v>
      </c>
      <c r="H4" s="17"/>
      <c r="I4" s="15"/>
      <c r="J4" s="12"/>
      <c r="K4" s="12"/>
      <c r="L4" s="12"/>
    </row>
    <row r="5" spans="2:12" ht="15.75">
      <c r="B5" s="136"/>
      <c r="C5" s="136"/>
      <c r="D5" s="136"/>
      <c r="E5" s="136"/>
      <c r="F5" s="136"/>
      <c r="G5" s="17" t="s">
        <v>564</v>
      </c>
      <c r="H5" s="17"/>
      <c r="I5" s="15"/>
      <c r="J5" s="12"/>
      <c r="K5" s="12"/>
      <c r="L5" s="12"/>
    </row>
    <row r="6" spans="2:12" ht="15.75">
      <c r="B6" s="136"/>
      <c r="C6" s="136"/>
      <c r="D6" s="136"/>
      <c r="E6" s="136"/>
      <c r="F6" s="136"/>
      <c r="G6" s="17" t="s">
        <v>581</v>
      </c>
      <c r="H6" s="17"/>
      <c r="I6" s="245"/>
      <c r="J6" s="12"/>
      <c r="K6" s="12"/>
      <c r="L6" s="12"/>
    </row>
    <row r="7" spans="2:12" ht="15.75" customHeight="1">
      <c r="B7" s="136"/>
      <c r="C7" s="136"/>
      <c r="D7" s="136"/>
      <c r="E7" s="136"/>
      <c r="F7" s="136"/>
      <c r="G7" s="745" t="s">
        <v>588</v>
      </c>
      <c r="H7" s="745"/>
      <c r="I7" s="745"/>
      <c r="J7" s="745"/>
      <c r="K7" s="745"/>
      <c r="L7" s="745"/>
    </row>
    <row r="8" spans="2:12" ht="15.75" customHeight="1">
      <c r="B8" s="136"/>
      <c r="C8" s="136"/>
      <c r="D8" s="136"/>
      <c r="E8" s="136"/>
      <c r="F8" s="136"/>
      <c r="G8" s="745" t="s">
        <v>687</v>
      </c>
      <c r="H8" s="745"/>
      <c r="I8" s="553"/>
      <c r="J8" s="553"/>
      <c r="K8" s="553"/>
      <c r="L8" s="553"/>
    </row>
    <row r="9" spans="2:9" ht="15.75">
      <c r="B9" s="136"/>
      <c r="C9" s="136"/>
      <c r="D9" s="136"/>
      <c r="E9" s="136"/>
      <c r="F9" s="136"/>
      <c r="G9" s="136"/>
      <c r="H9" s="136"/>
      <c r="I9" s="136"/>
    </row>
    <row r="10" spans="1:9" ht="36.75" customHeight="1">
      <c r="A10" s="782" t="s">
        <v>584</v>
      </c>
      <c r="B10" s="782"/>
      <c r="C10" s="782"/>
      <c r="D10" s="782"/>
      <c r="E10" s="782"/>
      <c r="F10" s="782"/>
      <c r="G10" s="782"/>
      <c r="H10" s="782"/>
      <c r="I10" s="136"/>
    </row>
    <row r="11" spans="2:9" ht="15.75">
      <c r="B11" s="136"/>
      <c r="C11" s="136"/>
      <c r="D11" s="783"/>
      <c r="E11" s="783"/>
      <c r="F11" s="783"/>
      <c r="G11" s="136"/>
      <c r="H11" s="301" t="s">
        <v>249</v>
      </c>
      <c r="I11" s="136"/>
    </row>
    <row r="12" spans="1:9" ht="18.75">
      <c r="A12" s="771" t="s">
        <v>26</v>
      </c>
      <c r="B12" s="771" t="s">
        <v>10</v>
      </c>
      <c r="C12" s="771" t="s">
        <v>11</v>
      </c>
      <c r="D12" s="771" t="s">
        <v>235</v>
      </c>
      <c r="E12" s="774" t="s">
        <v>7</v>
      </c>
      <c r="F12" s="774"/>
      <c r="G12" s="775"/>
      <c r="H12" s="776" t="s">
        <v>13</v>
      </c>
      <c r="I12" s="136"/>
    </row>
    <row r="13" spans="1:9" ht="15.75" customHeight="1">
      <c r="A13" s="772"/>
      <c r="B13" s="772"/>
      <c r="C13" s="772"/>
      <c r="D13" s="772"/>
      <c r="E13" s="771">
        <v>2021</v>
      </c>
      <c r="F13" s="771">
        <v>2022</v>
      </c>
      <c r="G13" s="776">
        <v>2023</v>
      </c>
      <c r="H13" s="776"/>
      <c r="I13" s="136"/>
    </row>
    <row r="14" spans="1:9" ht="26.25" customHeight="1">
      <c r="A14" s="773"/>
      <c r="B14" s="773"/>
      <c r="C14" s="773"/>
      <c r="D14" s="773"/>
      <c r="E14" s="773"/>
      <c r="F14" s="773"/>
      <c r="G14" s="776"/>
      <c r="H14" s="776"/>
      <c r="I14" s="136"/>
    </row>
    <row r="15" spans="1:9" ht="43.5" customHeight="1">
      <c r="A15" s="509">
        <v>1</v>
      </c>
      <c r="B15" s="372" t="s">
        <v>538</v>
      </c>
      <c r="C15" s="362" t="s">
        <v>418</v>
      </c>
      <c r="D15" s="360">
        <f>E15+F15+G15</f>
        <v>43598.4</v>
      </c>
      <c r="E15" s="652">
        <f>11754.8+983.7+80+1501.7+1095.1-5700</f>
        <v>9715.300000000001</v>
      </c>
      <c r="F15" s="507">
        <v>16448.1</v>
      </c>
      <c r="G15" s="507">
        <v>17435</v>
      </c>
      <c r="H15" s="767" t="s">
        <v>161</v>
      </c>
      <c r="I15" s="136"/>
    </row>
    <row r="16" spans="1:9" ht="27.75" customHeight="1" hidden="1">
      <c r="A16" s="518" t="s">
        <v>162</v>
      </c>
      <c r="B16" s="383" t="s">
        <v>534</v>
      </c>
      <c r="C16" s="779" t="s">
        <v>418</v>
      </c>
      <c r="D16" s="519">
        <f>E16+F16+G16</f>
        <v>3837.6000000000004</v>
      </c>
      <c r="E16" s="520">
        <v>1200</v>
      </c>
      <c r="F16" s="520">
        <v>1280.4</v>
      </c>
      <c r="G16" s="520">
        <v>1357.2</v>
      </c>
      <c r="H16" s="768"/>
      <c r="I16" s="136"/>
    </row>
    <row r="17" spans="1:9" ht="30.75" customHeight="1" hidden="1">
      <c r="A17" s="518" t="s">
        <v>169</v>
      </c>
      <c r="B17" s="383" t="s">
        <v>535</v>
      </c>
      <c r="C17" s="780"/>
      <c r="D17" s="519">
        <f>E17+F17+G17</f>
        <v>3198</v>
      </c>
      <c r="E17" s="520">
        <v>1000</v>
      </c>
      <c r="F17" s="520">
        <v>1067</v>
      </c>
      <c r="G17" s="520">
        <v>1131</v>
      </c>
      <c r="H17" s="768"/>
      <c r="I17" s="136"/>
    </row>
    <row r="18" spans="1:9" ht="29.25" customHeight="1" hidden="1">
      <c r="A18" s="518" t="s">
        <v>170</v>
      </c>
      <c r="B18" s="383" t="s">
        <v>536</v>
      </c>
      <c r="C18" s="780"/>
      <c r="D18" s="519">
        <f>E18+F18+G18</f>
        <v>3837.6000000000004</v>
      </c>
      <c r="E18" s="520">
        <v>1200</v>
      </c>
      <c r="F18" s="520">
        <v>1280.4</v>
      </c>
      <c r="G18" s="520">
        <v>1357.2</v>
      </c>
      <c r="H18" s="768"/>
      <c r="I18" s="136"/>
    </row>
    <row r="19" spans="1:9" ht="30" customHeight="1" hidden="1">
      <c r="A19" s="518" t="s">
        <v>171</v>
      </c>
      <c r="B19" s="383" t="s">
        <v>537</v>
      </c>
      <c r="C19" s="781"/>
      <c r="D19" s="519">
        <f>E19+F19+G19</f>
        <v>3837.6000000000004</v>
      </c>
      <c r="E19" s="520">
        <v>1200</v>
      </c>
      <c r="F19" s="520">
        <v>1280.4</v>
      </c>
      <c r="G19" s="520">
        <v>1357.2</v>
      </c>
      <c r="H19" s="778"/>
      <c r="I19" s="136"/>
    </row>
    <row r="20" spans="1:12" ht="52.5" customHeight="1">
      <c r="A20" s="361">
        <v>2</v>
      </c>
      <c r="B20" s="506" t="s">
        <v>126</v>
      </c>
      <c r="C20" s="362" t="s">
        <v>418</v>
      </c>
      <c r="D20" s="614">
        <f aca="true" t="shared" si="0" ref="D20:D32">E20+F20+G20</f>
        <v>11886.999999999996</v>
      </c>
      <c r="E20" s="193">
        <f>400.8+235+66.1+104.1+1587.3+144+74.2+550.6+51.8+47.5+223.3+175.7+468.5+75+70.9+250+50+50+50-3000</f>
        <v>1674.7999999999993</v>
      </c>
      <c r="F20" s="193">
        <f>452.5+265.4+74.7+117.5+1792+162.6+83.8+621.6+58.5+53.7+252.1+198.4+529+84.7+80</f>
        <v>4826.499999999999</v>
      </c>
      <c r="G20" s="193">
        <f>505.9+296.7+83.5+131.4+2003.5+181.8+93.7+695+63.4+60+281.9+221.8+591.4+94.7+81</f>
        <v>5385.699999999999</v>
      </c>
      <c r="H20" s="767" t="s">
        <v>161</v>
      </c>
      <c r="I20" s="136"/>
      <c r="L20" s="131" t="s">
        <v>539</v>
      </c>
    </row>
    <row r="21" spans="1:9" ht="27.75" customHeight="1" hidden="1">
      <c r="A21" s="518" t="s">
        <v>208</v>
      </c>
      <c r="B21" s="383" t="s">
        <v>534</v>
      </c>
      <c r="C21" s="779" t="s">
        <v>418</v>
      </c>
      <c r="D21" s="519">
        <f t="shared" si="0"/>
        <v>160</v>
      </c>
      <c r="E21" s="521">
        <v>50</v>
      </c>
      <c r="F21" s="521">
        <v>53.4</v>
      </c>
      <c r="G21" s="521">
        <v>56.6</v>
      </c>
      <c r="H21" s="768"/>
      <c r="I21" s="136"/>
    </row>
    <row r="22" spans="1:9" ht="29.25" customHeight="1" hidden="1">
      <c r="A22" s="518" t="s">
        <v>232</v>
      </c>
      <c r="B22" s="383" t="s">
        <v>535</v>
      </c>
      <c r="C22" s="780"/>
      <c r="D22" s="519">
        <f t="shared" si="0"/>
        <v>1599</v>
      </c>
      <c r="E22" s="521">
        <v>500</v>
      </c>
      <c r="F22" s="521">
        <v>533.5</v>
      </c>
      <c r="G22" s="521">
        <v>565.5</v>
      </c>
      <c r="H22" s="768"/>
      <c r="I22" s="136"/>
    </row>
    <row r="23" spans="1:9" ht="24.75" customHeight="1" hidden="1">
      <c r="A23" s="518" t="s">
        <v>242</v>
      </c>
      <c r="B23" s="383" t="s">
        <v>536</v>
      </c>
      <c r="C23" s="780"/>
      <c r="D23" s="519">
        <f t="shared" si="0"/>
        <v>480</v>
      </c>
      <c r="E23" s="521">
        <v>150</v>
      </c>
      <c r="F23" s="521">
        <v>160</v>
      </c>
      <c r="G23" s="521">
        <v>170</v>
      </c>
      <c r="H23" s="768"/>
      <c r="I23" s="136"/>
    </row>
    <row r="24" spans="1:9" ht="27" customHeight="1" hidden="1">
      <c r="A24" s="518" t="s">
        <v>243</v>
      </c>
      <c r="B24" s="383" t="s">
        <v>537</v>
      </c>
      <c r="C24" s="781"/>
      <c r="D24" s="519">
        <f t="shared" si="0"/>
        <v>480</v>
      </c>
      <c r="E24" s="521">
        <v>150</v>
      </c>
      <c r="F24" s="521">
        <v>160</v>
      </c>
      <c r="G24" s="521">
        <v>170</v>
      </c>
      <c r="H24" s="778"/>
      <c r="I24" s="136"/>
    </row>
    <row r="25" spans="1:9" ht="60.75" customHeight="1">
      <c r="A25" s="361">
        <v>3</v>
      </c>
      <c r="B25" s="363" t="s">
        <v>69</v>
      </c>
      <c r="C25" s="362" t="s">
        <v>418</v>
      </c>
      <c r="D25" s="360">
        <f t="shared" si="0"/>
        <v>16787.3</v>
      </c>
      <c r="E25" s="193">
        <f>5251.3-1021</f>
        <v>4230.3</v>
      </c>
      <c r="F25" s="193">
        <v>5928.7</v>
      </c>
      <c r="G25" s="193">
        <v>6628.3</v>
      </c>
      <c r="H25" s="361" t="s">
        <v>161</v>
      </c>
      <c r="I25" s="136"/>
    </row>
    <row r="26" spans="1:9" ht="45.75" customHeight="1">
      <c r="A26" s="361">
        <v>4</v>
      </c>
      <c r="B26" s="363" t="s">
        <v>70</v>
      </c>
      <c r="C26" s="362" t="s">
        <v>418</v>
      </c>
      <c r="D26" s="360">
        <f t="shared" si="0"/>
        <v>1069.1</v>
      </c>
      <c r="E26" s="193">
        <f>359.7-150.7</f>
        <v>209</v>
      </c>
      <c r="F26" s="193">
        <v>406.1</v>
      </c>
      <c r="G26" s="193">
        <v>454</v>
      </c>
      <c r="H26" s="361" t="s">
        <v>161</v>
      </c>
      <c r="I26" s="136"/>
    </row>
    <row r="27" spans="1:9" ht="56.25" customHeight="1">
      <c r="A27" s="361">
        <v>5</v>
      </c>
      <c r="B27" s="363" t="s">
        <v>424</v>
      </c>
      <c r="C27" s="362" t="s">
        <v>418</v>
      </c>
      <c r="D27" s="360">
        <f t="shared" si="0"/>
        <v>181.8</v>
      </c>
      <c r="E27" s="193">
        <f>22.5+8.5+8.2+20.8-10</f>
        <v>50</v>
      </c>
      <c r="F27" s="193">
        <f>24+9+8.8+22.2</f>
        <v>64</v>
      </c>
      <c r="G27" s="193">
        <f>25.4+9.6+9.3+23.5</f>
        <v>67.8</v>
      </c>
      <c r="H27" s="361" t="s">
        <v>161</v>
      </c>
      <c r="I27" s="136"/>
    </row>
    <row r="28" spans="1:9" ht="42.75" customHeight="1">
      <c r="A28" s="767">
        <v>6</v>
      </c>
      <c r="B28" s="769" t="s">
        <v>337</v>
      </c>
      <c r="C28" s="184" t="s">
        <v>156</v>
      </c>
      <c r="D28" s="614">
        <f t="shared" si="0"/>
        <v>100</v>
      </c>
      <c r="E28" s="193">
        <f>50</f>
        <v>50</v>
      </c>
      <c r="F28" s="193">
        <v>50</v>
      </c>
      <c r="G28" s="193"/>
      <c r="H28" s="767" t="s">
        <v>161</v>
      </c>
      <c r="I28" s="136"/>
    </row>
    <row r="29" spans="1:9" ht="41.25" customHeight="1">
      <c r="A29" s="768"/>
      <c r="B29" s="770"/>
      <c r="C29" s="362" t="s">
        <v>418</v>
      </c>
      <c r="D29" s="382">
        <f>E29+F29+G29</f>
        <v>50</v>
      </c>
      <c r="E29" s="193">
        <f>50-50</f>
        <v>0</v>
      </c>
      <c r="F29" s="193">
        <v>50</v>
      </c>
      <c r="G29" s="193"/>
      <c r="H29" s="768"/>
      <c r="I29" s="136"/>
    </row>
    <row r="30" spans="1:9" ht="56.25" customHeight="1">
      <c r="A30" s="157">
        <v>7</v>
      </c>
      <c r="B30" s="183" t="s">
        <v>425</v>
      </c>
      <c r="C30" s="362" t="s">
        <v>418</v>
      </c>
      <c r="D30" s="360">
        <f t="shared" si="0"/>
        <v>0</v>
      </c>
      <c r="E30" s="193">
        <f>280-280</f>
        <v>0</v>
      </c>
      <c r="F30" s="193"/>
      <c r="G30" s="193"/>
      <c r="H30" s="361" t="s">
        <v>161</v>
      </c>
      <c r="I30" s="136"/>
    </row>
    <row r="31" spans="1:9" ht="56.25" customHeight="1">
      <c r="A31" s="653">
        <v>8</v>
      </c>
      <c r="B31" s="654" t="s">
        <v>606</v>
      </c>
      <c r="C31" s="652" t="s">
        <v>418</v>
      </c>
      <c r="D31" s="660">
        <f t="shared" si="0"/>
        <v>50</v>
      </c>
      <c r="E31" s="193">
        <v>50</v>
      </c>
      <c r="F31" s="193"/>
      <c r="G31" s="193"/>
      <c r="H31" s="651" t="s">
        <v>161</v>
      </c>
      <c r="I31" s="136"/>
    </row>
    <row r="32" spans="1:9" ht="56.25" customHeight="1">
      <c r="A32" s="653">
        <v>9</v>
      </c>
      <c r="B32" s="654" t="s">
        <v>570</v>
      </c>
      <c r="C32" s="652" t="s">
        <v>418</v>
      </c>
      <c r="D32" s="660">
        <f t="shared" si="0"/>
        <v>0</v>
      </c>
      <c r="E32" s="193">
        <f>150-50-100</f>
        <v>0</v>
      </c>
      <c r="F32" s="193"/>
      <c r="G32" s="193"/>
      <c r="H32" s="651" t="s">
        <v>161</v>
      </c>
      <c r="I32" s="136"/>
    </row>
    <row r="33" spans="1:9" ht="24" customHeight="1">
      <c r="A33" s="158"/>
      <c r="B33" s="194" t="s">
        <v>4</v>
      </c>
      <c r="C33" s="195"/>
      <c r="D33" s="192">
        <f>E33+F33+G33</f>
        <v>73723.6</v>
      </c>
      <c r="E33" s="192">
        <f>E15+E20+E25+E26+E27+E28+E29+E30+E32+E31</f>
        <v>15979.400000000001</v>
      </c>
      <c r="F33" s="192">
        <f>F15+F20+F25+F26+F27+F28+F29+F30+F32+F31</f>
        <v>27773.399999999998</v>
      </c>
      <c r="G33" s="192">
        <f>G15+G20+G25+G26+G27+G28+G29+G30+G32+G31</f>
        <v>29970.799999999996</v>
      </c>
      <c r="H33" s="159"/>
      <c r="I33" s="136"/>
    </row>
    <row r="34" spans="1:9" ht="10.5" customHeight="1">
      <c r="A34" s="160"/>
      <c r="B34" s="161"/>
      <c r="C34" s="161"/>
      <c r="D34" s="162"/>
      <c r="E34" s="162"/>
      <c r="F34" s="162"/>
      <c r="G34" s="162"/>
      <c r="H34" s="163"/>
      <c r="I34" s="136"/>
    </row>
    <row r="35" spans="1:9" ht="15.75" hidden="1">
      <c r="A35" s="160"/>
      <c r="B35" s="161"/>
      <c r="C35" s="161"/>
      <c r="D35" s="162"/>
      <c r="E35" s="162"/>
      <c r="F35" s="162"/>
      <c r="G35" s="162"/>
      <c r="H35" s="163"/>
      <c r="I35" s="136"/>
    </row>
    <row r="36" spans="1:9" ht="15.75" hidden="1">
      <c r="A36" s="160"/>
      <c r="B36" s="161"/>
      <c r="C36" s="161"/>
      <c r="D36" s="162"/>
      <c r="E36" s="162"/>
      <c r="F36" s="162"/>
      <c r="G36" s="162"/>
      <c r="H36" s="163"/>
      <c r="I36" s="136"/>
    </row>
    <row r="37" spans="2:9" ht="15.75">
      <c r="B37" s="161"/>
      <c r="C37" s="161"/>
      <c r="D37" s="162"/>
      <c r="E37" s="162"/>
      <c r="F37" s="162"/>
      <c r="G37" s="162"/>
      <c r="H37" s="163"/>
      <c r="I37" s="136"/>
    </row>
    <row r="38" spans="2:9" ht="18.75">
      <c r="B38" s="777" t="s">
        <v>15</v>
      </c>
      <c r="C38" s="777"/>
      <c r="D38" s="280"/>
      <c r="E38" s="537"/>
      <c r="F38" s="537"/>
      <c r="G38" s="537"/>
      <c r="H38" s="185" t="s">
        <v>674</v>
      </c>
      <c r="I38" s="133"/>
    </row>
    <row r="39" spans="2:9" ht="6" customHeight="1">
      <c r="B39" s="132"/>
      <c r="C39" s="132"/>
      <c r="D39" s="132"/>
      <c r="E39" s="164"/>
      <c r="F39" s="164"/>
      <c r="G39" s="133"/>
      <c r="H39" s="165"/>
      <c r="I39" s="133"/>
    </row>
    <row r="40" spans="2:9" ht="8.25" customHeight="1">
      <c r="B40" s="132"/>
      <c r="C40" s="132"/>
      <c r="D40" s="132"/>
      <c r="E40" s="164"/>
      <c r="F40" s="164"/>
      <c r="G40" s="133"/>
      <c r="H40" s="165"/>
      <c r="I40" s="133"/>
    </row>
    <row r="41" spans="2:8" ht="18.75">
      <c r="B41" s="694" t="s">
        <v>673</v>
      </c>
      <c r="C41" s="694"/>
      <c r="D41" s="134"/>
      <c r="E41" s="135"/>
      <c r="F41" s="135"/>
      <c r="G41" s="136"/>
      <c r="H41" s="136"/>
    </row>
    <row r="42" spans="2:10" ht="15.75">
      <c r="B42" s="137" t="s">
        <v>8</v>
      </c>
      <c r="C42" s="137"/>
      <c r="D42" s="135"/>
      <c r="E42" s="135"/>
      <c r="F42" s="135"/>
      <c r="G42" s="136"/>
      <c r="H42" s="136"/>
      <c r="J42" s="156"/>
    </row>
    <row r="43" spans="2:8" ht="15.75">
      <c r="B43" s="166"/>
      <c r="C43" s="167"/>
      <c r="D43" s="168"/>
      <c r="E43" s="135"/>
      <c r="F43" s="135"/>
      <c r="G43" s="136"/>
      <c r="H43" s="136"/>
    </row>
    <row r="44" spans="3:7" ht="15.75">
      <c r="C44" s="168"/>
      <c r="D44" s="135"/>
      <c r="E44" s="135"/>
      <c r="F44" s="135"/>
      <c r="G44" s="135"/>
    </row>
    <row r="45" spans="3:7" ht="15.75">
      <c r="C45" s="169"/>
      <c r="D45" s="135"/>
      <c r="E45" s="135"/>
      <c r="F45" s="135"/>
      <c r="G45" s="135"/>
    </row>
  </sheetData>
  <sheetProtection/>
  <mergeCells count="22">
    <mergeCell ref="G8:H8"/>
    <mergeCell ref="G7:L7"/>
    <mergeCell ref="A10:H10"/>
    <mergeCell ref="D11:F11"/>
    <mergeCell ref="A12:A14"/>
    <mergeCell ref="B12:B14"/>
    <mergeCell ref="B38:C38"/>
    <mergeCell ref="C12:C14"/>
    <mergeCell ref="H15:H19"/>
    <mergeCell ref="H20:H24"/>
    <mergeCell ref="C21:C24"/>
    <mergeCell ref="B41:C41"/>
    <mergeCell ref="C16:C19"/>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58"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2021-12-17T10:55:42Z</cp:lastPrinted>
  <dcterms:created xsi:type="dcterms:W3CDTF">1996-10-08T23:32:33Z</dcterms:created>
  <dcterms:modified xsi:type="dcterms:W3CDTF">2021-12-17T10:56:19Z</dcterms:modified>
  <cp:category/>
  <cp:version/>
  <cp:contentType/>
  <cp:contentStatus/>
</cp:coreProperties>
</file>