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липень\СМР-21.07.21\Доопрацьовано\"/>
    </mc:Choice>
  </mc:AlternateContent>
  <bookViews>
    <workbookView xWindow="0" yWindow="0" windowWidth="28800" windowHeight="11835" tabRatio="495" activeTab="1"/>
  </bookViews>
  <sheets>
    <sheet name="дод 3" sheetId="1" r:id="rId1"/>
    <sheet name="дод 8" sheetId="3" r:id="rId2"/>
  </sheets>
  <definedNames>
    <definedName name="_xlnm.Print_Titles" localSheetId="0">'дод 3'!$14:$16</definedName>
    <definedName name="_xlnm.Print_Titles" localSheetId="1">'дод 8'!$14:$16</definedName>
    <definedName name="_xlnm.Print_Area" localSheetId="0">'дод 3'!$A$1:$P$319</definedName>
    <definedName name="_xlnm.Print_Area" localSheetId="1">'дод 8'!$A$1:$O$254</definedName>
  </definedNames>
  <calcPr calcId="162913"/>
</workbook>
</file>

<file path=xl/calcChain.xml><?xml version="1.0" encoding="utf-8"?>
<calcChain xmlns="http://schemas.openxmlformats.org/spreadsheetml/2006/main">
  <c r="O194" i="1" l="1"/>
  <c r="K194" i="1"/>
  <c r="F174" i="1" l="1"/>
  <c r="O161" i="1" l="1"/>
  <c r="N161" i="1"/>
  <c r="M161" i="1"/>
  <c r="L161" i="1"/>
  <c r="K161" i="1"/>
  <c r="I161" i="1"/>
  <c r="H161" i="1"/>
  <c r="G161" i="1"/>
  <c r="F161" i="1"/>
  <c r="O160" i="1"/>
  <c r="N160" i="1"/>
  <c r="M160" i="1"/>
  <c r="L160" i="1"/>
  <c r="K160" i="1"/>
  <c r="I160" i="1"/>
  <c r="H160" i="1"/>
  <c r="G160" i="1"/>
  <c r="F160" i="1"/>
  <c r="O159" i="1"/>
  <c r="N159" i="1"/>
  <c r="M159" i="1"/>
  <c r="L159" i="1"/>
  <c r="K159" i="1"/>
  <c r="I159" i="1"/>
  <c r="H159" i="1"/>
  <c r="G159" i="1"/>
  <c r="M240" i="3" l="1"/>
  <c r="L240" i="3"/>
  <c r="K240" i="3"/>
  <c r="H240" i="3"/>
  <c r="G240" i="3"/>
  <c r="F240" i="3"/>
  <c r="N63" i="1"/>
  <c r="M63" i="1"/>
  <c r="I63" i="1"/>
  <c r="J119" i="1"/>
  <c r="F119" i="1"/>
  <c r="E119" i="1" s="1"/>
  <c r="P119" i="1" s="1"/>
  <c r="G77" i="1"/>
  <c r="G63" i="1" s="1"/>
  <c r="G78" i="1"/>
  <c r="H231" i="1"/>
  <c r="H230" i="1"/>
  <c r="H191" i="1"/>
  <c r="H174" i="1"/>
  <c r="H145" i="1"/>
  <c r="H33" i="1"/>
  <c r="F78" i="1"/>
  <c r="F77" i="1"/>
  <c r="H56" i="1"/>
  <c r="O259" i="1" l="1"/>
  <c r="K259" i="1"/>
  <c r="E304" i="1"/>
  <c r="O244" i="1"/>
  <c r="K244" i="1"/>
  <c r="O230" i="1"/>
  <c r="K230" i="1"/>
  <c r="O233" i="1"/>
  <c r="K233" i="1"/>
  <c r="I44" i="1"/>
  <c r="G258" i="1"/>
  <c r="F258" i="1"/>
  <c r="F33" i="1" l="1"/>
  <c r="N189" i="3" l="1"/>
  <c r="M189" i="3"/>
  <c r="L189" i="3"/>
  <c r="K189" i="3"/>
  <c r="J189" i="3"/>
  <c r="H189" i="3"/>
  <c r="G189" i="3"/>
  <c r="F189" i="3"/>
  <c r="E189" i="3"/>
  <c r="N238" i="3"/>
  <c r="M238" i="3"/>
  <c r="L238" i="3"/>
  <c r="K238" i="3"/>
  <c r="J238" i="3"/>
  <c r="H238" i="3"/>
  <c r="G238" i="3"/>
  <c r="F238" i="3"/>
  <c r="E238" i="3"/>
  <c r="M174" i="3"/>
  <c r="L174" i="3"/>
  <c r="K174" i="3"/>
  <c r="H174" i="3"/>
  <c r="G174" i="3"/>
  <c r="F174" i="3"/>
  <c r="E174" i="3"/>
  <c r="N156" i="1"/>
  <c r="M156" i="1"/>
  <c r="L156" i="1"/>
  <c r="I156" i="1"/>
  <c r="G156" i="1"/>
  <c r="F131" i="1" l="1"/>
  <c r="O147" i="1"/>
  <c r="K147" i="1"/>
  <c r="H298" i="1"/>
  <c r="F298" i="1"/>
  <c r="H287" i="1"/>
  <c r="F287" i="1"/>
  <c r="H284" i="1"/>
  <c r="F284" i="1"/>
  <c r="H277" i="1"/>
  <c r="F277" i="1"/>
  <c r="H254" i="1"/>
  <c r="F254" i="1"/>
  <c r="H222" i="1"/>
  <c r="F222" i="1"/>
  <c r="H209" i="1"/>
  <c r="H210" i="1"/>
  <c r="F210" i="1"/>
  <c r="F209" i="1"/>
  <c r="H208" i="1"/>
  <c r="F208" i="1"/>
  <c r="H207" i="1"/>
  <c r="F207" i="1"/>
  <c r="H206" i="1"/>
  <c r="H199" i="1"/>
  <c r="F206" i="1"/>
  <c r="F199" i="1"/>
  <c r="F191" i="1"/>
  <c r="H162" i="1"/>
  <c r="H156" i="1" s="1"/>
  <c r="F162" i="1"/>
  <c r="F145" i="1"/>
  <c r="F140" i="1"/>
  <c r="F138" i="1"/>
  <c r="F136" i="1"/>
  <c r="H130" i="1"/>
  <c r="F130" i="1"/>
  <c r="H109" i="1"/>
  <c r="F109" i="1"/>
  <c r="H96" i="1"/>
  <c r="F96" i="1"/>
  <c r="H93" i="1"/>
  <c r="F93" i="1"/>
  <c r="H91" i="1"/>
  <c r="F91" i="1"/>
  <c r="H90" i="1"/>
  <c r="F90" i="1"/>
  <c r="H79" i="1"/>
  <c r="F79" i="1"/>
  <c r="H78" i="1"/>
  <c r="H77" i="1"/>
  <c r="H76" i="1"/>
  <c r="H63" i="1" s="1"/>
  <c r="F76" i="1"/>
  <c r="H58" i="1"/>
  <c r="F58" i="1"/>
  <c r="F56" i="1"/>
  <c r="F41" i="1"/>
  <c r="H40" i="1"/>
  <c r="H18" i="1" s="1"/>
  <c r="F40" i="1"/>
  <c r="F39" i="1"/>
  <c r="H38" i="1"/>
  <c r="F38" i="1"/>
  <c r="H34" i="1"/>
  <c r="F34" i="1"/>
  <c r="H31" i="1"/>
  <c r="F31" i="1"/>
  <c r="H28" i="1"/>
  <c r="F28" i="1"/>
  <c r="H21" i="1"/>
  <c r="F21" i="1"/>
  <c r="O271" i="1"/>
  <c r="K271" i="1"/>
  <c r="F271" i="1"/>
  <c r="O268" i="1"/>
  <c r="K268" i="1"/>
  <c r="O266" i="1"/>
  <c r="K266" i="1"/>
  <c r="O262" i="1"/>
  <c r="K262" i="1"/>
  <c r="N216" i="1"/>
  <c r="M216" i="1"/>
  <c r="H216" i="1"/>
  <c r="G216" i="1"/>
  <c r="O251" i="1"/>
  <c r="K251" i="1"/>
  <c r="F251" i="1"/>
  <c r="J250" i="1"/>
  <c r="I238" i="3" s="1"/>
  <c r="E250" i="1"/>
  <c r="D238" i="3" s="1"/>
  <c r="F231" i="1"/>
  <c r="F230" i="1"/>
  <c r="O227" i="1"/>
  <c r="K227" i="1"/>
  <c r="F195" i="1"/>
  <c r="F192" i="1"/>
  <c r="F175" i="1"/>
  <c r="F169" i="1"/>
  <c r="F166" i="1"/>
  <c r="O154" i="1"/>
  <c r="N240" i="3" s="1"/>
  <c r="K154" i="1"/>
  <c r="J240" i="3" s="1"/>
  <c r="F146" i="1"/>
  <c r="O114" i="1"/>
  <c r="K114" i="1"/>
  <c r="O112" i="1"/>
  <c r="K112" i="1"/>
  <c r="N67" i="3"/>
  <c r="M67" i="3"/>
  <c r="L67" i="3"/>
  <c r="K67" i="3"/>
  <c r="J67" i="3"/>
  <c r="H67" i="3"/>
  <c r="G67" i="3"/>
  <c r="F67" i="3"/>
  <c r="E67" i="3"/>
  <c r="N64" i="3"/>
  <c r="M64" i="3"/>
  <c r="L64" i="3"/>
  <c r="K64" i="3"/>
  <c r="J64" i="3"/>
  <c r="H64" i="3"/>
  <c r="G64" i="3"/>
  <c r="F64" i="3"/>
  <c r="E64" i="3"/>
  <c r="O111" i="1"/>
  <c r="K111" i="1"/>
  <c r="J100" i="1"/>
  <c r="E100" i="1"/>
  <c r="D67" i="3" s="1"/>
  <c r="J97" i="1"/>
  <c r="I64" i="3" s="1"/>
  <c r="E97" i="1"/>
  <c r="D64" i="3" s="1"/>
  <c r="O78" i="1"/>
  <c r="K78" i="1"/>
  <c r="O61" i="1"/>
  <c r="K61" i="1"/>
  <c r="F61" i="1"/>
  <c r="N18" i="1"/>
  <c r="M18" i="1"/>
  <c r="L18" i="1"/>
  <c r="I18" i="1"/>
  <c r="J46" i="1"/>
  <c r="I189" i="3" s="1"/>
  <c r="E46" i="1"/>
  <c r="D189" i="3" s="1"/>
  <c r="F27" i="1"/>
  <c r="F26" i="1"/>
  <c r="O75" i="1"/>
  <c r="N75" i="1"/>
  <c r="M75" i="1"/>
  <c r="L75" i="1"/>
  <c r="K75" i="1"/>
  <c r="I75" i="1"/>
  <c r="H75" i="1"/>
  <c r="G75" i="1"/>
  <c r="F75" i="1"/>
  <c r="O73" i="1"/>
  <c r="N73" i="1"/>
  <c r="M73" i="1"/>
  <c r="L73" i="1"/>
  <c r="K73" i="1"/>
  <c r="I73" i="1"/>
  <c r="H73" i="1"/>
  <c r="G73" i="1"/>
  <c r="F73" i="1"/>
  <c r="O72" i="1"/>
  <c r="N72" i="1"/>
  <c r="M72" i="1"/>
  <c r="L72" i="1"/>
  <c r="K72" i="1"/>
  <c r="I72" i="1"/>
  <c r="H72" i="1"/>
  <c r="G72" i="1"/>
  <c r="F72" i="1"/>
  <c r="N146" i="3"/>
  <c r="N142" i="3" s="1"/>
  <c r="M146" i="3"/>
  <c r="M142" i="3" s="1"/>
  <c r="L146" i="3"/>
  <c r="L142" i="3" s="1"/>
  <c r="K146" i="3"/>
  <c r="K142" i="3" s="1"/>
  <c r="J146" i="3"/>
  <c r="J142" i="3" s="1"/>
  <c r="H146" i="3"/>
  <c r="H142" i="3" s="1"/>
  <c r="G146" i="3"/>
  <c r="G142" i="3" s="1"/>
  <c r="F146" i="3"/>
  <c r="F142" i="3" s="1"/>
  <c r="E146" i="3"/>
  <c r="E142" i="3" s="1"/>
  <c r="N130" i="3"/>
  <c r="N100" i="3" s="1"/>
  <c r="M130" i="3"/>
  <c r="M100" i="3" s="1"/>
  <c r="L130" i="3"/>
  <c r="L100" i="3" s="1"/>
  <c r="K130" i="3"/>
  <c r="K100" i="3" s="1"/>
  <c r="J130" i="3"/>
  <c r="J100" i="3" s="1"/>
  <c r="H130" i="3"/>
  <c r="H100" i="3" s="1"/>
  <c r="G130" i="3"/>
  <c r="G100" i="3" s="1"/>
  <c r="F130" i="3"/>
  <c r="F100" i="3" s="1"/>
  <c r="E130" i="3"/>
  <c r="E100" i="3" s="1"/>
  <c r="N129" i="3"/>
  <c r="M129" i="3"/>
  <c r="L129" i="3"/>
  <c r="K129" i="3"/>
  <c r="J129" i="3"/>
  <c r="H129" i="3"/>
  <c r="G129" i="3"/>
  <c r="F129" i="3"/>
  <c r="E129" i="3"/>
  <c r="N256" i="1"/>
  <c r="M256" i="1"/>
  <c r="L256" i="1"/>
  <c r="I256" i="1"/>
  <c r="H256" i="1"/>
  <c r="G256" i="1"/>
  <c r="J264" i="1"/>
  <c r="E264" i="1"/>
  <c r="G38" i="1"/>
  <c r="F37" i="1"/>
  <c r="F36" i="1"/>
  <c r="O212" i="1"/>
  <c r="N174" i="3" s="1"/>
  <c r="K212" i="1"/>
  <c r="J174" i="3" s="1"/>
  <c r="E240" i="3" l="1"/>
  <c r="P100" i="1"/>
  <c r="O67" i="3" s="1"/>
  <c r="P250" i="1"/>
  <c r="O238" i="3" s="1"/>
  <c r="P264" i="1"/>
  <c r="P46" i="1"/>
  <c r="O189" i="3" s="1"/>
  <c r="I67" i="3"/>
  <c r="P97" i="1"/>
  <c r="O64" i="3" s="1"/>
  <c r="F256" i="1"/>
  <c r="F226" i="1"/>
  <c r="O87" i="1"/>
  <c r="K87" i="1"/>
  <c r="F87" i="1"/>
  <c r="O85" i="1"/>
  <c r="K85" i="1"/>
  <c r="F85" i="1"/>
  <c r="O55" i="1"/>
  <c r="K55" i="1"/>
  <c r="F55" i="1"/>
  <c r="F35" i="1"/>
  <c r="F54" i="1"/>
  <c r="O232" i="1"/>
  <c r="K232" i="1"/>
  <c r="O225" i="1"/>
  <c r="K225" i="1"/>
  <c r="O131" i="1"/>
  <c r="K131" i="1"/>
  <c r="F29" i="1"/>
  <c r="J188" i="1"/>
  <c r="E188" i="1"/>
  <c r="J187" i="1"/>
  <c r="I129" i="3" s="1"/>
  <c r="E187" i="1"/>
  <c r="J110" i="1"/>
  <c r="E110" i="1"/>
  <c r="E75" i="1" s="1"/>
  <c r="N69" i="3"/>
  <c r="N34" i="3" s="1"/>
  <c r="M69" i="3"/>
  <c r="M34" i="3" s="1"/>
  <c r="L69" i="3"/>
  <c r="L34" i="3" s="1"/>
  <c r="K69" i="3"/>
  <c r="K34" i="3" s="1"/>
  <c r="J69" i="3"/>
  <c r="J34" i="3" s="1"/>
  <c r="H69" i="3"/>
  <c r="H34" i="3" s="1"/>
  <c r="G69" i="3"/>
  <c r="G34" i="3" s="1"/>
  <c r="F69" i="3"/>
  <c r="F34" i="3" s="1"/>
  <c r="E69" i="3"/>
  <c r="E34" i="3" s="1"/>
  <c r="N68" i="3"/>
  <c r="M68" i="3"/>
  <c r="L68" i="3"/>
  <c r="K68" i="3"/>
  <c r="J68" i="3"/>
  <c r="H68" i="3"/>
  <c r="G68" i="3"/>
  <c r="F68" i="3"/>
  <c r="E68" i="3"/>
  <c r="N66" i="3"/>
  <c r="N33" i="3" s="1"/>
  <c r="M66" i="3"/>
  <c r="M33" i="3" s="1"/>
  <c r="L66" i="3"/>
  <c r="L33" i="3" s="1"/>
  <c r="K66" i="3"/>
  <c r="K33" i="3" s="1"/>
  <c r="J66" i="3"/>
  <c r="J33" i="3" s="1"/>
  <c r="H66" i="3"/>
  <c r="H33" i="3" s="1"/>
  <c r="G66" i="3"/>
  <c r="G33" i="3" s="1"/>
  <c r="F66" i="3"/>
  <c r="F33" i="3" s="1"/>
  <c r="E66" i="3"/>
  <c r="E33" i="3" s="1"/>
  <c r="N65" i="3"/>
  <c r="M65" i="3"/>
  <c r="L65" i="3"/>
  <c r="K65" i="3"/>
  <c r="J65" i="3"/>
  <c r="H65" i="3"/>
  <c r="G65" i="3"/>
  <c r="F65" i="3"/>
  <c r="E65" i="3"/>
  <c r="E102" i="1"/>
  <c r="E101" i="1"/>
  <c r="D68" i="3" s="1"/>
  <c r="E99" i="1"/>
  <c r="E98" i="1"/>
  <c r="D65" i="3" s="1"/>
  <c r="J102" i="1"/>
  <c r="J101" i="1"/>
  <c r="P101" i="1" s="1"/>
  <c r="O68" i="3" s="1"/>
  <c r="J99" i="1"/>
  <c r="J98" i="1"/>
  <c r="P98" i="1" s="1"/>
  <c r="O65" i="3" s="1"/>
  <c r="D130" i="3" l="1"/>
  <c r="D100" i="3" s="1"/>
  <c r="E161" i="1"/>
  <c r="I130" i="3"/>
  <c r="I100" i="3" s="1"/>
  <c r="J161" i="1"/>
  <c r="I146" i="3"/>
  <c r="I142" i="3" s="1"/>
  <c r="J75" i="1"/>
  <c r="P99" i="1"/>
  <c r="J73" i="1"/>
  <c r="P102" i="1"/>
  <c r="J72" i="1"/>
  <c r="D66" i="3"/>
  <c r="D33" i="3" s="1"/>
  <c r="E73" i="1"/>
  <c r="D69" i="3"/>
  <c r="D34" i="3" s="1"/>
  <c r="E72" i="1"/>
  <c r="P110" i="1"/>
  <c r="D146" i="3"/>
  <c r="D142" i="3" s="1"/>
  <c r="P187" i="1"/>
  <c r="O129" i="3" s="1"/>
  <c r="D129" i="3"/>
  <c r="P188" i="1"/>
  <c r="I65" i="3"/>
  <c r="I68" i="3"/>
  <c r="I66" i="3"/>
  <c r="I33" i="3" s="1"/>
  <c r="I69" i="3"/>
  <c r="I34" i="3" s="1"/>
  <c r="O113" i="1"/>
  <c r="K113" i="1"/>
  <c r="O130" i="3" l="1"/>
  <c r="O100" i="3" s="1"/>
  <c r="P161" i="1"/>
  <c r="O146" i="3"/>
  <c r="O142" i="3" s="1"/>
  <c r="P75" i="1"/>
  <c r="O69" i="3"/>
  <c r="O34" i="3" s="1"/>
  <c r="P72" i="1"/>
  <c r="O66" i="3"/>
  <c r="O33" i="3" s="1"/>
  <c r="P73" i="1"/>
  <c r="E232" i="3"/>
  <c r="E231" i="3" s="1"/>
  <c r="F232" i="3"/>
  <c r="F231" i="3" s="1"/>
  <c r="G232" i="3"/>
  <c r="G231" i="3" s="1"/>
  <c r="H232" i="3"/>
  <c r="H231" i="3" s="1"/>
  <c r="J232" i="3"/>
  <c r="J231" i="3" s="1"/>
  <c r="K232" i="3"/>
  <c r="K231" i="3" s="1"/>
  <c r="L232" i="3"/>
  <c r="L231" i="3" s="1"/>
  <c r="M232" i="3"/>
  <c r="M231" i="3" s="1"/>
  <c r="N232" i="3"/>
  <c r="N231" i="3" s="1"/>
  <c r="E235" i="3"/>
  <c r="E233" i="3" s="1"/>
  <c r="F235" i="3"/>
  <c r="F233" i="3" s="1"/>
  <c r="G235" i="3"/>
  <c r="G233" i="3" s="1"/>
  <c r="H235" i="3"/>
  <c r="H233" i="3" s="1"/>
  <c r="J235" i="3"/>
  <c r="J233" i="3" s="1"/>
  <c r="K235" i="3"/>
  <c r="K233" i="3" s="1"/>
  <c r="L235" i="3"/>
  <c r="L233" i="3" s="1"/>
  <c r="M235" i="3"/>
  <c r="M233" i="3" s="1"/>
  <c r="N235" i="3"/>
  <c r="N233" i="3" s="1"/>
  <c r="E236" i="3"/>
  <c r="E234" i="3" s="1"/>
  <c r="E230" i="3" s="1"/>
  <c r="F236" i="3"/>
  <c r="F234" i="3" s="1"/>
  <c r="F230" i="3" s="1"/>
  <c r="G236" i="3"/>
  <c r="G234" i="3" s="1"/>
  <c r="G230" i="3" s="1"/>
  <c r="H236" i="3"/>
  <c r="H234" i="3" s="1"/>
  <c r="H230" i="3" s="1"/>
  <c r="J236" i="3"/>
  <c r="J234" i="3" s="1"/>
  <c r="J230" i="3" s="1"/>
  <c r="K236" i="3"/>
  <c r="K234" i="3" s="1"/>
  <c r="K230" i="3" s="1"/>
  <c r="L236" i="3"/>
  <c r="L234" i="3" s="1"/>
  <c r="L230" i="3" s="1"/>
  <c r="M236" i="3"/>
  <c r="M234" i="3" s="1"/>
  <c r="M230" i="3" s="1"/>
  <c r="N236" i="3"/>
  <c r="N234" i="3" s="1"/>
  <c r="N230" i="3" s="1"/>
  <c r="E239" i="3"/>
  <c r="F239" i="3"/>
  <c r="G239" i="3"/>
  <c r="H239" i="3"/>
  <c r="J239" i="3"/>
  <c r="K239" i="3"/>
  <c r="L239" i="3"/>
  <c r="M239" i="3"/>
  <c r="N239" i="3"/>
  <c r="F241" i="3"/>
  <c r="G241" i="3"/>
  <c r="H241" i="3"/>
  <c r="J241" i="3"/>
  <c r="K241" i="3"/>
  <c r="L241" i="3"/>
  <c r="M241" i="3"/>
  <c r="N241" i="3"/>
  <c r="L237" i="3" l="1"/>
  <c r="G237" i="3"/>
  <c r="G229" i="3" s="1"/>
  <c r="M237" i="3"/>
  <c r="K237" i="3"/>
  <c r="H237" i="3"/>
  <c r="F237" i="3"/>
  <c r="F229" i="3" s="1"/>
  <c r="L229" i="3"/>
  <c r="H229" i="3"/>
  <c r="M229" i="3"/>
  <c r="K229" i="3"/>
  <c r="I229" i="1"/>
  <c r="F229" i="1"/>
  <c r="O116" i="1"/>
  <c r="L116" i="1"/>
  <c r="L63" i="1" s="1"/>
  <c r="F224" i="1" l="1"/>
  <c r="F227" i="1" l="1"/>
  <c r="F216" i="1" s="1"/>
  <c r="F114" i="1" l="1"/>
  <c r="O77" i="1"/>
  <c r="K77" i="1"/>
  <c r="O79" i="1"/>
  <c r="K79" i="1"/>
  <c r="O104" i="1" l="1"/>
  <c r="K104" i="1"/>
  <c r="F104" i="1"/>
  <c r="O103" i="1"/>
  <c r="K103" i="1"/>
  <c r="F103" i="1"/>
  <c r="O76" i="1"/>
  <c r="K76" i="1"/>
  <c r="L302" i="1"/>
  <c r="O39" i="1"/>
  <c r="K39" i="1"/>
  <c r="E241" i="3"/>
  <c r="F200" i="1"/>
  <c r="F107" i="1"/>
  <c r="F167" i="1"/>
  <c r="F144" i="1"/>
  <c r="F142" i="1"/>
  <c r="F181" i="1"/>
  <c r="F63" i="1" l="1"/>
  <c r="N183" i="3"/>
  <c r="M183" i="3"/>
  <c r="L183" i="3"/>
  <c r="K183" i="3"/>
  <c r="J183" i="3"/>
  <c r="H183" i="3"/>
  <c r="G183" i="3"/>
  <c r="F183" i="3"/>
  <c r="K237" i="1"/>
  <c r="O220" i="1"/>
  <c r="N220" i="1"/>
  <c r="M220" i="1"/>
  <c r="L220" i="1"/>
  <c r="K220" i="1"/>
  <c r="I220" i="1"/>
  <c r="H220" i="1"/>
  <c r="G220" i="1"/>
  <c r="F220" i="1"/>
  <c r="M181" i="3"/>
  <c r="L181" i="3"/>
  <c r="K181" i="3"/>
  <c r="J181" i="3"/>
  <c r="H181" i="3"/>
  <c r="G181" i="3"/>
  <c r="F181" i="3"/>
  <c r="E181" i="3"/>
  <c r="N182" i="3"/>
  <c r="M182" i="3"/>
  <c r="L182" i="3"/>
  <c r="K182" i="3"/>
  <c r="J182" i="3"/>
  <c r="H182" i="3"/>
  <c r="G182" i="3"/>
  <c r="F182" i="3"/>
  <c r="E182" i="3"/>
  <c r="O38" i="1"/>
  <c r="K38" i="1"/>
  <c r="F280" i="1"/>
  <c r="E183" i="3" s="1"/>
  <c r="O279" i="1"/>
  <c r="K279" i="1"/>
  <c r="K276" i="1" s="1"/>
  <c r="O276" i="1"/>
  <c r="N276" i="1"/>
  <c r="M276" i="1"/>
  <c r="I276" i="1"/>
  <c r="H276" i="1"/>
  <c r="G276" i="1"/>
  <c r="J280" i="1"/>
  <c r="E280" i="1"/>
  <c r="O237" i="1"/>
  <c r="N181" i="3" s="1"/>
  <c r="O128" i="1"/>
  <c r="N128" i="1"/>
  <c r="M128" i="1"/>
  <c r="L128" i="1"/>
  <c r="K128" i="1"/>
  <c r="I128" i="1"/>
  <c r="H128" i="1"/>
  <c r="G128" i="1"/>
  <c r="F128" i="1"/>
  <c r="O74" i="1"/>
  <c r="N74" i="1"/>
  <c r="M74" i="1"/>
  <c r="L74" i="1"/>
  <c r="K74" i="1"/>
  <c r="I74" i="1"/>
  <c r="H74" i="1"/>
  <c r="G74" i="1"/>
  <c r="F74" i="1"/>
  <c r="E113" i="1"/>
  <c r="E74" i="1" s="1"/>
  <c r="E112" i="1"/>
  <c r="J113" i="1"/>
  <c r="P113" i="1" s="1"/>
  <c r="P74" i="1" s="1"/>
  <c r="J112" i="1"/>
  <c r="O208" i="1"/>
  <c r="K208" i="1"/>
  <c r="I243" i="1"/>
  <c r="O226" i="1"/>
  <c r="K226" i="1"/>
  <c r="O191" i="1"/>
  <c r="O156" i="1" s="1"/>
  <c r="K191" i="1"/>
  <c r="K156" i="1" s="1"/>
  <c r="O287" i="1"/>
  <c r="K287" i="1"/>
  <c r="O254" i="1"/>
  <c r="K254" i="1"/>
  <c r="O209" i="1"/>
  <c r="K209" i="1"/>
  <c r="O40" i="1"/>
  <c r="K40" i="1"/>
  <c r="L249" i="1"/>
  <c r="P280" i="1" l="1"/>
  <c r="P112" i="1"/>
  <c r="F276" i="1"/>
  <c r="J74" i="1"/>
  <c r="F300" i="1" l="1"/>
  <c r="N237" i="3" l="1"/>
  <c r="N229" i="3" s="1"/>
  <c r="J237" i="3"/>
  <c r="J229" i="3" s="1"/>
  <c r="F71" i="1"/>
  <c r="M19" i="3"/>
  <c r="L19" i="3"/>
  <c r="K19" i="3"/>
  <c r="H19" i="3"/>
  <c r="F19" i="3"/>
  <c r="N52" i="3" l="1"/>
  <c r="N26" i="3" s="1"/>
  <c r="M52" i="3"/>
  <c r="M26" i="3" s="1"/>
  <c r="L52" i="3"/>
  <c r="L26" i="3" s="1"/>
  <c r="K52" i="3"/>
  <c r="K26" i="3" s="1"/>
  <c r="J52" i="3"/>
  <c r="J26" i="3" s="1"/>
  <c r="H52" i="3"/>
  <c r="H26" i="3" s="1"/>
  <c r="G52" i="3"/>
  <c r="G26" i="3" s="1"/>
  <c r="F52" i="3"/>
  <c r="F26" i="3" s="1"/>
  <c r="E52" i="3"/>
  <c r="E26" i="3" s="1"/>
  <c r="O66" i="1"/>
  <c r="N66" i="1"/>
  <c r="M66" i="1"/>
  <c r="L66" i="1"/>
  <c r="K66" i="1"/>
  <c r="I66" i="1"/>
  <c r="H66" i="1"/>
  <c r="G66" i="1"/>
  <c r="F66" i="1"/>
  <c r="J86" i="1"/>
  <c r="I52" i="3" s="1"/>
  <c r="I26" i="3" s="1"/>
  <c r="E86" i="1"/>
  <c r="D52" i="3" s="1"/>
  <c r="D26" i="3" s="1"/>
  <c r="G57" i="1"/>
  <c r="F57" i="1"/>
  <c r="F211" i="1"/>
  <c r="N21" i="3"/>
  <c r="M21" i="3"/>
  <c r="L21" i="3"/>
  <c r="K21" i="3"/>
  <c r="J21" i="3"/>
  <c r="H21" i="3"/>
  <c r="G21" i="3"/>
  <c r="F21" i="3"/>
  <c r="E21" i="3"/>
  <c r="J223" i="1"/>
  <c r="E223" i="1"/>
  <c r="O146" i="1"/>
  <c r="K146" i="1"/>
  <c r="G19" i="3"/>
  <c r="O265" i="1"/>
  <c r="K265" i="1"/>
  <c r="O263" i="1"/>
  <c r="K263" i="1"/>
  <c r="O267" i="1"/>
  <c r="K267" i="1"/>
  <c r="O200" i="1"/>
  <c r="K200" i="1"/>
  <c r="O199" i="1"/>
  <c r="K199" i="1"/>
  <c r="K197" i="1" s="1"/>
  <c r="F165" i="1"/>
  <c r="F156" i="1" s="1"/>
  <c r="O91" i="1"/>
  <c r="O63" i="1" s="1"/>
  <c r="K91" i="1"/>
  <c r="K63" i="1" s="1"/>
  <c r="F49" i="1"/>
  <c r="F18" i="1" s="1"/>
  <c r="O21" i="1"/>
  <c r="K21" i="1"/>
  <c r="O148" i="1"/>
  <c r="K148" i="1"/>
  <c r="O260" i="1"/>
  <c r="O256" i="1" s="1"/>
  <c r="N19" i="3" l="1"/>
  <c r="O18" i="1"/>
  <c r="J19" i="3"/>
  <c r="K18" i="1"/>
  <c r="K256" i="1"/>
  <c r="P223" i="1"/>
  <c r="P86" i="1"/>
  <c r="E66" i="1"/>
  <c r="J66" i="1"/>
  <c r="L281" i="1"/>
  <c r="L276" i="1" s="1"/>
  <c r="O246" i="1"/>
  <c r="L246" i="1"/>
  <c r="L216" i="1" s="1"/>
  <c r="N195" i="3"/>
  <c r="M195" i="3"/>
  <c r="L195" i="3"/>
  <c r="K195" i="3"/>
  <c r="J195" i="3"/>
  <c r="H195" i="3"/>
  <c r="G195" i="3"/>
  <c r="F195" i="3"/>
  <c r="E195" i="3"/>
  <c r="N196" i="3"/>
  <c r="N186" i="3" s="1"/>
  <c r="M196" i="3"/>
  <c r="M186" i="3" s="1"/>
  <c r="L196" i="3"/>
  <c r="L186" i="3" s="1"/>
  <c r="K196" i="3"/>
  <c r="K186" i="3" s="1"/>
  <c r="J196" i="3"/>
  <c r="J186" i="3" s="1"/>
  <c r="H196" i="3"/>
  <c r="H186" i="3" s="1"/>
  <c r="G196" i="3"/>
  <c r="G186" i="3" s="1"/>
  <c r="F196" i="3"/>
  <c r="F186" i="3" s="1"/>
  <c r="E196" i="3"/>
  <c r="E186" i="3" s="1"/>
  <c r="N54" i="3"/>
  <c r="M54" i="3"/>
  <c r="L54" i="3"/>
  <c r="K54" i="3"/>
  <c r="J54" i="3"/>
  <c r="H54" i="3"/>
  <c r="G54" i="3"/>
  <c r="F54" i="3"/>
  <c r="E54" i="3"/>
  <c r="N55" i="3"/>
  <c r="M55" i="3"/>
  <c r="L55" i="3"/>
  <c r="K55" i="3"/>
  <c r="J55" i="3"/>
  <c r="H55" i="3"/>
  <c r="G55" i="3"/>
  <c r="F55" i="3"/>
  <c r="E55" i="3"/>
  <c r="N71" i="1"/>
  <c r="M71" i="1"/>
  <c r="L71" i="1"/>
  <c r="I71" i="1"/>
  <c r="H71" i="1"/>
  <c r="G71" i="1"/>
  <c r="J118" i="1"/>
  <c r="I236" i="3" s="1"/>
  <c r="I234" i="3" s="1"/>
  <c r="I230" i="3" s="1"/>
  <c r="J117" i="1"/>
  <c r="I235" i="3" s="1"/>
  <c r="I233" i="3" s="1"/>
  <c r="E118" i="1"/>
  <c r="P118" i="1" s="1"/>
  <c r="O236" i="3" s="1"/>
  <c r="O234" i="3" s="1"/>
  <c r="O230" i="3" s="1"/>
  <c r="E117" i="1"/>
  <c r="P117" i="1" s="1"/>
  <c r="O235" i="3" s="1"/>
  <c r="O233" i="3" s="1"/>
  <c r="J89" i="1"/>
  <c r="I55" i="3" s="1"/>
  <c r="J88" i="1"/>
  <c r="I54" i="3" s="1"/>
  <c r="E89" i="1"/>
  <c r="P89" i="1" s="1"/>
  <c r="O55" i="3" s="1"/>
  <c r="E88" i="1"/>
  <c r="P88" i="1" s="1"/>
  <c r="O54" i="3" s="1"/>
  <c r="O71" i="1"/>
  <c r="K71" i="1"/>
  <c r="D236" i="3" l="1"/>
  <c r="D234" i="3" s="1"/>
  <c r="D230" i="3" s="1"/>
  <c r="D55" i="3"/>
  <c r="O52" i="3"/>
  <c r="O26" i="3" s="1"/>
  <c r="P66" i="1"/>
  <c r="D54" i="3"/>
  <c r="D235" i="3"/>
  <c r="D233" i="3" s="1"/>
  <c r="F64" i="1"/>
  <c r="O152" i="1" l="1"/>
  <c r="K152" i="1"/>
  <c r="J163" i="1" l="1"/>
  <c r="E163" i="1" l="1"/>
  <c r="P163" i="1" s="1"/>
  <c r="O151" i="1"/>
  <c r="K151" i="1"/>
  <c r="E19" i="3" l="1"/>
  <c r="K122" i="1"/>
  <c r="N53" i="3"/>
  <c r="N32" i="3" s="1"/>
  <c r="M53" i="3"/>
  <c r="M32" i="3" s="1"/>
  <c r="L53" i="3"/>
  <c r="L32" i="3" s="1"/>
  <c r="K53" i="3"/>
  <c r="K32" i="3" s="1"/>
  <c r="J53" i="3"/>
  <c r="J32" i="3" s="1"/>
  <c r="H53" i="3"/>
  <c r="H32" i="3" s="1"/>
  <c r="G53" i="3"/>
  <c r="G32" i="3" s="1"/>
  <c r="F53" i="3"/>
  <c r="F32" i="3" s="1"/>
  <c r="E53" i="3"/>
  <c r="E32" i="3" s="1"/>
  <c r="J87" i="1"/>
  <c r="J71" i="1" s="1"/>
  <c r="E87" i="1"/>
  <c r="E71" i="1" s="1"/>
  <c r="E237" i="3" l="1"/>
  <c r="E229" i="3" s="1"/>
  <c r="P87" i="1"/>
  <c r="P71" i="1" s="1"/>
  <c r="D53" i="3"/>
  <c r="D32" i="3" s="1"/>
  <c r="I53" i="3"/>
  <c r="I32" i="3" s="1"/>
  <c r="O234" i="1"/>
  <c r="O216" i="1" s="1"/>
  <c r="K234" i="1"/>
  <c r="K216" i="1" s="1"/>
  <c r="O53" i="3" l="1"/>
  <c r="O32" i="3" s="1"/>
  <c r="F193" i="1"/>
  <c r="F159" i="1" s="1"/>
  <c r="G56" i="1" l="1"/>
  <c r="G18" i="1" s="1"/>
  <c r="I226" i="1" l="1"/>
  <c r="I216" i="1" s="1"/>
  <c r="F303" i="1"/>
  <c r="F292" i="1"/>
  <c r="F288" i="1"/>
  <c r="N171" i="3" l="1"/>
  <c r="M171" i="3"/>
  <c r="L171" i="3"/>
  <c r="K171" i="3"/>
  <c r="J171" i="3"/>
  <c r="H171" i="3"/>
  <c r="G171" i="3"/>
  <c r="F171" i="3"/>
  <c r="E171" i="3"/>
  <c r="K127" i="1" l="1"/>
  <c r="N51" i="3" l="1"/>
  <c r="M51" i="3"/>
  <c r="L51" i="3"/>
  <c r="K51" i="3"/>
  <c r="J51" i="3"/>
  <c r="H51" i="3"/>
  <c r="G51" i="3"/>
  <c r="F51" i="3"/>
  <c r="E51" i="3"/>
  <c r="J85" i="1"/>
  <c r="I51" i="3" s="1"/>
  <c r="E85" i="1"/>
  <c r="J274" i="1"/>
  <c r="I239" i="3" s="1"/>
  <c r="E274" i="1"/>
  <c r="D239" i="3" s="1"/>
  <c r="D51" i="3" l="1"/>
  <c r="P274" i="1"/>
  <c r="O239" i="3" s="1"/>
  <c r="P85" i="1"/>
  <c r="O51" i="3" s="1"/>
  <c r="J120" i="1"/>
  <c r="E120" i="1" l="1"/>
  <c r="N73" i="3"/>
  <c r="N31" i="3" s="1"/>
  <c r="M73" i="3"/>
  <c r="M31" i="3" s="1"/>
  <c r="L73" i="3"/>
  <c r="L31" i="3" s="1"/>
  <c r="K73" i="3"/>
  <c r="K31" i="3" s="1"/>
  <c r="J73" i="3"/>
  <c r="J31" i="3" s="1"/>
  <c r="H73" i="3"/>
  <c r="H31" i="3" s="1"/>
  <c r="G73" i="3"/>
  <c r="G31" i="3" s="1"/>
  <c r="F73" i="3"/>
  <c r="F31" i="3" s="1"/>
  <c r="E73" i="3"/>
  <c r="E31" i="3" s="1"/>
  <c r="N72" i="3"/>
  <c r="M72" i="3"/>
  <c r="L72" i="3"/>
  <c r="K72" i="3"/>
  <c r="J72" i="3"/>
  <c r="H72" i="3"/>
  <c r="G72" i="3"/>
  <c r="F72" i="3"/>
  <c r="E72" i="3"/>
  <c r="O70" i="1"/>
  <c r="N70" i="1"/>
  <c r="M70" i="1"/>
  <c r="L70" i="1"/>
  <c r="K70" i="1"/>
  <c r="I70" i="1"/>
  <c r="H70" i="1"/>
  <c r="G70" i="1"/>
  <c r="F70" i="1"/>
  <c r="J106" i="1"/>
  <c r="I73" i="3" s="1"/>
  <c r="I31" i="3" s="1"/>
  <c r="J105" i="1"/>
  <c r="I72" i="3" s="1"/>
  <c r="E106" i="1"/>
  <c r="P106" i="1" s="1"/>
  <c r="O73" i="3" s="1"/>
  <c r="O31" i="3" s="1"/>
  <c r="E105" i="1"/>
  <c r="P105" i="1" s="1"/>
  <c r="O72" i="3" s="1"/>
  <c r="D73" i="3" l="1"/>
  <c r="D31" i="3" s="1"/>
  <c r="E70" i="1"/>
  <c r="P120" i="1"/>
  <c r="D72" i="3"/>
  <c r="J70" i="1"/>
  <c r="P70" i="1"/>
  <c r="N224" i="3" l="1"/>
  <c r="M224" i="3"/>
  <c r="L224" i="3"/>
  <c r="K224" i="3"/>
  <c r="J224" i="3"/>
  <c r="H224" i="3"/>
  <c r="G224" i="3"/>
  <c r="F224" i="3"/>
  <c r="E224" i="3"/>
  <c r="M202" i="3"/>
  <c r="L202" i="3"/>
  <c r="K202" i="3"/>
  <c r="H202" i="3"/>
  <c r="G202" i="3"/>
  <c r="F202" i="3"/>
  <c r="N57" i="3"/>
  <c r="M57" i="3"/>
  <c r="L57" i="3"/>
  <c r="K57" i="3"/>
  <c r="J57" i="3"/>
  <c r="H57" i="3"/>
  <c r="G57" i="3"/>
  <c r="F57" i="3"/>
  <c r="E57" i="3"/>
  <c r="E207" i="1"/>
  <c r="J207" i="1"/>
  <c r="I57" i="3" s="1"/>
  <c r="D57" i="3" l="1"/>
  <c r="P207" i="1"/>
  <c r="O57" i="3" s="1"/>
  <c r="N212" i="3" l="1"/>
  <c r="M212" i="3"/>
  <c r="L212" i="3"/>
  <c r="K212" i="3"/>
  <c r="J212" i="3"/>
  <c r="H212" i="3"/>
  <c r="G212" i="3"/>
  <c r="F212" i="3"/>
  <c r="E212" i="3"/>
  <c r="E115" i="1"/>
  <c r="D212" i="3" s="1"/>
  <c r="J115" i="1"/>
  <c r="I212" i="3" s="1"/>
  <c r="N145" i="3"/>
  <c r="M145" i="3"/>
  <c r="L145" i="3"/>
  <c r="K145" i="3"/>
  <c r="J145" i="3"/>
  <c r="H145" i="3"/>
  <c r="G145" i="3"/>
  <c r="F145" i="3"/>
  <c r="E145" i="3"/>
  <c r="N134" i="3"/>
  <c r="M134" i="3"/>
  <c r="L134" i="3"/>
  <c r="K134" i="3"/>
  <c r="J134" i="3"/>
  <c r="H134" i="3"/>
  <c r="G134" i="3"/>
  <c r="F134" i="3"/>
  <c r="N116" i="3"/>
  <c r="M116" i="3"/>
  <c r="L116" i="3"/>
  <c r="K116" i="3"/>
  <c r="J116" i="3"/>
  <c r="H116" i="3"/>
  <c r="G116" i="3"/>
  <c r="F116" i="3"/>
  <c r="E116" i="3"/>
  <c r="N71" i="3"/>
  <c r="N29" i="3" s="1"/>
  <c r="M71" i="3"/>
  <c r="M29" i="3" s="1"/>
  <c r="L71" i="3"/>
  <c r="L29" i="3" s="1"/>
  <c r="K71" i="3"/>
  <c r="K29" i="3" s="1"/>
  <c r="J71" i="3"/>
  <c r="J29" i="3" s="1"/>
  <c r="H71" i="3"/>
  <c r="H29" i="3" s="1"/>
  <c r="G71" i="3"/>
  <c r="G29" i="3" s="1"/>
  <c r="F71" i="3"/>
  <c r="F29" i="3" s="1"/>
  <c r="E71" i="3"/>
  <c r="E29" i="3" s="1"/>
  <c r="N70" i="3"/>
  <c r="M70" i="3"/>
  <c r="L70" i="3"/>
  <c r="K70" i="3"/>
  <c r="J70" i="3"/>
  <c r="H70" i="3"/>
  <c r="G70" i="3"/>
  <c r="F70" i="3"/>
  <c r="E70" i="3"/>
  <c r="N63" i="3"/>
  <c r="M63" i="3"/>
  <c r="L63" i="3"/>
  <c r="K63" i="3"/>
  <c r="J63" i="3"/>
  <c r="H63" i="3"/>
  <c r="G63" i="3"/>
  <c r="F63" i="3"/>
  <c r="E63" i="3"/>
  <c r="B63" i="3"/>
  <c r="N62" i="3"/>
  <c r="M62" i="3"/>
  <c r="L62" i="3"/>
  <c r="K62" i="3"/>
  <c r="J62" i="3"/>
  <c r="H62" i="3"/>
  <c r="G62" i="3"/>
  <c r="F62" i="3"/>
  <c r="E62" i="3"/>
  <c r="N61" i="3"/>
  <c r="M61" i="3"/>
  <c r="L61" i="3"/>
  <c r="K61" i="3"/>
  <c r="J61" i="3"/>
  <c r="H61" i="3"/>
  <c r="G61" i="3"/>
  <c r="F61" i="3"/>
  <c r="E61" i="3"/>
  <c r="N60" i="3"/>
  <c r="M60" i="3"/>
  <c r="L60" i="3"/>
  <c r="K60" i="3"/>
  <c r="J60" i="3"/>
  <c r="H60" i="3"/>
  <c r="G60" i="3"/>
  <c r="F60" i="3"/>
  <c r="E60" i="3"/>
  <c r="N59" i="3"/>
  <c r="M59" i="3"/>
  <c r="L59" i="3"/>
  <c r="K59" i="3"/>
  <c r="J59" i="3"/>
  <c r="H59" i="3"/>
  <c r="G59" i="3"/>
  <c r="F59" i="3"/>
  <c r="E59" i="3"/>
  <c r="N58" i="3"/>
  <c r="M58" i="3"/>
  <c r="L58" i="3"/>
  <c r="K58" i="3"/>
  <c r="J58" i="3"/>
  <c r="H58" i="3"/>
  <c r="G58" i="3"/>
  <c r="F58" i="3"/>
  <c r="E58" i="3"/>
  <c r="N56" i="3"/>
  <c r="M56" i="3"/>
  <c r="L56" i="3"/>
  <c r="K56" i="3"/>
  <c r="J56" i="3"/>
  <c r="H56" i="3"/>
  <c r="G56" i="3"/>
  <c r="F56" i="3"/>
  <c r="E56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48" i="3"/>
  <c r="N27" i="3" s="1"/>
  <c r="M48" i="3"/>
  <c r="M27" i="3" s="1"/>
  <c r="L48" i="3"/>
  <c r="L27" i="3" s="1"/>
  <c r="K48" i="3"/>
  <c r="K27" i="3" s="1"/>
  <c r="J48" i="3"/>
  <c r="J27" i="3" s="1"/>
  <c r="H48" i="3"/>
  <c r="H27" i="3" s="1"/>
  <c r="G48" i="3"/>
  <c r="G27" i="3" s="1"/>
  <c r="F48" i="3"/>
  <c r="F27" i="3" s="1"/>
  <c r="E48" i="3"/>
  <c r="E27" i="3" s="1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4" i="3"/>
  <c r="M44" i="3"/>
  <c r="L44" i="3"/>
  <c r="K44" i="3"/>
  <c r="J44" i="3"/>
  <c r="H44" i="3"/>
  <c r="G44" i="3"/>
  <c r="F44" i="3"/>
  <c r="E44" i="3"/>
  <c r="N37" i="3"/>
  <c r="M37" i="3"/>
  <c r="L37" i="3"/>
  <c r="K37" i="3"/>
  <c r="J37" i="3"/>
  <c r="H37" i="3"/>
  <c r="G37" i="3"/>
  <c r="F37" i="3"/>
  <c r="E37" i="3"/>
  <c r="N35" i="3"/>
  <c r="M35" i="3"/>
  <c r="M24" i="3" s="1"/>
  <c r="L35" i="3"/>
  <c r="K35" i="3"/>
  <c r="K24" i="3" s="1"/>
  <c r="J35" i="3"/>
  <c r="H35" i="3"/>
  <c r="H24" i="3" s="1"/>
  <c r="G35" i="3"/>
  <c r="F35" i="3"/>
  <c r="E35" i="3"/>
  <c r="F24" i="3" l="1"/>
  <c r="E24" i="3"/>
  <c r="G24" i="3"/>
  <c r="J24" i="3"/>
  <c r="L24" i="3"/>
  <c r="N24" i="3"/>
  <c r="N202" i="3"/>
  <c r="E25" i="3"/>
  <c r="G25" i="3"/>
  <c r="F25" i="3"/>
  <c r="H25" i="3"/>
  <c r="P115" i="1"/>
  <c r="O212" i="3" s="1"/>
  <c r="J25" i="3"/>
  <c r="N25" i="3"/>
  <c r="K25" i="3"/>
  <c r="M25" i="3"/>
  <c r="L25" i="3"/>
  <c r="J116" i="1"/>
  <c r="J114" i="1"/>
  <c r="J111" i="1"/>
  <c r="J109" i="1"/>
  <c r="J108" i="1"/>
  <c r="J107" i="1"/>
  <c r="E116" i="1"/>
  <c r="E114" i="1"/>
  <c r="E111" i="1"/>
  <c r="E109" i="1"/>
  <c r="E108" i="1"/>
  <c r="E107" i="1"/>
  <c r="P107" i="1" l="1"/>
  <c r="P109" i="1"/>
  <c r="P114" i="1"/>
  <c r="P111" i="1"/>
  <c r="P116" i="1"/>
  <c r="P108" i="1"/>
  <c r="O69" i="1"/>
  <c r="N69" i="1"/>
  <c r="M69" i="1"/>
  <c r="L69" i="1"/>
  <c r="K69" i="1"/>
  <c r="I69" i="1"/>
  <c r="H69" i="1"/>
  <c r="G69" i="1"/>
  <c r="F69" i="1"/>
  <c r="O67" i="1"/>
  <c r="N67" i="1"/>
  <c r="M67" i="1"/>
  <c r="L67" i="1"/>
  <c r="K67" i="1"/>
  <c r="I67" i="1"/>
  <c r="H67" i="1"/>
  <c r="G67" i="1"/>
  <c r="F67" i="1"/>
  <c r="O64" i="1"/>
  <c r="N64" i="1"/>
  <c r="M64" i="1"/>
  <c r="L64" i="1"/>
  <c r="K64" i="1"/>
  <c r="I64" i="1"/>
  <c r="H64" i="1"/>
  <c r="G64" i="1"/>
  <c r="J95" i="1"/>
  <c r="I62" i="3" s="1"/>
  <c r="E95" i="1"/>
  <c r="D62" i="3" s="1"/>
  <c r="J84" i="1"/>
  <c r="I50" i="3" s="1"/>
  <c r="E84" i="1"/>
  <c r="D50" i="3" s="1"/>
  <c r="P95" i="1" l="1"/>
  <c r="O62" i="3" s="1"/>
  <c r="P84" i="1"/>
  <c r="O50" i="3" s="1"/>
  <c r="J202" i="3" l="1"/>
  <c r="O153" i="1"/>
  <c r="E134" i="3" l="1"/>
  <c r="D209" i="1" l="1"/>
  <c r="E202" i="3" l="1"/>
  <c r="D56" i="1" l="1"/>
  <c r="N209" i="3" l="1"/>
  <c r="M209" i="3"/>
  <c r="L209" i="3"/>
  <c r="K209" i="3"/>
  <c r="J209" i="3"/>
  <c r="H209" i="3"/>
  <c r="G209" i="3"/>
  <c r="F209" i="3"/>
  <c r="E209" i="3"/>
  <c r="N175" i="3"/>
  <c r="N178" i="3"/>
  <c r="M178" i="3"/>
  <c r="L178" i="3"/>
  <c r="K178" i="3"/>
  <c r="J178" i="3"/>
  <c r="H178" i="3"/>
  <c r="G178" i="3"/>
  <c r="F178" i="3"/>
  <c r="E178" i="3"/>
  <c r="O205" i="1"/>
  <c r="N205" i="1"/>
  <c r="M205" i="1"/>
  <c r="L205" i="1"/>
  <c r="K205" i="1"/>
  <c r="I205" i="1"/>
  <c r="H205" i="1"/>
  <c r="G205" i="1"/>
  <c r="F205" i="1"/>
  <c r="N207" i="3"/>
  <c r="M207" i="3"/>
  <c r="L207" i="3"/>
  <c r="K207" i="3"/>
  <c r="J207" i="3"/>
  <c r="H207" i="3"/>
  <c r="G207" i="3"/>
  <c r="F207" i="3"/>
  <c r="E207" i="3"/>
  <c r="O221" i="1"/>
  <c r="N221" i="1"/>
  <c r="M221" i="1"/>
  <c r="L221" i="1"/>
  <c r="K221" i="1"/>
  <c r="I221" i="1"/>
  <c r="H221" i="1"/>
  <c r="G221" i="1"/>
  <c r="F221" i="1"/>
  <c r="J279" i="1"/>
  <c r="E279" i="1"/>
  <c r="E245" i="1"/>
  <c r="D207" i="3" s="1"/>
  <c r="J245" i="1"/>
  <c r="I207" i="3" s="1"/>
  <c r="E212" i="1"/>
  <c r="D174" i="3" s="1"/>
  <c r="J212" i="1"/>
  <c r="I174" i="3" s="1"/>
  <c r="D178" i="3" l="1"/>
  <c r="I178" i="3"/>
  <c r="P212" i="1"/>
  <c r="O174" i="3" s="1"/>
  <c r="P245" i="1"/>
  <c r="E221" i="1"/>
  <c r="P279" i="1"/>
  <c r="J221" i="1"/>
  <c r="E20" i="3"/>
  <c r="F20" i="3"/>
  <c r="G20" i="3"/>
  <c r="H20" i="3"/>
  <c r="J20" i="3"/>
  <c r="K20" i="3"/>
  <c r="L20" i="3"/>
  <c r="M20" i="3"/>
  <c r="N20" i="3"/>
  <c r="O178" i="3" l="1"/>
  <c r="O207" i="3"/>
  <c r="P221" i="1"/>
  <c r="N194" i="3"/>
  <c r="M194" i="3"/>
  <c r="L194" i="3"/>
  <c r="K194" i="3"/>
  <c r="J194" i="3"/>
  <c r="H194" i="3"/>
  <c r="G194" i="3"/>
  <c r="F194" i="3"/>
  <c r="E194" i="3"/>
  <c r="J48" i="1" l="1"/>
  <c r="I194" i="3" s="1"/>
  <c r="E48" i="1"/>
  <c r="J22" i="1"/>
  <c r="I20" i="3" s="1"/>
  <c r="E22" i="1"/>
  <c r="D194" i="3" l="1"/>
  <c r="P48" i="1"/>
  <c r="O194" i="3" s="1"/>
  <c r="P22" i="1"/>
  <c r="O20" i="3" s="1"/>
  <c r="D20" i="3"/>
  <c r="F198" i="1" l="1"/>
  <c r="G198" i="1"/>
  <c r="H198" i="1"/>
  <c r="I198" i="1"/>
  <c r="K198" i="1"/>
  <c r="L198" i="1"/>
  <c r="M198" i="1"/>
  <c r="N198" i="1"/>
  <c r="O198" i="1"/>
  <c r="E83" i="3" l="1"/>
  <c r="F83" i="3"/>
  <c r="G83" i="3"/>
  <c r="H83" i="3"/>
  <c r="J83" i="3"/>
  <c r="K83" i="3"/>
  <c r="L83" i="3"/>
  <c r="M83" i="3"/>
  <c r="N83" i="3"/>
  <c r="F122" i="1" l="1"/>
  <c r="G122" i="1"/>
  <c r="H122" i="1"/>
  <c r="I122" i="1"/>
  <c r="L122" i="1"/>
  <c r="M122" i="1"/>
  <c r="N122" i="1"/>
  <c r="O122" i="1"/>
  <c r="E135" i="1"/>
  <c r="J135" i="1"/>
  <c r="I83" i="3" s="1"/>
  <c r="D135" i="1"/>
  <c r="P135" i="1" l="1"/>
  <c r="O83" i="3" s="1"/>
  <c r="D83" i="3"/>
  <c r="E193" i="3"/>
  <c r="F193" i="3"/>
  <c r="G193" i="3"/>
  <c r="H193" i="3"/>
  <c r="J193" i="3"/>
  <c r="K193" i="3"/>
  <c r="L193" i="3"/>
  <c r="M193" i="3"/>
  <c r="N193" i="3"/>
  <c r="E241" i="1"/>
  <c r="J241" i="1"/>
  <c r="F219" i="1"/>
  <c r="F307" i="1" s="1"/>
  <c r="G219" i="1"/>
  <c r="G307" i="1" s="1"/>
  <c r="H219" i="1"/>
  <c r="H307" i="1" s="1"/>
  <c r="I219" i="1"/>
  <c r="I307" i="1" s="1"/>
  <c r="K219" i="1"/>
  <c r="K307" i="1" s="1"/>
  <c r="L219" i="1"/>
  <c r="L307" i="1" s="1"/>
  <c r="M219" i="1"/>
  <c r="M307" i="1" s="1"/>
  <c r="N219" i="1"/>
  <c r="N307" i="1" s="1"/>
  <c r="O219" i="1"/>
  <c r="O307" i="1" s="1"/>
  <c r="D193" i="3" l="1"/>
  <c r="D196" i="3"/>
  <c r="D186" i="3" s="1"/>
  <c r="J219" i="1"/>
  <c r="I196" i="3"/>
  <c r="I186" i="3" s="1"/>
  <c r="E219" i="1"/>
  <c r="P241" i="1"/>
  <c r="O196" i="3" s="1"/>
  <c r="O186" i="3" s="1"/>
  <c r="I193" i="3"/>
  <c r="E203" i="1"/>
  <c r="E198" i="1" s="1"/>
  <c r="J203" i="1"/>
  <c r="L157" i="1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1" i="3"/>
  <c r="F131" i="3"/>
  <c r="G131" i="3"/>
  <c r="H131" i="3"/>
  <c r="J131" i="3"/>
  <c r="K131" i="3"/>
  <c r="L131" i="3"/>
  <c r="M131" i="3"/>
  <c r="N131" i="3"/>
  <c r="E132" i="3"/>
  <c r="E97" i="3" s="1"/>
  <c r="F132" i="3"/>
  <c r="F97" i="3" s="1"/>
  <c r="G132" i="3"/>
  <c r="G97" i="3" s="1"/>
  <c r="H132" i="3"/>
  <c r="H97" i="3" s="1"/>
  <c r="J132" i="3"/>
  <c r="J97" i="3" s="1"/>
  <c r="K132" i="3"/>
  <c r="K97" i="3" s="1"/>
  <c r="L132" i="3"/>
  <c r="L97" i="3" s="1"/>
  <c r="M132" i="3"/>
  <c r="M97" i="3" s="1"/>
  <c r="N132" i="3"/>
  <c r="N97" i="3" s="1"/>
  <c r="E186" i="1"/>
  <c r="E185" i="1"/>
  <c r="D127" i="3" s="1"/>
  <c r="J186" i="1"/>
  <c r="J160" i="1" s="1"/>
  <c r="J185" i="1"/>
  <c r="I127" i="3" s="1"/>
  <c r="E159" i="3"/>
  <c r="F159" i="3"/>
  <c r="F151" i="3" s="1"/>
  <c r="G159" i="3"/>
  <c r="G151" i="3" s="1"/>
  <c r="H159" i="3"/>
  <c r="H151" i="3" s="1"/>
  <c r="J159" i="3"/>
  <c r="J151" i="3" s="1"/>
  <c r="K159" i="3"/>
  <c r="K151" i="3" s="1"/>
  <c r="L159" i="3"/>
  <c r="L151" i="3" s="1"/>
  <c r="M159" i="3"/>
  <c r="N159" i="3"/>
  <c r="N151" i="3" s="1"/>
  <c r="D159" i="3"/>
  <c r="D151" i="3" s="1"/>
  <c r="E151" i="3"/>
  <c r="M151" i="3"/>
  <c r="J189" i="1"/>
  <c r="I131" i="3" s="1"/>
  <c r="J190" i="1"/>
  <c r="J158" i="1" s="1"/>
  <c r="E189" i="1"/>
  <c r="D131" i="3" s="1"/>
  <c r="E190" i="1"/>
  <c r="F158" i="1"/>
  <c r="G158" i="1"/>
  <c r="H158" i="1"/>
  <c r="I158" i="1"/>
  <c r="K158" i="1"/>
  <c r="L158" i="1"/>
  <c r="M158" i="1"/>
  <c r="N158" i="1"/>
  <c r="O158" i="1"/>
  <c r="F157" i="1"/>
  <c r="G157" i="1"/>
  <c r="H157" i="1"/>
  <c r="I157" i="1"/>
  <c r="K157" i="1"/>
  <c r="M157" i="1"/>
  <c r="N157" i="1"/>
  <c r="O157" i="1"/>
  <c r="D157" i="1"/>
  <c r="D190" i="1"/>
  <c r="D158" i="1"/>
  <c r="D189" i="1"/>
  <c r="J23" i="1"/>
  <c r="I21" i="3" s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D128" i="3" l="1"/>
  <c r="D99" i="3" s="1"/>
  <c r="E160" i="1"/>
  <c r="N96" i="3"/>
  <c r="N99" i="3"/>
  <c r="L96" i="3"/>
  <c r="L99" i="3"/>
  <c r="J96" i="3"/>
  <c r="J99" i="3"/>
  <c r="G96" i="3"/>
  <c r="G99" i="3"/>
  <c r="E96" i="3"/>
  <c r="E99" i="3"/>
  <c r="M96" i="3"/>
  <c r="M99" i="3"/>
  <c r="K96" i="3"/>
  <c r="K99" i="3"/>
  <c r="H96" i="3"/>
  <c r="H99" i="3"/>
  <c r="F96" i="3"/>
  <c r="F99" i="3"/>
  <c r="P219" i="1"/>
  <c r="O193" i="3"/>
  <c r="P203" i="1"/>
  <c r="P198" i="1" s="1"/>
  <c r="J198" i="1"/>
  <c r="P186" i="1"/>
  <c r="I159" i="3"/>
  <c r="I151" i="3" s="1"/>
  <c r="D132" i="3"/>
  <c r="D97" i="3" s="1"/>
  <c r="I128" i="3"/>
  <c r="J157" i="1"/>
  <c r="I132" i="3"/>
  <c r="I97" i="3" s="1"/>
  <c r="O159" i="3"/>
  <c r="O151" i="3" s="1"/>
  <c r="P185" i="1"/>
  <c r="P189" i="1"/>
  <c r="O131" i="3" s="1"/>
  <c r="E157" i="1"/>
  <c r="D96" i="3"/>
  <c r="P190" i="1"/>
  <c r="E158" i="1"/>
  <c r="P25" i="1"/>
  <c r="P20" i="1" s="1"/>
  <c r="E20" i="1"/>
  <c r="O128" i="3" l="1"/>
  <c r="P160" i="1"/>
  <c r="I96" i="3"/>
  <c r="I99" i="3"/>
  <c r="O96" i="3"/>
  <c r="O99" i="3"/>
  <c r="P157" i="1"/>
  <c r="O127" i="3"/>
  <c r="P158" i="1"/>
  <c r="O132" i="3"/>
  <c r="O97" i="3" s="1"/>
  <c r="O23" i="3"/>
  <c r="O18" i="3" s="1"/>
  <c r="N158" i="3" l="1"/>
  <c r="M158" i="3"/>
  <c r="L158" i="3"/>
  <c r="K158" i="3"/>
  <c r="J158" i="3"/>
  <c r="H158" i="3"/>
  <c r="G158" i="3"/>
  <c r="F158" i="3"/>
  <c r="E158" i="3"/>
  <c r="O197" i="1"/>
  <c r="N197" i="1"/>
  <c r="M197" i="1"/>
  <c r="L197" i="1"/>
  <c r="I197" i="1"/>
  <c r="H197" i="1"/>
  <c r="J202" i="1"/>
  <c r="I158" i="3" s="1"/>
  <c r="E202" i="1"/>
  <c r="D158" i="3" s="1"/>
  <c r="E272" i="1"/>
  <c r="E270" i="1"/>
  <c r="D183" i="3" s="1"/>
  <c r="N45" i="3"/>
  <c r="M45" i="3"/>
  <c r="L45" i="3"/>
  <c r="K45" i="3"/>
  <c r="J45" i="3"/>
  <c r="H45" i="3"/>
  <c r="G45" i="3"/>
  <c r="F45" i="3"/>
  <c r="E45" i="3"/>
  <c r="I45" i="3"/>
  <c r="N22" i="3"/>
  <c r="M22" i="3"/>
  <c r="L22" i="3"/>
  <c r="K22" i="3"/>
  <c r="J22" i="3"/>
  <c r="H22" i="3"/>
  <c r="G22" i="3"/>
  <c r="F22" i="3"/>
  <c r="E22" i="3"/>
  <c r="I22" i="3"/>
  <c r="E24" i="1"/>
  <c r="O45" i="3" l="1"/>
  <c r="P202" i="1"/>
  <c r="O158" i="3" s="1"/>
  <c r="D45" i="3"/>
  <c r="P24" i="1"/>
  <c r="D22" i="3"/>
  <c r="J154" i="1"/>
  <c r="E154" i="1"/>
  <c r="O22" i="3" l="1"/>
  <c r="P154" i="1"/>
  <c r="J270" i="1" l="1"/>
  <c r="I183" i="3" s="1"/>
  <c r="P270" i="1" l="1"/>
  <c r="O183" i="3" s="1"/>
  <c r="N68" i="1" l="1"/>
  <c r="M68" i="1"/>
  <c r="L68" i="1"/>
  <c r="I68" i="1"/>
  <c r="H68" i="1"/>
  <c r="G68" i="1"/>
  <c r="J92" i="1"/>
  <c r="I59" i="3" s="1"/>
  <c r="E92" i="1"/>
  <c r="D59" i="3" s="1"/>
  <c r="P92" i="1" l="1"/>
  <c r="O59" i="3" s="1"/>
  <c r="J295" i="1"/>
  <c r="M198" i="3" l="1"/>
  <c r="M197" i="3" s="1"/>
  <c r="L198" i="3"/>
  <c r="L197" i="3" s="1"/>
  <c r="K198" i="3"/>
  <c r="K197" i="3" s="1"/>
  <c r="H198" i="3"/>
  <c r="H197" i="3" s="1"/>
  <c r="G198" i="3"/>
  <c r="G197" i="3" s="1"/>
  <c r="F198" i="3"/>
  <c r="F197" i="3" s="1"/>
  <c r="J242" i="1" l="1"/>
  <c r="E242" i="1"/>
  <c r="P242" i="1" l="1"/>
  <c r="N177" i="3" l="1"/>
  <c r="M177" i="3"/>
  <c r="L177" i="3"/>
  <c r="K177" i="3"/>
  <c r="J177" i="3"/>
  <c r="H177" i="3"/>
  <c r="G177" i="3"/>
  <c r="F177" i="3"/>
  <c r="E177" i="3"/>
  <c r="J267" i="1"/>
  <c r="E267" i="1"/>
  <c r="E265" i="1"/>
  <c r="O294" i="1"/>
  <c r="O293" i="1" s="1"/>
  <c r="N294" i="1"/>
  <c r="N293" i="1" s="1"/>
  <c r="M294" i="1"/>
  <c r="M293" i="1" s="1"/>
  <c r="L294" i="1"/>
  <c r="L293" i="1" s="1"/>
  <c r="K294" i="1"/>
  <c r="K293" i="1" s="1"/>
  <c r="J294" i="1"/>
  <c r="J293" i="1" s="1"/>
  <c r="I294" i="1"/>
  <c r="I293" i="1" s="1"/>
  <c r="H294" i="1"/>
  <c r="H293" i="1" s="1"/>
  <c r="G294" i="1"/>
  <c r="G293" i="1" s="1"/>
  <c r="F294" i="1"/>
  <c r="F293" i="1" s="1"/>
  <c r="E295" i="1"/>
  <c r="P295" i="1" s="1"/>
  <c r="P294" i="1" s="1"/>
  <c r="P293" i="1" s="1"/>
  <c r="N198" i="3"/>
  <c r="N197" i="3" s="1"/>
  <c r="J198" i="3"/>
  <c r="J197" i="3" s="1"/>
  <c r="E294" i="1" l="1"/>
  <c r="E293" i="1" s="1"/>
  <c r="P267" i="1"/>
  <c r="O68" i="1"/>
  <c r="K68" i="1"/>
  <c r="F68" i="1"/>
  <c r="O124" i="1" l="1"/>
  <c r="N124" i="1"/>
  <c r="M124" i="1"/>
  <c r="L124" i="1"/>
  <c r="K124" i="1"/>
  <c r="I124" i="1"/>
  <c r="H124" i="1"/>
  <c r="G124" i="1"/>
  <c r="F124" i="1"/>
  <c r="J149" i="1"/>
  <c r="J150" i="1"/>
  <c r="E149" i="1"/>
  <c r="E150" i="1"/>
  <c r="J128" i="1" l="1"/>
  <c r="E124" i="1"/>
  <c r="E128" i="1"/>
  <c r="P150" i="1"/>
  <c r="P149" i="1"/>
  <c r="J124" i="1"/>
  <c r="P124" i="1" l="1"/>
  <c r="P128" i="1"/>
  <c r="D234" i="1"/>
  <c r="N203" i="3" l="1"/>
  <c r="M203" i="3"/>
  <c r="L203" i="3"/>
  <c r="K203" i="3"/>
  <c r="J203" i="3"/>
  <c r="H203" i="3"/>
  <c r="G203" i="3"/>
  <c r="F203" i="3"/>
  <c r="E203" i="3"/>
  <c r="F200" i="3" l="1"/>
  <c r="F165" i="3" s="1"/>
  <c r="F245" i="3" s="1"/>
  <c r="H200" i="3"/>
  <c r="H165" i="3" s="1"/>
  <c r="H245" i="3" s="1"/>
  <c r="K200" i="3"/>
  <c r="K165" i="3" s="1"/>
  <c r="K245" i="3" s="1"/>
  <c r="M200" i="3"/>
  <c r="M165" i="3" s="1"/>
  <c r="M245" i="3" s="1"/>
  <c r="E200" i="3"/>
  <c r="E165" i="3" s="1"/>
  <c r="E245" i="3" s="1"/>
  <c r="G200" i="3"/>
  <c r="G165" i="3" s="1"/>
  <c r="G245" i="3" s="1"/>
  <c r="L200" i="3"/>
  <c r="L165" i="3" s="1"/>
  <c r="L245" i="3" s="1"/>
  <c r="N200" i="3"/>
  <c r="N165" i="3" s="1"/>
  <c r="N245" i="3" s="1"/>
  <c r="J200" i="3"/>
  <c r="J165" i="3" s="1"/>
  <c r="J245" i="3" s="1"/>
  <c r="O129" i="1"/>
  <c r="N129" i="1"/>
  <c r="M129" i="1"/>
  <c r="L129" i="1"/>
  <c r="K129" i="1"/>
  <c r="I129" i="1"/>
  <c r="H129" i="1"/>
  <c r="G129" i="1"/>
  <c r="F129" i="1"/>
  <c r="O257" i="1"/>
  <c r="N257" i="1"/>
  <c r="M257" i="1"/>
  <c r="L257" i="1"/>
  <c r="K257" i="1"/>
  <c r="I257" i="1"/>
  <c r="H257" i="1"/>
  <c r="G257" i="1"/>
  <c r="F257" i="1"/>
  <c r="E257" i="1"/>
  <c r="F309" i="1" l="1"/>
  <c r="H309" i="1"/>
  <c r="H313" i="1" s="1"/>
  <c r="K309" i="1"/>
  <c r="M309" i="1"/>
  <c r="O309" i="1"/>
  <c r="G309" i="1"/>
  <c r="I309" i="1"/>
  <c r="I313" i="1" s="1"/>
  <c r="L309" i="1"/>
  <c r="L313" i="1" s="1"/>
  <c r="N309" i="1"/>
  <c r="M313" i="1" l="1"/>
  <c r="G313" i="1"/>
  <c r="F313" i="1"/>
  <c r="K313" i="1"/>
  <c r="N313" i="1"/>
  <c r="O313" i="1"/>
  <c r="E198" i="3"/>
  <c r="E197" i="3" s="1"/>
  <c r="M175" i="3" l="1"/>
  <c r="L175" i="3"/>
  <c r="K175" i="3"/>
  <c r="H175" i="3"/>
  <c r="G175" i="3"/>
  <c r="F175" i="3"/>
  <c r="E175" i="3"/>
  <c r="N173" i="3" l="1"/>
  <c r="M173" i="3"/>
  <c r="L173" i="3"/>
  <c r="K173" i="3"/>
  <c r="J173" i="3"/>
  <c r="H173" i="3"/>
  <c r="G173" i="3"/>
  <c r="F173" i="3"/>
  <c r="E173" i="3"/>
  <c r="M172" i="3"/>
  <c r="L172" i="3"/>
  <c r="K172" i="3"/>
  <c r="H172" i="3"/>
  <c r="G172" i="3"/>
  <c r="F172" i="3"/>
  <c r="E172" i="3"/>
  <c r="M176" i="3"/>
  <c r="L176" i="3"/>
  <c r="K176" i="3"/>
  <c r="H176" i="3"/>
  <c r="G176" i="3"/>
  <c r="F176" i="3"/>
  <c r="E176" i="3"/>
  <c r="J194" i="1" l="1"/>
  <c r="E194" i="1"/>
  <c r="D173" i="3" s="1"/>
  <c r="J147" i="1"/>
  <c r="E147" i="1"/>
  <c r="E43" i="1"/>
  <c r="E42" i="1"/>
  <c r="D175" i="3" s="1"/>
  <c r="J43" i="1"/>
  <c r="P43" i="1" s="1"/>
  <c r="J42" i="1"/>
  <c r="P42" i="1" l="1"/>
  <c r="P147" i="1"/>
  <c r="P194" i="1"/>
  <c r="O173" i="3" s="1"/>
  <c r="I173" i="3"/>
  <c r="N176" i="3"/>
  <c r="J176" i="3"/>
  <c r="E152" i="1" l="1"/>
  <c r="J152" i="1"/>
  <c r="J129" i="1" l="1"/>
  <c r="D203" i="3"/>
  <c r="E129" i="1"/>
  <c r="E309" i="1" s="1"/>
  <c r="P152" i="1"/>
  <c r="J272" i="1"/>
  <c r="J257" i="1" s="1"/>
  <c r="J309" i="1" l="1"/>
  <c r="D200" i="3"/>
  <c r="I203" i="3"/>
  <c r="P129" i="1"/>
  <c r="P272" i="1"/>
  <c r="P257" i="1" s="1"/>
  <c r="N192" i="3"/>
  <c r="M192" i="3"/>
  <c r="L192" i="3"/>
  <c r="K192" i="3"/>
  <c r="J192" i="3"/>
  <c r="H192" i="3"/>
  <c r="G192" i="3"/>
  <c r="F192" i="3"/>
  <c r="E192" i="3"/>
  <c r="N135" i="3"/>
  <c r="M135" i="3"/>
  <c r="L135" i="3"/>
  <c r="K135" i="3"/>
  <c r="J135" i="3"/>
  <c r="H135" i="3"/>
  <c r="G135" i="3"/>
  <c r="F135" i="3"/>
  <c r="N121" i="3"/>
  <c r="M121" i="3"/>
  <c r="L121" i="3"/>
  <c r="K121" i="3"/>
  <c r="J121" i="3"/>
  <c r="H121" i="3"/>
  <c r="G121" i="3"/>
  <c r="F121" i="3"/>
  <c r="E121" i="3"/>
  <c r="N119" i="3"/>
  <c r="M119" i="3"/>
  <c r="L119" i="3"/>
  <c r="K119" i="3"/>
  <c r="J119" i="3"/>
  <c r="H119" i="3"/>
  <c r="G119" i="3"/>
  <c r="F119" i="3"/>
  <c r="E119" i="3"/>
  <c r="N110" i="3"/>
  <c r="M110" i="3"/>
  <c r="L110" i="3"/>
  <c r="K110" i="3"/>
  <c r="J110" i="3"/>
  <c r="H110" i="3"/>
  <c r="G110" i="3"/>
  <c r="F110" i="3"/>
  <c r="E110" i="3"/>
  <c r="N108" i="3"/>
  <c r="M108" i="3"/>
  <c r="L108" i="3"/>
  <c r="K108" i="3"/>
  <c r="J108" i="3"/>
  <c r="H108" i="3"/>
  <c r="G108" i="3"/>
  <c r="F108" i="3"/>
  <c r="E108" i="3"/>
  <c r="N104" i="3"/>
  <c r="M104" i="3"/>
  <c r="M98" i="3" s="1"/>
  <c r="L104" i="3"/>
  <c r="K104" i="3"/>
  <c r="K98" i="3" s="1"/>
  <c r="J104" i="3"/>
  <c r="H104" i="3"/>
  <c r="H98" i="3" s="1"/>
  <c r="G104" i="3"/>
  <c r="F104" i="3"/>
  <c r="F98" i="3" s="1"/>
  <c r="N92" i="3"/>
  <c r="M92" i="3"/>
  <c r="L92" i="3"/>
  <c r="K92" i="3"/>
  <c r="J92" i="3"/>
  <c r="H92" i="3"/>
  <c r="G92" i="3"/>
  <c r="F92" i="3"/>
  <c r="E92" i="3"/>
  <c r="N91" i="3"/>
  <c r="M91" i="3"/>
  <c r="L91" i="3"/>
  <c r="K91" i="3"/>
  <c r="J91" i="3"/>
  <c r="H91" i="3"/>
  <c r="G91" i="3"/>
  <c r="F91" i="3"/>
  <c r="E91" i="3"/>
  <c r="N89" i="3"/>
  <c r="M89" i="3"/>
  <c r="L89" i="3"/>
  <c r="K89" i="3"/>
  <c r="J89" i="3"/>
  <c r="H89" i="3"/>
  <c r="G89" i="3"/>
  <c r="F89" i="3"/>
  <c r="E89" i="3"/>
  <c r="N87" i="3"/>
  <c r="M87" i="3"/>
  <c r="L87" i="3"/>
  <c r="K87" i="3"/>
  <c r="J87" i="3"/>
  <c r="H87" i="3"/>
  <c r="G87" i="3"/>
  <c r="F87" i="3"/>
  <c r="E87" i="3"/>
  <c r="N85" i="3"/>
  <c r="M85" i="3"/>
  <c r="L85" i="3"/>
  <c r="K85" i="3"/>
  <c r="J85" i="3"/>
  <c r="I85" i="3"/>
  <c r="H85" i="3"/>
  <c r="G85" i="3"/>
  <c r="F85" i="3"/>
  <c r="E85" i="3"/>
  <c r="N82" i="3"/>
  <c r="M82" i="3"/>
  <c r="L82" i="3"/>
  <c r="K82" i="3"/>
  <c r="J82" i="3"/>
  <c r="H82" i="3"/>
  <c r="G82" i="3"/>
  <c r="F82" i="3"/>
  <c r="E82" i="3"/>
  <c r="N81" i="3"/>
  <c r="M81" i="3"/>
  <c r="L81" i="3"/>
  <c r="K81" i="3"/>
  <c r="J81" i="3"/>
  <c r="H81" i="3"/>
  <c r="G81" i="3"/>
  <c r="F81" i="3"/>
  <c r="N80" i="3"/>
  <c r="M80" i="3"/>
  <c r="L80" i="3"/>
  <c r="K80" i="3"/>
  <c r="J80" i="3"/>
  <c r="H80" i="3"/>
  <c r="G80" i="3"/>
  <c r="F80" i="3"/>
  <c r="E80" i="3"/>
  <c r="J68" i="1"/>
  <c r="E68" i="1"/>
  <c r="O217" i="1"/>
  <c r="N217" i="1"/>
  <c r="M217" i="1"/>
  <c r="L217" i="1"/>
  <c r="K217" i="1"/>
  <c r="I217" i="1"/>
  <c r="H217" i="1"/>
  <c r="G217" i="1"/>
  <c r="F217" i="1"/>
  <c r="O123" i="1"/>
  <c r="N123" i="1"/>
  <c r="M123" i="1"/>
  <c r="L123" i="1"/>
  <c r="K123" i="1"/>
  <c r="I123" i="1"/>
  <c r="H123" i="1"/>
  <c r="G123" i="1"/>
  <c r="F123" i="1"/>
  <c r="G98" i="3" l="1"/>
  <c r="J98" i="3"/>
  <c r="L98" i="3"/>
  <c r="N98" i="3"/>
  <c r="D165" i="3"/>
  <c r="D245" i="3" s="1"/>
  <c r="P309" i="1"/>
  <c r="I200" i="3"/>
  <c r="I165" i="3" s="1"/>
  <c r="I245" i="3" s="1"/>
  <c r="O203" i="3"/>
  <c r="P68" i="1"/>
  <c r="J313" i="1" l="1"/>
  <c r="E313" i="1"/>
  <c r="O200" i="3"/>
  <c r="O165" i="3" s="1"/>
  <c r="O245" i="3" s="1"/>
  <c r="O218" i="1"/>
  <c r="N218" i="1"/>
  <c r="M218" i="1"/>
  <c r="L218" i="1"/>
  <c r="K218" i="1"/>
  <c r="I218" i="1"/>
  <c r="H218" i="1"/>
  <c r="G218" i="1"/>
  <c r="F218" i="1"/>
  <c r="P313" i="1" l="1"/>
  <c r="O126" i="1"/>
  <c r="N126" i="1"/>
  <c r="M126" i="1"/>
  <c r="L126" i="1"/>
  <c r="K126" i="1"/>
  <c r="I126" i="1"/>
  <c r="H126" i="1"/>
  <c r="G126" i="1"/>
  <c r="F126" i="1"/>
  <c r="O125" i="1"/>
  <c r="N125" i="1"/>
  <c r="M125" i="1"/>
  <c r="L125" i="1"/>
  <c r="K125" i="1"/>
  <c r="I125" i="1"/>
  <c r="H125" i="1"/>
  <c r="G125" i="1"/>
  <c r="O127" i="1" l="1"/>
  <c r="N127" i="1"/>
  <c r="M127" i="1"/>
  <c r="L127" i="1"/>
  <c r="I127" i="1"/>
  <c r="H127" i="1"/>
  <c r="G127" i="1"/>
  <c r="F127" i="1"/>
  <c r="J134" i="1"/>
  <c r="E134" i="1"/>
  <c r="J133" i="1"/>
  <c r="I81" i="3" s="1"/>
  <c r="J132" i="1"/>
  <c r="I80" i="3" s="1"/>
  <c r="E132" i="1"/>
  <c r="D80" i="3" s="1"/>
  <c r="J139" i="1"/>
  <c r="I87" i="3" s="1"/>
  <c r="E139" i="1"/>
  <c r="D87" i="3" s="1"/>
  <c r="E137" i="1"/>
  <c r="F125" i="1" l="1"/>
  <c r="E81" i="3"/>
  <c r="P137" i="1"/>
  <c r="O85" i="3" s="1"/>
  <c r="D85" i="3"/>
  <c r="J126" i="1"/>
  <c r="I82" i="3"/>
  <c r="E126" i="1"/>
  <c r="D82" i="3"/>
  <c r="E123" i="1"/>
  <c r="J123" i="1"/>
  <c r="E133" i="1"/>
  <c r="P139" i="1"/>
  <c r="O87" i="3" s="1"/>
  <c r="P132" i="1"/>
  <c r="O80" i="3" s="1"/>
  <c r="P134" i="1"/>
  <c r="P126" i="1" l="1"/>
  <c r="O82" i="3"/>
  <c r="P133" i="1"/>
  <c r="O81" i="3" s="1"/>
  <c r="D81" i="3"/>
  <c r="P123" i="1"/>
  <c r="N185" i="3"/>
  <c r="N164" i="3" s="1"/>
  <c r="M185" i="3"/>
  <c r="M164" i="3" s="1"/>
  <c r="L185" i="3"/>
  <c r="L164" i="3" s="1"/>
  <c r="K185" i="3"/>
  <c r="K164" i="3" s="1"/>
  <c r="J185" i="3"/>
  <c r="J164" i="3" s="1"/>
  <c r="H185" i="3"/>
  <c r="H164" i="3" s="1"/>
  <c r="G185" i="3"/>
  <c r="G164" i="3" s="1"/>
  <c r="F185" i="3"/>
  <c r="F164" i="3" s="1"/>
  <c r="E185" i="3"/>
  <c r="E164" i="3" s="1"/>
  <c r="N169" i="3"/>
  <c r="M169" i="3"/>
  <c r="L169" i="3"/>
  <c r="K169" i="3"/>
  <c r="J169" i="3"/>
  <c r="H169" i="3"/>
  <c r="G169" i="3"/>
  <c r="F169" i="3"/>
  <c r="E169" i="3"/>
  <c r="N77" i="3"/>
  <c r="M77" i="3"/>
  <c r="L77" i="3"/>
  <c r="K77" i="3"/>
  <c r="J77" i="3"/>
  <c r="H77" i="3"/>
  <c r="G77" i="3"/>
  <c r="F77" i="3"/>
  <c r="E77" i="3"/>
  <c r="N78" i="3"/>
  <c r="M78" i="3"/>
  <c r="L78" i="3"/>
  <c r="K78" i="3"/>
  <c r="J78" i="3"/>
  <c r="H78" i="3"/>
  <c r="G78" i="3"/>
  <c r="F78" i="3"/>
  <c r="E78" i="3"/>
  <c r="N76" i="3"/>
  <c r="M76" i="3"/>
  <c r="L76" i="3"/>
  <c r="K76" i="3"/>
  <c r="J76" i="3"/>
  <c r="H76" i="3"/>
  <c r="G76" i="3"/>
  <c r="F76" i="3"/>
  <c r="H75" i="3"/>
  <c r="G75" i="3"/>
  <c r="F75" i="3"/>
  <c r="E75" i="3"/>
  <c r="F163" i="3" l="1"/>
  <c r="F243" i="3"/>
  <c r="H163" i="3"/>
  <c r="H243" i="3"/>
  <c r="K163" i="3"/>
  <c r="K243" i="3"/>
  <c r="M163" i="3"/>
  <c r="M243" i="3"/>
  <c r="E163" i="3"/>
  <c r="E243" i="3"/>
  <c r="G163" i="3"/>
  <c r="G243" i="3"/>
  <c r="J163" i="3"/>
  <c r="J243" i="3"/>
  <c r="L163" i="3"/>
  <c r="L243" i="3"/>
  <c r="N163" i="3"/>
  <c r="N243" i="3"/>
  <c r="K75" i="3"/>
  <c r="M75" i="3"/>
  <c r="J75" i="3"/>
  <c r="L75" i="3"/>
  <c r="N75" i="3"/>
  <c r="J240" i="1"/>
  <c r="E240" i="1"/>
  <c r="D192" i="3" s="1"/>
  <c r="J238" i="1"/>
  <c r="E238" i="1"/>
  <c r="J193" i="1"/>
  <c r="I135" i="3" s="1"/>
  <c r="J179" i="1"/>
  <c r="I121" i="3" s="1"/>
  <c r="E179" i="1"/>
  <c r="D121" i="3" s="1"/>
  <c r="J177" i="1"/>
  <c r="I119" i="3" s="1"/>
  <c r="E177" i="1"/>
  <c r="D119" i="3" s="1"/>
  <c r="J173" i="1"/>
  <c r="I110" i="3" s="1"/>
  <c r="E173" i="1"/>
  <c r="D110" i="3" s="1"/>
  <c r="J171" i="1"/>
  <c r="I108" i="3" s="1"/>
  <c r="E171" i="1"/>
  <c r="D108" i="3" s="1"/>
  <c r="J167" i="1"/>
  <c r="J144" i="1"/>
  <c r="I92" i="3" s="1"/>
  <c r="E144" i="1"/>
  <c r="J143" i="1"/>
  <c r="E143" i="1"/>
  <c r="J141" i="1"/>
  <c r="I89" i="3" s="1"/>
  <c r="E141" i="1"/>
  <c r="J104" i="1"/>
  <c r="E104" i="1"/>
  <c r="J91" i="1"/>
  <c r="I58" i="3" s="1"/>
  <c r="E91" i="1"/>
  <c r="D58" i="3" s="1"/>
  <c r="J82" i="1"/>
  <c r="I48" i="3" s="1"/>
  <c r="I27" i="3" s="1"/>
  <c r="E82" i="1"/>
  <c r="D48" i="3" s="1"/>
  <c r="D27" i="3" s="1"/>
  <c r="J81" i="1"/>
  <c r="I47" i="3" s="1"/>
  <c r="I25" i="3" s="1"/>
  <c r="E81" i="1"/>
  <c r="D47" i="3" s="1"/>
  <c r="D25" i="3" s="1"/>
  <c r="J79" i="1"/>
  <c r="I44" i="3" s="1"/>
  <c r="J159" i="1" l="1"/>
  <c r="O311" i="1"/>
  <c r="K311" i="1"/>
  <c r="H311" i="1"/>
  <c r="N311" i="1"/>
  <c r="L311" i="1"/>
  <c r="I311" i="1"/>
  <c r="G311" i="1"/>
  <c r="M311" i="1"/>
  <c r="F311" i="1"/>
  <c r="J217" i="1"/>
  <c r="J220" i="1"/>
  <c r="I182" i="3"/>
  <c r="E217" i="1"/>
  <c r="E220" i="1"/>
  <c r="D182" i="3"/>
  <c r="D92" i="3"/>
  <c r="E127" i="1"/>
  <c r="D89" i="3"/>
  <c r="D77" i="3" s="1"/>
  <c r="J69" i="1"/>
  <c r="I71" i="3"/>
  <c r="I29" i="3" s="1"/>
  <c r="E69" i="1"/>
  <c r="D71" i="3"/>
  <c r="D29" i="3" s="1"/>
  <c r="J64" i="1"/>
  <c r="J307" i="1" s="1"/>
  <c r="J67" i="1"/>
  <c r="E64" i="1"/>
  <c r="E67" i="1"/>
  <c r="D169" i="3"/>
  <c r="D243" i="3" s="1"/>
  <c r="E167" i="1"/>
  <c r="E104" i="3"/>
  <c r="E193" i="1"/>
  <c r="E135" i="3"/>
  <c r="I104" i="3"/>
  <c r="I98" i="3" s="1"/>
  <c r="J218" i="1"/>
  <c r="I192" i="3"/>
  <c r="E125" i="1"/>
  <c r="D91" i="3"/>
  <c r="J125" i="1"/>
  <c r="I91" i="3"/>
  <c r="P240" i="1"/>
  <c r="E218" i="1"/>
  <c r="P238" i="1"/>
  <c r="J127" i="1"/>
  <c r="E79" i="1"/>
  <c r="P171" i="1"/>
  <c r="O108" i="3" s="1"/>
  <c r="P173" i="1"/>
  <c r="O110" i="3" s="1"/>
  <c r="P177" i="1"/>
  <c r="O119" i="3" s="1"/>
  <c r="P179" i="1"/>
  <c r="O121" i="3" s="1"/>
  <c r="P141" i="1"/>
  <c r="O89" i="3" s="1"/>
  <c r="P143" i="1"/>
  <c r="P144" i="1"/>
  <c r="O92" i="3" s="1"/>
  <c r="P81" i="1"/>
  <c r="O47" i="3" s="1"/>
  <c r="O25" i="3" s="1"/>
  <c r="P82" i="1"/>
  <c r="O48" i="3" s="1"/>
  <c r="O27" i="3" s="1"/>
  <c r="P91" i="1"/>
  <c r="O58" i="3" s="1"/>
  <c r="P104" i="1"/>
  <c r="E159" i="1" l="1"/>
  <c r="E98" i="3"/>
  <c r="D104" i="3"/>
  <c r="E307" i="1"/>
  <c r="E311" i="1" s="1"/>
  <c r="P217" i="1"/>
  <c r="P220" i="1"/>
  <c r="O182" i="3"/>
  <c r="P193" i="1"/>
  <c r="O135" i="3" s="1"/>
  <c r="P69" i="1"/>
  <c r="O71" i="3"/>
  <c r="O29" i="3" s="1"/>
  <c r="D44" i="3"/>
  <c r="P67" i="1"/>
  <c r="P64" i="1"/>
  <c r="D135" i="3"/>
  <c r="P167" i="1"/>
  <c r="P218" i="1"/>
  <c r="O192" i="3"/>
  <c r="P125" i="1"/>
  <c r="O91" i="3"/>
  <c r="P79" i="1"/>
  <c r="P127" i="1"/>
  <c r="P159" i="1" l="1"/>
  <c r="D98" i="3"/>
  <c r="O104" i="3"/>
  <c r="O98" i="3" s="1"/>
  <c r="P307" i="1"/>
  <c r="O44" i="3"/>
  <c r="C216" i="3"/>
  <c r="N219" i="3"/>
  <c r="N244" i="3" s="1"/>
  <c r="M219" i="3"/>
  <c r="M244" i="3" s="1"/>
  <c r="L219" i="3"/>
  <c r="L244" i="3" s="1"/>
  <c r="K219" i="3"/>
  <c r="K244" i="3" s="1"/>
  <c r="J219" i="3"/>
  <c r="J244" i="3" s="1"/>
  <c r="H219" i="3"/>
  <c r="H244" i="3" s="1"/>
  <c r="G219" i="3"/>
  <c r="G244" i="3" s="1"/>
  <c r="F219" i="3"/>
  <c r="F244" i="3" s="1"/>
  <c r="E219" i="3"/>
  <c r="E216" i="3" s="1"/>
  <c r="E214" i="3" s="1"/>
  <c r="D57" i="1"/>
  <c r="O19" i="1"/>
  <c r="O308" i="1" s="1"/>
  <c r="N19" i="1"/>
  <c r="N308" i="1" s="1"/>
  <c r="M19" i="1"/>
  <c r="M308" i="1" s="1"/>
  <c r="L19" i="1"/>
  <c r="L308" i="1" s="1"/>
  <c r="K19" i="1"/>
  <c r="K308" i="1" s="1"/>
  <c r="I19" i="1"/>
  <c r="I308" i="1" s="1"/>
  <c r="H19" i="1"/>
  <c r="H308" i="1" s="1"/>
  <c r="G19" i="1"/>
  <c r="G308" i="1" s="1"/>
  <c r="F19" i="1"/>
  <c r="F308" i="1" s="1"/>
  <c r="J57" i="1"/>
  <c r="J19" i="1" s="1"/>
  <c r="J308" i="1" s="1"/>
  <c r="E57" i="1"/>
  <c r="E19" i="1" s="1"/>
  <c r="E308" i="1" s="1"/>
  <c r="E244" i="3" l="1"/>
  <c r="G312" i="1"/>
  <c r="I312" i="1"/>
  <c r="L312" i="1"/>
  <c r="N312" i="1"/>
  <c r="H312" i="1"/>
  <c r="K312" i="1"/>
  <c r="M312" i="1"/>
  <c r="O312" i="1"/>
  <c r="F216" i="3"/>
  <c r="F214" i="3" s="1"/>
  <c r="K216" i="3"/>
  <c r="K214" i="3" s="1"/>
  <c r="M216" i="3"/>
  <c r="M214" i="3" s="1"/>
  <c r="H216" i="3"/>
  <c r="H214" i="3" s="1"/>
  <c r="G216" i="3"/>
  <c r="G214" i="3" s="1"/>
  <c r="J216" i="3"/>
  <c r="J214" i="3" s="1"/>
  <c r="L216" i="3"/>
  <c r="L214" i="3" s="1"/>
  <c r="N216" i="3"/>
  <c r="N214" i="3" s="1"/>
  <c r="I219" i="3"/>
  <c r="P57" i="1"/>
  <c r="D219" i="3"/>
  <c r="D244" i="3" s="1"/>
  <c r="I216" i="3" l="1"/>
  <c r="I214" i="3" s="1"/>
  <c r="D216" i="3"/>
  <c r="D214" i="3" s="1"/>
  <c r="P19" i="1"/>
  <c r="P308" i="1" s="1"/>
  <c r="O219" i="3"/>
  <c r="O216" i="3" l="1"/>
  <c r="O214" i="3" s="1"/>
  <c r="E312" i="1"/>
  <c r="E146" i="1"/>
  <c r="J61" i="1"/>
  <c r="E61" i="1"/>
  <c r="I241" i="3" l="1"/>
  <c r="D241" i="3"/>
  <c r="P61" i="1"/>
  <c r="O241" i="3" l="1"/>
  <c r="J234" i="1"/>
  <c r="I177" i="3" s="1"/>
  <c r="E234" i="1"/>
  <c r="D177" i="3" s="1"/>
  <c r="C234" i="1"/>
  <c r="P234" i="1" l="1"/>
  <c r="O177" i="3" s="1"/>
  <c r="J175" i="3" l="1"/>
  <c r="G197" i="1"/>
  <c r="F197" i="1" l="1"/>
  <c r="E217" i="3" l="1"/>
  <c r="F217" i="3"/>
  <c r="G217" i="3"/>
  <c r="H217" i="3"/>
  <c r="J217" i="3"/>
  <c r="K217" i="3"/>
  <c r="L217" i="3"/>
  <c r="M217" i="3"/>
  <c r="N217" i="3"/>
  <c r="J247" i="1"/>
  <c r="E247" i="1"/>
  <c r="C247" i="1"/>
  <c r="D247" i="1"/>
  <c r="B247" i="1"/>
  <c r="P247" i="1" l="1"/>
  <c r="E221" i="3" l="1"/>
  <c r="F221" i="3"/>
  <c r="G221" i="3"/>
  <c r="H221" i="3"/>
  <c r="J221" i="3"/>
  <c r="K221" i="3"/>
  <c r="L221" i="3"/>
  <c r="M221" i="3"/>
  <c r="N221" i="3"/>
  <c r="J248" i="1"/>
  <c r="E248" i="1"/>
  <c r="C248" i="1"/>
  <c r="D248" i="1"/>
  <c r="B248" i="1"/>
  <c r="P248" i="1" l="1"/>
  <c r="E188" i="3" l="1"/>
  <c r="F188" i="3"/>
  <c r="G188" i="3"/>
  <c r="H188" i="3"/>
  <c r="J188" i="3"/>
  <c r="K188" i="3"/>
  <c r="L188" i="3"/>
  <c r="M188" i="3"/>
  <c r="N188" i="3"/>
  <c r="E190" i="3"/>
  <c r="F190" i="3"/>
  <c r="G190" i="3"/>
  <c r="H190" i="3"/>
  <c r="J190" i="3"/>
  <c r="K190" i="3"/>
  <c r="L190" i="3"/>
  <c r="M190" i="3"/>
  <c r="N190" i="3"/>
  <c r="E45" i="1"/>
  <c r="E47" i="1"/>
  <c r="J44" i="1"/>
  <c r="J45" i="1"/>
  <c r="I188" i="3" s="1"/>
  <c r="J47" i="1"/>
  <c r="I190" i="3" s="1"/>
  <c r="C45" i="1"/>
  <c r="D45" i="1"/>
  <c r="D47" i="1"/>
  <c r="B47" i="1"/>
  <c r="B45" i="1"/>
  <c r="D190" i="3" l="1"/>
  <c r="P47" i="1"/>
  <c r="O190" i="3" s="1"/>
  <c r="P45" i="1"/>
  <c r="O188" i="3" s="1"/>
  <c r="D188" i="3"/>
  <c r="N172" i="3" l="1"/>
  <c r="J172" i="3" l="1"/>
  <c r="E191" i="3" l="1"/>
  <c r="F191" i="3"/>
  <c r="G191" i="3"/>
  <c r="H191" i="3"/>
  <c r="J191" i="3"/>
  <c r="K191" i="3"/>
  <c r="L191" i="3"/>
  <c r="M191" i="3"/>
  <c r="N191" i="3"/>
  <c r="J239" i="1"/>
  <c r="E239" i="1"/>
  <c r="D195" i="3" s="1"/>
  <c r="B239" i="1"/>
  <c r="I191" i="3" l="1"/>
  <c r="I195" i="3"/>
  <c r="P239" i="1"/>
  <c r="D191" i="3"/>
  <c r="N179" i="3"/>
  <c r="M179" i="3"/>
  <c r="L179" i="3"/>
  <c r="K179" i="3"/>
  <c r="J179" i="3"/>
  <c r="H179" i="3"/>
  <c r="G179" i="3"/>
  <c r="F179" i="3"/>
  <c r="E179" i="3"/>
  <c r="J148" i="1"/>
  <c r="E148" i="1"/>
  <c r="D148" i="1"/>
  <c r="C148" i="1"/>
  <c r="B148" i="1"/>
  <c r="D268" i="1"/>
  <c r="C268" i="1"/>
  <c r="B268" i="1"/>
  <c r="D235" i="1"/>
  <c r="C235" i="1"/>
  <c r="B235" i="1"/>
  <c r="O191" i="3" l="1"/>
  <c r="O195" i="3"/>
  <c r="P148" i="1"/>
  <c r="J268" i="1"/>
  <c r="E268" i="1"/>
  <c r="J235" i="1"/>
  <c r="E235" i="1"/>
  <c r="D179" i="3" l="1"/>
  <c r="P268" i="1"/>
  <c r="I179" i="3"/>
  <c r="P235" i="1"/>
  <c r="O179" i="3" l="1"/>
  <c r="K286" i="1"/>
  <c r="J273" i="1" l="1"/>
  <c r="E273" i="1"/>
  <c r="E237" i="1"/>
  <c r="D181" i="3" s="1"/>
  <c r="J237" i="1" l="1"/>
  <c r="P273" i="1"/>
  <c r="P237" i="1" l="1"/>
  <c r="O181" i="3" s="1"/>
  <c r="I181" i="3"/>
  <c r="J269" i="1"/>
  <c r="E269" i="1"/>
  <c r="P269" i="1" l="1"/>
  <c r="N211" i="3" l="1"/>
  <c r="M211" i="3"/>
  <c r="L211" i="3"/>
  <c r="K211" i="3"/>
  <c r="J211" i="3"/>
  <c r="H211" i="3"/>
  <c r="G211" i="3"/>
  <c r="F211" i="3"/>
  <c r="E211" i="3"/>
  <c r="J153" i="1"/>
  <c r="I211" i="3" s="1"/>
  <c r="E153" i="1"/>
  <c r="D211" i="3" s="1"/>
  <c r="P153" i="1" l="1"/>
  <c r="D165" i="1"/>
  <c r="O211" i="3" l="1"/>
  <c r="B265" i="1" l="1"/>
  <c r="J265" i="1"/>
  <c r="I175" i="3" s="1"/>
  <c r="P265" i="1" l="1"/>
  <c r="O175" i="3" s="1"/>
  <c r="D195" i="1" l="1"/>
  <c r="F210" i="3"/>
  <c r="G210" i="3"/>
  <c r="H210" i="3"/>
  <c r="J210" i="3"/>
  <c r="K210" i="3"/>
  <c r="L210" i="3"/>
  <c r="M210" i="3"/>
  <c r="N210" i="3"/>
  <c r="F161" i="3"/>
  <c r="G161" i="3"/>
  <c r="H161" i="3"/>
  <c r="J161" i="3"/>
  <c r="K161" i="3"/>
  <c r="L161" i="3"/>
  <c r="M161" i="3"/>
  <c r="N161" i="3"/>
  <c r="G297" i="1"/>
  <c r="H297" i="1"/>
  <c r="I297" i="1"/>
  <c r="K297" i="1"/>
  <c r="L297" i="1"/>
  <c r="M297" i="1"/>
  <c r="N297" i="1"/>
  <c r="O297" i="1"/>
  <c r="G286" i="1"/>
  <c r="H286" i="1"/>
  <c r="L286" i="1"/>
  <c r="M286" i="1"/>
  <c r="N286" i="1"/>
  <c r="O286" i="1"/>
  <c r="G121" i="1"/>
  <c r="H121" i="1"/>
  <c r="I121" i="1"/>
  <c r="L121" i="1"/>
  <c r="M121" i="1"/>
  <c r="N121" i="1"/>
  <c r="I286" i="1" l="1"/>
  <c r="E210" i="3" l="1"/>
  <c r="F286" i="1" l="1"/>
  <c r="F121" i="1"/>
  <c r="D251" i="1" l="1"/>
  <c r="F297" i="1" l="1"/>
  <c r="O121" i="1" l="1"/>
  <c r="K121" i="1"/>
  <c r="J214" i="1"/>
  <c r="E214" i="1"/>
  <c r="C214" i="1"/>
  <c r="D214" i="1"/>
  <c r="B214" i="1"/>
  <c r="P214" i="1" l="1"/>
  <c r="E17" i="3"/>
  <c r="F17" i="3"/>
  <c r="G17" i="3"/>
  <c r="H17" i="3"/>
  <c r="J17" i="3"/>
  <c r="K17" i="3"/>
  <c r="L17" i="3"/>
  <c r="M17" i="3"/>
  <c r="N17" i="3"/>
  <c r="E79" i="3"/>
  <c r="F79" i="3"/>
  <c r="G79" i="3"/>
  <c r="H79" i="3"/>
  <c r="J79" i="3"/>
  <c r="K79" i="3"/>
  <c r="L79" i="3"/>
  <c r="M79" i="3"/>
  <c r="N79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101" i="3"/>
  <c r="F101" i="3"/>
  <c r="G101" i="3"/>
  <c r="H101" i="3"/>
  <c r="K101" i="3"/>
  <c r="L101" i="3"/>
  <c r="M101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09" i="3"/>
  <c r="F109" i="3"/>
  <c r="G109" i="3"/>
  <c r="H109" i="3"/>
  <c r="J109" i="3"/>
  <c r="K109" i="3"/>
  <c r="L109" i="3"/>
  <c r="M109" i="3"/>
  <c r="N109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N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33" i="3"/>
  <c r="F133" i="3"/>
  <c r="G133" i="3"/>
  <c r="H133" i="3"/>
  <c r="J133" i="3"/>
  <c r="K133" i="3"/>
  <c r="L133" i="3"/>
  <c r="M133" i="3"/>
  <c r="N133" i="3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39" i="3"/>
  <c r="F139" i="3"/>
  <c r="G139" i="3"/>
  <c r="H139" i="3"/>
  <c r="J139" i="3"/>
  <c r="K139" i="3"/>
  <c r="L139" i="3"/>
  <c r="M139" i="3"/>
  <c r="N139" i="3"/>
  <c r="E140" i="3"/>
  <c r="F140" i="3"/>
  <c r="G140" i="3"/>
  <c r="H140" i="3"/>
  <c r="J140" i="3"/>
  <c r="K140" i="3"/>
  <c r="L140" i="3"/>
  <c r="M140" i="3"/>
  <c r="N140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7" i="3"/>
  <c r="F147" i="3"/>
  <c r="G147" i="3"/>
  <c r="H147" i="3"/>
  <c r="J147" i="3"/>
  <c r="K147" i="3"/>
  <c r="L147" i="3"/>
  <c r="M147" i="3"/>
  <c r="N147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2" i="3"/>
  <c r="F152" i="3"/>
  <c r="G152" i="3"/>
  <c r="H152" i="3"/>
  <c r="J152" i="3"/>
  <c r="K152" i="3"/>
  <c r="L152" i="3"/>
  <c r="M152" i="3"/>
  <c r="N152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5" i="3"/>
  <c r="F155" i="3"/>
  <c r="G155" i="3"/>
  <c r="H155" i="3"/>
  <c r="J155" i="3"/>
  <c r="K155" i="3"/>
  <c r="L155" i="3"/>
  <c r="M155" i="3"/>
  <c r="N155" i="3"/>
  <c r="E156" i="3"/>
  <c r="F156" i="3"/>
  <c r="G156" i="3"/>
  <c r="H156" i="3"/>
  <c r="J156" i="3"/>
  <c r="K156" i="3"/>
  <c r="L156" i="3"/>
  <c r="M156" i="3"/>
  <c r="N156" i="3"/>
  <c r="E157" i="3"/>
  <c r="F157" i="3"/>
  <c r="G157" i="3"/>
  <c r="H157" i="3"/>
  <c r="J157" i="3"/>
  <c r="K157" i="3"/>
  <c r="L157" i="3"/>
  <c r="M157" i="3"/>
  <c r="N157" i="3"/>
  <c r="E160" i="3"/>
  <c r="F160" i="3"/>
  <c r="G160" i="3"/>
  <c r="H160" i="3"/>
  <c r="J160" i="3"/>
  <c r="K160" i="3"/>
  <c r="L160" i="3"/>
  <c r="M160" i="3"/>
  <c r="N160" i="3"/>
  <c r="E167" i="3"/>
  <c r="E166" i="3" s="1"/>
  <c r="F167" i="3"/>
  <c r="F166" i="3" s="1"/>
  <c r="G167" i="3"/>
  <c r="G166" i="3" s="1"/>
  <c r="H167" i="3"/>
  <c r="H166" i="3" s="1"/>
  <c r="J167" i="3"/>
  <c r="J166" i="3" s="1"/>
  <c r="K167" i="3"/>
  <c r="K166" i="3" s="1"/>
  <c r="L167" i="3"/>
  <c r="L166" i="3" s="1"/>
  <c r="M167" i="3"/>
  <c r="M166" i="3" s="1"/>
  <c r="N167" i="3"/>
  <c r="N166" i="3" s="1"/>
  <c r="E170" i="3"/>
  <c r="E168" i="3" s="1"/>
  <c r="F170" i="3"/>
  <c r="F168" i="3" s="1"/>
  <c r="G170" i="3"/>
  <c r="G168" i="3" s="1"/>
  <c r="H170" i="3"/>
  <c r="H168" i="3" s="1"/>
  <c r="J170" i="3"/>
  <c r="J168" i="3" s="1"/>
  <c r="K170" i="3"/>
  <c r="K168" i="3" s="1"/>
  <c r="L170" i="3"/>
  <c r="L168" i="3" s="1"/>
  <c r="M170" i="3"/>
  <c r="M168" i="3" s="1"/>
  <c r="N170" i="3"/>
  <c r="N168" i="3" s="1"/>
  <c r="E180" i="3"/>
  <c r="F180" i="3"/>
  <c r="G180" i="3"/>
  <c r="H180" i="3"/>
  <c r="J180" i="3"/>
  <c r="K180" i="3"/>
  <c r="L180" i="3"/>
  <c r="M180" i="3"/>
  <c r="N180" i="3"/>
  <c r="E187" i="3"/>
  <c r="E184" i="3" s="1"/>
  <c r="F187" i="3"/>
  <c r="F184" i="3" s="1"/>
  <c r="G187" i="3"/>
  <c r="G184" i="3" s="1"/>
  <c r="H187" i="3"/>
  <c r="H184" i="3" s="1"/>
  <c r="J187" i="3"/>
  <c r="J184" i="3" s="1"/>
  <c r="K187" i="3"/>
  <c r="K184" i="3" s="1"/>
  <c r="L187" i="3"/>
  <c r="L184" i="3" s="1"/>
  <c r="M187" i="3"/>
  <c r="M184" i="3" s="1"/>
  <c r="N187" i="3"/>
  <c r="N184" i="3" s="1"/>
  <c r="E201" i="3"/>
  <c r="F201" i="3"/>
  <c r="G201" i="3"/>
  <c r="H201" i="3"/>
  <c r="J201" i="3"/>
  <c r="K201" i="3"/>
  <c r="L201" i="3"/>
  <c r="M201" i="3"/>
  <c r="N201" i="3"/>
  <c r="E204" i="3"/>
  <c r="F204" i="3"/>
  <c r="G204" i="3"/>
  <c r="H204" i="3"/>
  <c r="J204" i="3"/>
  <c r="K204" i="3"/>
  <c r="L204" i="3"/>
  <c r="M204" i="3"/>
  <c r="N204" i="3"/>
  <c r="E205" i="3"/>
  <c r="F205" i="3"/>
  <c r="G205" i="3"/>
  <c r="H205" i="3"/>
  <c r="J205" i="3"/>
  <c r="K205" i="3"/>
  <c r="L205" i="3"/>
  <c r="M205" i="3"/>
  <c r="N205" i="3"/>
  <c r="E206" i="3"/>
  <c r="F206" i="3"/>
  <c r="G206" i="3"/>
  <c r="H206" i="3"/>
  <c r="J206" i="3"/>
  <c r="K206" i="3"/>
  <c r="L206" i="3"/>
  <c r="M206" i="3"/>
  <c r="N206" i="3"/>
  <c r="F208" i="3"/>
  <c r="G208" i="3"/>
  <c r="H208" i="3"/>
  <c r="J208" i="3"/>
  <c r="K208" i="3"/>
  <c r="L208" i="3"/>
  <c r="M208" i="3"/>
  <c r="N208" i="3"/>
  <c r="E218" i="3"/>
  <c r="F218" i="3"/>
  <c r="G218" i="3"/>
  <c r="H218" i="3"/>
  <c r="J218" i="3"/>
  <c r="K218" i="3"/>
  <c r="L218" i="3"/>
  <c r="M218" i="3"/>
  <c r="N218" i="3"/>
  <c r="E220" i="3"/>
  <c r="F220" i="3"/>
  <c r="G220" i="3"/>
  <c r="H220" i="3"/>
  <c r="J220" i="3"/>
  <c r="K220" i="3"/>
  <c r="L220" i="3"/>
  <c r="M220" i="3"/>
  <c r="N220" i="3"/>
  <c r="E223" i="3"/>
  <c r="E222" i="3" s="1"/>
  <c r="F223" i="3"/>
  <c r="F222" i="3" s="1"/>
  <c r="G223" i="3"/>
  <c r="H223" i="3"/>
  <c r="J223" i="3"/>
  <c r="K223" i="3"/>
  <c r="K222" i="3" s="1"/>
  <c r="L223" i="3"/>
  <c r="M223" i="3"/>
  <c r="M222" i="3" s="1"/>
  <c r="N223" i="3"/>
  <c r="E226" i="3"/>
  <c r="E225" i="3" s="1"/>
  <c r="F226" i="3"/>
  <c r="F225" i="3" s="1"/>
  <c r="G226" i="3"/>
  <c r="G225" i="3" s="1"/>
  <c r="H226" i="3"/>
  <c r="H225" i="3" s="1"/>
  <c r="J226" i="3"/>
  <c r="J225" i="3" s="1"/>
  <c r="K226" i="3"/>
  <c r="K225" i="3" s="1"/>
  <c r="L226" i="3"/>
  <c r="L225" i="3" s="1"/>
  <c r="M226" i="3"/>
  <c r="M225" i="3" s="1"/>
  <c r="N226" i="3"/>
  <c r="N225" i="3" s="1"/>
  <c r="E227" i="3"/>
  <c r="F227" i="3"/>
  <c r="G227" i="3"/>
  <c r="H227" i="3"/>
  <c r="J227" i="3"/>
  <c r="K227" i="3"/>
  <c r="L227" i="3"/>
  <c r="M227" i="3"/>
  <c r="N227" i="3"/>
  <c r="D228" i="3"/>
  <c r="E228" i="3"/>
  <c r="F228" i="3"/>
  <c r="G228" i="3"/>
  <c r="H228" i="3"/>
  <c r="J228" i="3"/>
  <c r="K228" i="3"/>
  <c r="L228" i="3"/>
  <c r="M228" i="3"/>
  <c r="N228" i="3"/>
  <c r="J77" i="1"/>
  <c r="J299" i="1"/>
  <c r="J300" i="1"/>
  <c r="J301" i="1"/>
  <c r="I223" i="3" s="1"/>
  <c r="J302" i="1"/>
  <c r="J303" i="1"/>
  <c r="I227" i="3" s="1"/>
  <c r="J304" i="1"/>
  <c r="I228" i="3" s="1"/>
  <c r="J305" i="1"/>
  <c r="I232" i="3" s="1"/>
  <c r="I231" i="3" s="1"/>
  <c r="J298" i="1"/>
  <c r="J288" i="1"/>
  <c r="I167" i="3" s="1"/>
  <c r="I166" i="3" s="1"/>
  <c r="J289" i="1"/>
  <c r="J290" i="1"/>
  <c r="I204" i="3" s="1"/>
  <c r="J291" i="1"/>
  <c r="I205" i="3" s="1"/>
  <c r="J292" i="1"/>
  <c r="J287" i="1"/>
  <c r="J284" i="1"/>
  <c r="J259" i="1"/>
  <c r="J260" i="1"/>
  <c r="I160" i="3" s="1"/>
  <c r="J261" i="1"/>
  <c r="J262" i="1"/>
  <c r="I171" i="3" s="1"/>
  <c r="J263" i="1"/>
  <c r="I172" i="3" s="1"/>
  <c r="J266" i="1"/>
  <c r="J277" i="1"/>
  <c r="J278" i="1"/>
  <c r="J281" i="1"/>
  <c r="J258" i="1"/>
  <c r="J254" i="1"/>
  <c r="J224" i="1"/>
  <c r="J225" i="1"/>
  <c r="J226" i="1"/>
  <c r="I153" i="3" s="1"/>
  <c r="J227" i="1"/>
  <c r="I154" i="3" s="1"/>
  <c r="J228" i="1"/>
  <c r="I155" i="3" s="1"/>
  <c r="J229" i="1"/>
  <c r="J230" i="1"/>
  <c r="J231" i="1"/>
  <c r="J232" i="1"/>
  <c r="J233" i="1"/>
  <c r="J236" i="1"/>
  <c r="I180" i="3" s="1"/>
  <c r="J243" i="1"/>
  <c r="J244" i="1"/>
  <c r="J249" i="1"/>
  <c r="J251" i="1"/>
  <c r="J222" i="1"/>
  <c r="J208" i="1"/>
  <c r="I137" i="3" s="1"/>
  <c r="J209" i="1"/>
  <c r="J210" i="1"/>
  <c r="J211" i="1"/>
  <c r="J213" i="1"/>
  <c r="J206" i="1"/>
  <c r="J200" i="1"/>
  <c r="I112" i="3" s="1"/>
  <c r="J201" i="1"/>
  <c r="I113" i="3" s="1"/>
  <c r="J199" i="1"/>
  <c r="J165" i="1"/>
  <c r="J166" i="1"/>
  <c r="J168" i="1"/>
  <c r="I105" i="3" s="1"/>
  <c r="J169" i="1"/>
  <c r="J170" i="1"/>
  <c r="I107" i="3" s="1"/>
  <c r="J172" i="1"/>
  <c r="I109" i="3" s="1"/>
  <c r="J174" i="1"/>
  <c r="I111" i="3" s="1"/>
  <c r="J175" i="1"/>
  <c r="I117" i="3" s="1"/>
  <c r="J176" i="1"/>
  <c r="I118" i="3" s="1"/>
  <c r="J178" i="1"/>
  <c r="I120" i="3" s="1"/>
  <c r="J180" i="1"/>
  <c r="I122" i="3" s="1"/>
  <c r="J181" i="1"/>
  <c r="I123" i="3" s="1"/>
  <c r="J182" i="1"/>
  <c r="I124" i="3" s="1"/>
  <c r="J183" i="1"/>
  <c r="I125" i="3" s="1"/>
  <c r="J184" i="1"/>
  <c r="J191" i="1"/>
  <c r="J192" i="1"/>
  <c r="J195" i="1"/>
  <c r="I240" i="3" s="1"/>
  <c r="J162" i="1"/>
  <c r="J131" i="1"/>
  <c r="J136" i="1"/>
  <c r="J138" i="1"/>
  <c r="I86" i="3" s="1"/>
  <c r="J140" i="1"/>
  <c r="I88" i="3" s="1"/>
  <c r="J142" i="1"/>
  <c r="I90" i="3" s="1"/>
  <c r="J145" i="1"/>
  <c r="I93" i="3" s="1"/>
  <c r="J146" i="1"/>
  <c r="I94" i="3" s="1"/>
  <c r="J130" i="1"/>
  <c r="J80" i="1"/>
  <c r="I46" i="3" s="1"/>
  <c r="J83" i="1"/>
  <c r="I49" i="3" s="1"/>
  <c r="J90" i="1"/>
  <c r="I56" i="3" s="1"/>
  <c r="J93" i="1"/>
  <c r="I60" i="3" s="1"/>
  <c r="J94" i="1"/>
  <c r="I61" i="3" s="1"/>
  <c r="J96" i="1"/>
  <c r="I63" i="3" s="1"/>
  <c r="J103" i="1"/>
  <c r="I70" i="3" s="1"/>
  <c r="J76" i="1"/>
  <c r="J26" i="1"/>
  <c r="J27" i="1"/>
  <c r="J28" i="1"/>
  <c r="I114" i="3" s="1"/>
  <c r="J29" i="1"/>
  <c r="I115" i="3" s="1"/>
  <c r="J30" i="1"/>
  <c r="I116" i="3" s="1"/>
  <c r="J31" i="1"/>
  <c r="J32" i="1"/>
  <c r="J33" i="1"/>
  <c r="J34" i="1"/>
  <c r="J35" i="1"/>
  <c r="J36" i="1"/>
  <c r="I143" i="3" s="1"/>
  <c r="J37" i="1"/>
  <c r="I144" i="3" s="1"/>
  <c r="J38" i="1"/>
  <c r="I145" i="3" s="1"/>
  <c r="J39" i="1"/>
  <c r="I147" i="3" s="1"/>
  <c r="J40" i="1"/>
  <c r="I148" i="3" s="1"/>
  <c r="J41" i="1"/>
  <c r="I149" i="3" s="1"/>
  <c r="I187" i="3"/>
  <c r="I184" i="3" s="1"/>
  <c r="J49" i="1"/>
  <c r="J50" i="1"/>
  <c r="J51" i="1"/>
  <c r="J52" i="1"/>
  <c r="I208" i="3" s="1"/>
  <c r="J53" i="1"/>
  <c r="J54" i="1"/>
  <c r="J55" i="1"/>
  <c r="I217" i="3" s="1"/>
  <c r="J56" i="1"/>
  <c r="I218" i="3" s="1"/>
  <c r="J58" i="1"/>
  <c r="J59" i="1"/>
  <c r="J60" i="1"/>
  <c r="I226" i="3" s="1"/>
  <c r="I225" i="3" s="1"/>
  <c r="J21" i="1"/>
  <c r="J18" i="1" l="1"/>
  <c r="M95" i="3"/>
  <c r="K95" i="3"/>
  <c r="G95" i="3"/>
  <c r="L95" i="3"/>
  <c r="H95" i="3"/>
  <c r="F95" i="3"/>
  <c r="J276" i="1"/>
  <c r="J275" i="1" s="1"/>
  <c r="N150" i="3"/>
  <c r="L150" i="3"/>
  <c r="J150" i="3"/>
  <c r="G150" i="3"/>
  <c r="M150" i="3"/>
  <c r="K150" i="3"/>
  <c r="H150" i="3"/>
  <c r="F150" i="3"/>
  <c r="I19" i="3"/>
  <c r="I35" i="3"/>
  <c r="I224" i="3"/>
  <c r="I222" i="3" s="1"/>
  <c r="I134" i="3"/>
  <c r="M199" i="3"/>
  <c r="M162" i="3" s="1"/>
  <c r="K199" i="3"/>
  <c r="K162" i="3" s="1"/>
  <c r="H199" i="3"/>
  <c r="H162" i="3" s="1"/>
  <c r="F199" i="3"/>
  <c r="F162" i="3" s="1"/>
  <c r="N199" i="3"/>
  <c r="N162" i="3" s="1"/>
  <c r="L199" i="3"/>
  <c r="L162" i="3" s="1"/>
  <c r="J199" i="3"/>
  <c r="J162" i="3" s="1"/>
  <c r="G199" i="3"/>
  <c r="G162" i="3" s="1"/>
  <c r="H74" i="3"/>
  <c r="M74" i="3"/>
  <c r="K74" i="3"/>
  <c r="L74" i="3"/>
  <c r="F74" i="3"/>
  <c r="G74" i="3"/>
  <c r="E74" i="3"/>
  <c r="N74" i="3"/>
  <c r="J74" i="3"/>
  <c r="J197" i="1"/>
  <c r="I198" i="3"/>
  <c r="I197" i="3" s="1"/>
  <c r="I176" i="3"/>
  <c r="I79" i="3"/>
  <c r="I102" i="3"/>
  <c r="I84" i="3"/>
  <c r="I221" i="3"/>
  <c r="I220" i="3" s="1"/>
  <c r="I156" i="3"/>
  <c r="I152" i="3"/>
  <c r="I161" i="3"/>
  <c r="J297" i="1"/>
  <c r="I210" i="3"/>
  <c r="J286" i="1"/>
  <c r="J271" i="1"/>
  <c r="J256" i="1" s="1"/>
  <c r="I140" i="3"/>
  <c r="I138" i="3"/>
  <c r="I206" i="3"/>
  <c r="I139" i="3"/>
  <c r="E148" i="3"/>
  <c r="E141" i="3" s="1"/>
  <c r="I170" i="3"/>
  <c r="L215" i="3"/>
  <c r="J215" i="3"/>
  <c r="G215" i="3"/>
  <c r="I103" i="3"/>
  <c r="I201" i="3"/>
  <c r="I141" i="3"/>
  <c r="I126" i="3"/>
  <c r="N215" i="3"/>
  <c r="H215" i="3"/>
  <c r="M215" i="3"/>
  <c r="M213" i="3" s="1"/>
  <c r="K215" i="3"/>
  <c r="K213" i="3" s="1"/>
  <c r="F215" i="3"/>
  <c r="F213" i="3" s="1"/>
  <c r="E215" i="3"/>
  <c r="E213" i="3" s="1"/>
  <c r="I157" i="3"/>
  <c r="I215" i="3"/>
  <c r="M141" i="3"/>
  <c r="F141" i="3"/>
  <c r="I133" i="3"/>
  <c r="I106" i="3"/>
  <c r="N222" i="3"/>
  <c r="L222" i="3"/>
  <c r="J222" i="3"/>
  <c r="H222" i="3"/>
  <c r="G222" i="3"/>
  <c r="K141" i="3"/>
  <c r="L136" i="3"/>
  <c r="H136" i="3"/>
  <c r="N136" i="3"/>
  <c r="J136" i="3"/>
  <c r="G136" i="3"/>
  <c r="M136" i="3"/>
  <c r="K136" i="3"/>
  <c r="F136" i="3"/>
  <c r="E136" i="3"/>
  <c r="N141" i="3"/>
  <c r="L141" i="3"/>
  <c r="J141" i="3"/>
  <c r="H141" i="3"/>
  <c r="G141" i="3"/>
  <c r="J246" i="1"/>
  <c r="J216" i="1" s="1"/>
  <c r="I237" i="3" l="1"/>
  <c r="I229" i="3" s="1"/>
  <c r="M242" i="3"/>
  <c r="F242" i="3"/>
  <c r="K242" i="3"/>
  <c r="I150" i="3"/>
  <c r="I168" i="3"/>
  <c r="I209" i="3"/>
  <c r="I17" i="3"/>
  <c r="I74" i="3"/>
  <c r="I136" i="3"/>
  <c r="L213" i="3"/>
  <c r="L242" i="3" s="1"/>
  <c r="G213" i="3"/>
  <c r="G242" i="3" s="1"/>
  <c r="N213" i="3"/>
  <c r="J213" i="3"/>
  <c r="I213" i="3"/>
  <c r="H213" i="3"/>
  <c r="H242" i="3" s="1"/>
  <c r="E301" i="1"/>
  <c r="D223" i="3" s="1"/>
  <c r="D301" i="1"/>
  <c r="B301" i="1"/>
  <c r="E161" i="3" l="1"/>
  <c r="E150" i="3" s="1"/>
  <c r="E208" i="3"/>
  <c r="J151" i="1"/>
  <c r="P301" i="1"/>
  <c r="O223" i="3" s="1"/>
  <c r="J122" i="1" l="1"/>
  <c r="J121" i="1" s="1"/>
  <c r="I202" i="3"/>
  <c r="I199" i="3" s="1"/>
  <c r="I162" i="3" s="1"/>
  <c r="E199" i="3"/>
  <c r="E162" i="3" s="1"/>
  <c r="E236" i="1" l="1"/>
  <c r="C236" i="1"/>
  <c r="D236" i="1"/>
  <c r="B236" i="1"/>
  <c r="D180" i="3" l="1"/>
  <c r="P236" i="1"/>
  <c r="O180" i="3" s="1"/>
  <c r="E122" i="3" l="1"/>
  <c r="E95" i="3" s="1"/>
  <c r="E242" i="3" l="1"/>
  <c r="J78" i="1"/>
  <c r="J63" i="1" s="1"/>
  <c r="I37" i="3" l="1"/>
  <c r="I24" i="3" s="1"/>
  <c r="J205" i="1"/>
  <c r="D53" i="1"/>
  <c r="D281" i="1"/>
  <c r="D246" i="1"/>
  <c r="C209" i="1"/>
  <c r="B209" i="1"/>
  <c r="D200" i="1"/>
  <c r="P304" i="1"/>
  <c r="O228" i="3" s="1"/>
  <c r="E299" i="1"/>
  <c r="E300" i="1"/>
  <c r="E302" i="1"/>
  <c r="E303" i="1"/>
  <c r="D227" i="3" s="1"/>
  <c r="E305" i="1"/>
  <c r="D232" i="3" s="1"/>
  <c r="D231" i="3" s="1"/>
  <c r="E298" i="1"/>
  <c r="K296" i="1"/>
  <c r="L296" i="1"/>
  <c r="M296" i="1"/>
  <c r="N296" i="1"/>
  <c r="O296" i="1"/>
  <c r="F296" i="1"/>
  <c r="G296" i="1"/>
  <c r="H296" i="1"/>
  <c r="I296" i="1"/>
  <c r="E288" i="1"/>
  <c r="D167" i="3" s="1"/>
  <c r="D166" i="3" s="1"/>
  <c r="E289" i="1"/>
  <c r="E290" i="1"/>
  <c r="D204" i="3" s="1"/>
  <c r="E291" i="1"/>
  <c r="D205" i="3" s="1"/>
  <c r="E292" i="1"/>
  <c r="E287" i="1"/>
  <c r="E286" i="1" s="1"/>
  <c r="K285" i="1"/>
  <c r="L285" i="1"/>
  <c r="M285" i="1"/>
  <c r="N285" i="1"/>
  <c r="O285" i="1"/>
  <c r="F285" i="1"/>
  <c r="G285" i="1"/>
  <c r="H285" i="1"/>
  <c r="I285" i="1"/>
  <c r="J283" i="1"/>
  <c r="J282" i="1" s="1"/>
  <c r="E284" i="1"/>
  <c r="E283" i="1" s="1"/>
  <c r="E282" i="1" s="1"/>
  <c r="K283" i="1"/>
  <c r="K282" i="1" s="1"/>
  <c r="L283" i="1"/>
  <c r="L282" i="1" s="1"/>
  <c r="M283" i="1"/>
  <c r="M282" i="1" s="1"/>
  <c r="N283" i="1"/>
  <c r="N282" i="1" s="1"/>
  <c r="O283" i="1"/>
  <c r="O282" i="1" s="1"/>
  <c r="F283" i="1"/>
  <c r="F282" i="1" s="1"/>
  <c r="G283" i="1"/>
  <c r="G282" i="1" s="1"/>
  <c r="H283" i="1"/>
  <c r="H282" i="1" s="1"/>
  <c r="I283" i="1"/>
  <c r="I282" i="1" s="1"/>
  <c r="E278" i="1"/>
  <c r="E281" i="1"/>
  <c r="E277" i="1"/>
  <c r="K275" i="1"/>
  <c r="L275" i="1"/>
  <c r="M275" i="1"/>
  <c r="N275" i="1"/>
  <c r="O275" i="1"/>
  <c r="F275" i="1"/>
  <c r="G275" i="1"/>
  <c r="H275" i="1"/>
  <c r="I275" i="1"/>
  <c r="E259" i="1"/>
  <c r="E260" i="1"/>
  <c r="D160" i="3" s="1"/>
  <c r="E261" i="1"/>
  <c r="E262" i="1"/>
  <c r="D171" i="3" s="1"/>
  <c r="E263" i="1"/>
  <c r="D172" i="3" s="1"/>
  <c r="E266" i="1"/>
  <c r="E271" i="1"/>
  <c r="E258" i="1"/>
  <c r="E256" i="1" s="1"/>
  <c r="K255" i="1"/>
  <c r="M255" i="1"/>
  <c r="N255" i="1"/>
  <c r="O255" i="1"/>
  <c r="F255" i="1"/>
  <c r="G255" i="1"/>
  <c r="H255" i="1"/>
  <c r="I255" i="1"/>
  <c r="J253" i="1"/>
  <c r="J252" i="1" s="1"/>
  <c r="E254" i="1"/>
  <c r="E253" i="1" s="1"/>
  <c r="E252" i="1" s="1"/>
  <c r="K253" i="1"/>
  <c r="K252" i="1" s="1"/>
  <c r="L253" i="1"/>
  <c r="L252" i="1" s="1"/>
  <c r="M253" i="1"/>
  <c r="M252" i="1" s="1"/>
  <c r="N253" i="1"/>
  <c r="N252" i="1" s="1"/>
  <c r="O253" i="1"/>
  <c r="O252" i="1" s="1"/>
  <c r="F253" i="1"/>
  <c r="F252" i="1" s="1"/>
  <c r="G253" i="1"/>
  <c r="G252" i="1" s="1"/>
  <c r="H253" i="1"/>
  <c r="H252" i="1" s="1"/>
  <c r="I253" i="1"/>
  <c r="I252" i="1" s="1"/>
  <c r="E224" i="1"/>
  <c r="E225" i="1"/>
  <c r="D152" i="3" s="1"/>
  <c r="E226" i="1"/>
  <c r="E227" i="1"/>
  <c r="D154" i="3" s="1"/>
  <c r="E228" i="1"/>
  <c r="E229" i="1"/>
  <c r="E230" i="1"/>
  <c r="E231" i="1"/>
  <c r="E232" i="1"/>
  <c r="E233" i="1"/>
  <c r="P233" i="1" s="1"/>
  <c r="E243" i="1"/>
  <c r="E244" i="1"/>
  <c r="P244" i="1" s="1"/>
  <c r="E246" i="1"/>
  <c r="P246" i="1" s="1"/>
  <c r="E249" i="1"/>
  <c r="P249" i="1" s="1"/>
  <c r="E251" i="1"/>
  <c r="E222" i="1"/>
  <c r="K215" i="1"/>
  <c r="L215" i="1"/>
  <c r="M215" i="1"/>
  <c r="N215" i="1"/>
  <c r="O215" i="1"/>
  <c r="F215" i="1"/>
  <c r="G215" i="1"/>
  <c r="H215" i="1"/>
  <c r="I215" i="1"/>
  <c r="E208" i="1"/>
  <c r="E209" i="1"/>
  <c r="E210" i="1"/>
  <c r="E211" i="1"/>
  <c r="E213" i="1"/>
  <c r="E206" i="1"/>
  <c r="E205" i="1" s="1"/>
  <c r="K204" i="1"/>
  <c r="L204" i="1"/>
  <c r="M204" i="1"/>
  <c r="N204" i="1"/>
  <c r="F204" i="1"/>
  <c r="G204" i="1"/>
  <c r="H204" i="1"/>
  <c r="I204" i="1"/>
  <c r="E200" i="1"/>
  <c r="D112" i="3" s="1"/>
  <c r="E201" i="1"/>
  <c r="D113" i="3" s="1"/>
  <c r="E199" i="1"/>
  <c r="K196" i="1"/>
  <c r="L196" i="1"/>
  <c r="M196" i="1"/>
  <c r="N196" i="1"/>
  <c r="O196" i="1"/>
  <c r="F196" i="1"/>
  <c r="G196" i="1"/>
  <c r="H196" i="1"/>
  <c r="I196" i="1"/>
  <c r="E164" i="1"/>
  <c r="D101" i="3" s="1"/>
  <c r="E165" i="1"/>
  <c r="E166" i="1"/>
  <c r="E168" i="1"/>
  <c r="D105" i="3" s="1"/>
  <c r="E169" i="1"/>
  <c r="E170" i="1"/>
  <c r="D107" i="3" s="1"/>
  <c r="E172" i="1"/>
  <c r="D109" i="3" s="1"/>
  <c r="E174" i="1"/>
  <c r="E175" i="1"/>
  <c r="D117" i="3" s="1"/>
  <c r="E176" i="1"/>
  <c r="E178" i="1"/>
  <c r="D120" i="3" s="1"/>
  <c r="E180" i="1"/>
  <c r="D122" i="3" s="1"/>
  <c r="E181" i="1"/>
  <c r="D123" i="3" s="1"/>
  <c r="E182" i="1"/>
  <c r="D124" i="3" s="1"/>
  <c r="E183" i="1"/>
  <c r="D125" i="3" s="1"/>
  <c r="E184" i="1"/>
  <c r="E191" i="1"/>
  <c r="E192" i="1"/>
  <c r="E195" i="1"/>
  <c r="E162" i="1"/>
  <c r="E156" i="1" s="1"/>
  <c r="L155" i="1"/>
  <c r="M155" i="1"/>
  <c r="N155" i="1"/>
  <c r="F155" i="1"/>
  <c r="G155" i="1"/>
  <c r="H155" i="1"/>
  <c r="I155" i="1"/>
  <c r="E131" i="1"/>
  <c r="E136" i="1"/>
  <c r="E138" i="1"/>
  <c r="D86" i="3" s="1"/>
  <c r="E140" i="1"/>
  <c r="D88" i="3" s="1"/>
  <c r="E142" i="1"/>
  <c r="D90" i="3" s="1"/>
  <c r="E145" i="1"/>
  <c r="D93" i="3" s="1"/>
  <c r="D94" i="3"/>
  <c r="E151" i="1"/>
  <c r="E130" i="1"/>
  <c r="E122" i="1" s="1"/>
  <c r="K62" i="1"/>
  <c r="L62" i="1"/>
  <c r="M62" i="1"/>
  <c r="N62" i="1"/>
  <c r="O62" i="1"/>
  <c r="F62" i="1"/>
  <c r="G62" i="1"/>
  <c r="H62" i="1"/>
  <c r="I62" i="1"/>
  <c r="E77" i="1"/>
  <c r="E78" i="1"/>
  <c r="E80" i="1"/>
  <c r="D46" i="3" s="1"/>
  <c r="E83" i="1"/>
  <c r="D49" i="3" s="1"/>
  <c r="E90" i="1"/>
  <c r="D56" i="3" s="1"/>
  <c r="E93" i="1"/>
  <c r="D60" i="3" s="1"/>
  <c r="E94" i="1"/>
  <c r="D61" i="3" s="1"/>
  <c r="E96" i="1"/>
  <c r="D63" i="3" s="1"/>
  <c r="E103" i="1"/>
  <c r="D70" i="3" s="1"/>
  <c r="E76" i="1"/>
  <c r="E23" i="1"/>
  <c r="D21" i="3" s="1"/>
  <c r="E26" i="1"/>
  <c r="E27" i="1"/>
  <c r="E28" i="1"/>
  <c r="D114" i="3" s="1"/>
  <c r="E29" i="1"/>
  <c r="D115" i="3" s="1"/>
  <c r="E30" i="1"/>
  <c r="D116" i="3" s="1"/>
  <c r="E31" i="1"/>
  <c r="E32" i="1"/>
  <c r="E33" i="1"/>
  <c r="E34" i="1"/>
  <c r="E35" i="1"/>
  <c r="E36" i="1"/>
  <c r="D143" i="3" s="1"/>
  <c r="E37" i="1"/>
  <c r="D144" i="3" s="1"/>
  <c r="E38" i="1"/>
  <c r="E39" i="1"/>
  <c r="D147" i="3" s="1"/>
  <c r="E40" i="1"/>
  <c r="E41" i="1"/>
  <c r="D149" i="3" s="1"/>
  <c r="E44" i="1"/>
  <c r="D187" i="3" s="1"/>
  <c r="D184" i="3" s="1"/>
  <c r="E49" i="1"/>
  <c r="E50" i="1"/>
  <c r="E51" i="1"/>
  <c r="E52" i="1"/>
  <c r="D208" i="3" s="1"/>
  <c r="E53" i="1"/>
  <c r="E54" i="1"/>
  <c r="E55" i="1"/>
  <c r="D217" i="3" s="1"/>
  <c r="E56" i="1"/>
  <c r="D218" i="3" s="1"/>
  <c r="E58" i="1"/>
  <c r="E59" i="1"/>
  <c r="E60" i="1"/>
  <c r="D226" i="3" s="1"/>
  <c r="D225" i="3" s="1"/>
  <c r="E21" i="1"/>
  <c r="K17" i="1"/>
  <c r="M17" i="1"/>
  <c r="N17" i="1"/>
  <c r="O17" i="1"/>
  <c r="F17" i="1"/>
  <c r="G17" i="1"/>
  <c r="H17" i="1"/>
  <c r="I17" i="1"/>
  <c r="L17" i="1"/>
  <c r="D240" i="3" l="1"/>
  <c r="E63" i="1"/>
  <c r="E197" i="1"/>
  <c r="E216" i="1"/>
  <c r="E215" i="1" s="1"/>
  <c r="E276" i="1"/>
  <c r="E297" i="1"/>
  <c r="E296" i="1" s="1"/>
  <c r="D35" i="3"/>
  <c r="E62" i="1"/>
  <c r="E18" i="1"/>
  <c r="E17" i="1" s="1"/>
  <c r="D145" i="3"/>
  <c r="E121" i="1"/>
  <c r="D137" i="3"/>
  <c r="E204" i="1"/>
  <c r="I306" i="1"/>
  <c r="G306" i="1"/>
  <c r="M306" i="1"/>
  <c r="D19" i="3"/>
  <c r="D17" i="3" s="1"/>
  <c r="H306" i="1"/>
  <c r="N306" i="1"/>
  <c r="F306" i="1"/>
  <c r="D111" i="3"/>
  <c r="E155" i="1"/>
  <c r="D37" i="3"/>
  <c r="D24" i="3" s="1"/>
  <c r="D224" i="3"/>
  <c r="D222" i="3" s="1"/>
  <c r="D202" i="3"/>
  <c r="D134" i="3"/>
  <c r="D209" i="3"/>
  <c r="E275" i="1"/>
  <c r="D148" i="3"/>
  <c r="E196" i="1"/>
  <c r="E255" i="1"/>
  <c r="D198" i="3"/>
  <c r="D197" i="3" s="1"/>
  <c r="D176" i="3"/>
  <c r="P192" i="1"/>
  <c r="D79" i="3"/>
  <c r="P224" i="1"/>
  <c r="D102" i="3"/>
  <c r="D84" i="3"/>
  <c r="D155" i="3"/>
  <c r="D221" i="3"/>
  <c r="D220" i="3" s="1"/>
  <c r="D156" i="3"/>
  <c r="D161" i="3"/>
  <c r="D210" i="3"/>
  <c r="P251" i="1"/>
  <c r="D153" i="3"/>
  <c r="E285" i="1"/>
  <c r="D157" i="3"/>
  <c r="D206" i="3"/>
  <c r="D118" i="3"/>
  <c r="D201" i="3"/>
  <c r="P222" i="1"/>
  <c r="O204" i="1"/>
  <c r="D139" i="3"/>
  <c r="D126" i="3"/>
  <c r="D170" i="3"/>
  <c r="D140" i="3"/>
  <c r="D138" i="3"/>
  <c r="J204" i="1"/>
  <c r="D215" i="3"/>
  <c r="P195" i="1"/>
  <c r="D133" i="3"/>
  <c r="D106" i="3"/>
  <c r="D103" i="3"/>
  <c r="P21" i="1"/>
  <c r="P59" i="1"/>
  <c r="P56" i="1"/>
  <c r="O218" i="3" s="1"/>
  <c r="P54" i="1"/>
  <c r="P52" i="1"/>
  <c r="O208" i="3" s="1"/>
  <c r="P50" i="1"/>
  <c r="P103" i="1"/>
  <c r="O70" i="3" s="1"/>
  <c r="P96" i="1"/>
  <c r="O63" i="3" s="1"/>
  <c r="P94" i="1"/>
  <c r="O61" i="3" s="1"/>
  <c r="P83" i="1"/>
  <c r="O49" i="3" s="1"/>
  <c r="P80" i="1"/>
  <c r="O46" i="3" s="1"/>
  <c r="P78" i="1"/>
  <c r="P130" i="1"/>
  <c r="P183" i="1"/>
  <c r="O125" i="3" s="1"/>
  <c r="P181" i="1"/>
  <c r="O123" i="3" s="1"/>
  <c r="P178" i="1"/>
  <c r="O120" i="3" s="1"/>
  <c r="P175" i="1"/>
  <c r="O117" i="3" s="1"/>
  <c r="P172" i="1"/>
  <c r="O109" i="3" s="1"/>
  <c r="P169" i="1"/>
  <c r="P166" i="1"/>
  <c r="P231" i="1"/>
  <c r="P229" i="1"/>
  <c r="P226" i="1"/>
  <c r="O153" i="3" s="1"/>
  <c r="P262" i="1"/>
  <c r="O171" i="3" s="1"/>
  <c r="P305" i="1"/>
  <c r="O232" i="3" s="1"/>
  <c r="O231" i="3" s="1"/>
  <c r="P60" i="1"/>
  <c r="O226" i="3" s="1"/>
  <c r="O225" i="3" s="1"/>
  <c r="P58" i="1"/>
  <c r="P55" i="1"/>
  <c r="O217" i="3" s="1"/>
  <c r="P53" i="1"/>
  <c r="P51" i="1"/>
  <c r="O206" i="3" s="1"/>
  <c r="P49" i="1"/>
  <c r="P93" i="1"/>
  <c r="O60" i="3" s="1"/>
  <c r="P90" i="1"/>
  <c r="O56" i="3" s="1"/>
  <c r="P162" i="1"/>
  <c r="P184" i="1"/>
  <c r="P182" i="1"/>
  <c r="O124" i="3" s="1"/>
  <c r="P180" i="1"/>
  <c r="O122" i="3" s="1"/>
  <c r="P176" i="1"/>
  <c r="O118" i="3" s="1"/>
  <c r="P174" i="1"/>
  <c r="O111" i="3" s="1"/>
  <c r="P170" i="1"/>
  <c r="O107" i="3" s="1"/>
  <c r="P168" i="1"/>
  <c r="O105" i="3" s="1"/>
  <c r="P165" i="1"/>
  <c r="P230" i="1"/>
  <c r="P228" i="1"/>
  <c r="P227" i="1"/>
  <c r="O154" i="3" s="1"/>
  <c r="P263" i="1"/>
  <c r="O172" i="3" s="1"/>
  <c r="P298" i="1"/>
  <c r="J215" i="1"/>
  <c r="P243" i="1"/>
  <c r="P277" i="1"/>
  <c r="P278" i="1"/>
  <c r="P290" i="1"/>
  <c r="O204" i="3" s="1"/>
  <c r="J285" i="1"/>
  <c r="P302" i="1"/>
  <c r="P299" i="1"/>
  <c r="P201" i="1"/>
  <c r="O113" i="3" s="1"/>
  <c r="P200" i="1"/>
  <c r="O112" i="3" s="1"/>
  <c r="P44" i="1"/>
  <c r="O187" i="3" s="1"/>
  <c r="O184" i="3" s="1"/>
  <c r="P38" i="1"/>
  <c r="O145" i="3" s="1"/>
  <c r="P36" i="1"/>
  <c r="O143" i="3" s="1"/>
  <c r="P34" i="1"/>
  <c r="P32" i="1"/>
  <c r="P30" i="1"/>
  <c r="O116" i="3" s="1"/>
  <c r="P28" i="1"/>
  <c r="O114" i="3" s="1"/>
  <c r="P26" i="1"/>
  <c r="P206" i="1"/>
  <c r="P271" i="1"/>
  <c r="P284" i="1"/>
  <c r="P283" i="1" s="1"/>
  <c r="P282" i="1" s="1"/>
  <c r="P291" i="1"/>
  <c r="O205" i="3" s="1"/>
  <c r="P289" i="1"/>
  <c r="P288" i="1"/>
  <c r="O167" i="3" s="1"/>
  <c r="O166" i="3" s="1"/>
  <c r="P292" i="1"/>
  <c r="P232" i="1"/>
  <c r="P41" i="1"/>
  <c r="O149" i="3" s="1"/>
  <c r="P39" i="1"/>
  <c r="O147" i="3" s="1"/>
  <c r="P37" i="1"/>
  <c r="O144" i="3" s="1"/>
  <c r="P35" i="1"/>
  <c r="P31" i="1"/>
  <c r="P29" i="1"/>
  <c r="O115" i="3" s="1"/>
  <c r="P27" i="1"/>
  <c r="P151" i="1"/>
  <c r="P146" i="1"/>
  <c r="O94" i="3" s="1"/>
  <c r="P145" i="1"/>
  <c r="O93" i="3" s="1"/>
  <c r="P142" i="1"/>
  <c r="O90" i="3" s="1"/>
  <c r="P140" i="1"/>
  <c r="O88" i="3" s="1"/>
  <c r="P138" i="1"/>
  <c r="O86" i="3" s="1"/>
  <c r="P136" i="1"/>
  <c r="P131" i="1"/>
  <c r="J196" i="1"/>
  <c r="P211" i="1"/>
  <c r="P213" i="1"/>
  <c r="P208" i="1"/>
  <c r="P266" i="1"/>
  <c r="O176" i="3" s="1"/>
  <c r="P261" i="1"/>
  <c r="P23" i="1"/>
  <c r="O21" i="3" s="1"/>
  <c r="P33" i="1"/>
  <c r="P225" i="1"/>
  <c r="O152" i="3" s="1"/>
  <c r="P281" i="1"/>
  <c r="P40" i="1"/>
  <c r="O148" i="3" s="1"/>
  <c r="P77" i="1"/>
  <c r="O35" i="3" s="1"/>
  <c r="P199" i="1"/>
  <c r="P210" i="1"/>
  <c r="P209" i="1"/>
  <c r="P300" i="1"/>
  <c r="P258" i="1"/>
  <c r="P259" i="1"/>
  <c r="P303" i="1"/>
  <c r="O227" i="3" s="1"/>
  <c r="J296" i="1"/>
  <c r="J62" i="1"/>
  <c r="P287" i="1"/>
  <c r="P254" i="1"/>
  <c r="P253" i="1" s="1"/>
  <c r="P252" i="1" s="1"/>
  <c r="P76" i="1"/>
  <c r="J17" i="1"/>
  <c r="P191" i="1"/>
  <c r="D213" i="3" l="1"/>
  <c r="O240" i="3"/>
  <c r="O237" i="3" s="1"/>
  <c r="O229" i="3" s="1"/>
  <c r="P63" i="1"/>
  <c r="D237" i="3"/>
  <c r="D229" i="3" s="1"/>
  <c r="D95" i="3"/>
  <c r="P216" i="1"/>
  <c r="P62" i="1"/>
  <c r="P18" i="1"/>
  <c r="P276" i="1"/>
  <c r="D168" i="3"/>
  <c r="D150" i="3"/>
  <c r="E306" i="1"/>
  <c r="O19" i="3"/>
  <c r="O17" i="3" s="1"/>
  <c r="O134" i="3"/>
  <c r="O37" i="3"/>
  <c r="O24" i="3" s="1"/>
  <c r="D74" i="3"/>
  <c r="O202" i="3"/>
  <c r="O224" i="3"/>
  <c r="O222" i="3" s="1"/>
  <c r="D199" i="3"/>
  <c r="P205" i="1"/>
  <c r="O209" i="3"/>
  <c r="D141" i="3"/>
  <c r="P122" i="1"/>
  <c r="P121" i="1" s="1"/>
  <c r="P197" i="1"/>
  <c r="O198" i="3"/>
  <c r="O197" i="3" s="1"/>
  <c r="O137" i="3"/>
  <c r="O126" i="3"/>
  <c r="O79" i="3"/>
  <c r="O102" i="3"/>
  <c r="O84" i="3"/>
  <c r="O155" i="3"/>
  <c r="O221" i="3"/>
  <c r="O220" i="3" s="1"/>
  <c r="O156" i="3"/>
  <c r="O210" i="3"/>
  <c r="O161" i="3"/>
  <c r="P297" i="1"/>
  <c r="P286" i="1"/>
  <c r="O170" i="3"/>
  <c r="O168" i="3" s="1"/>
  <c r="O133" i="3"/>
  <c r="D136" i="3"/>
  <c r="O201" i="3"/>
  <c r="O215" i="3"/>
  <c r="O157" i="3"/>
  <c r="O140" i="3"/>
  <c r="O139" i="3"/>
  <c r="O106" i="3"/>
  <c r="O141" i="3"/>
  <c r="O138" i="3"/>
  <c r="O103" i="3"/>
  <c r="L255" i="1"/>
  <c r="L306" i="1" s="1"/>
  <c r="D162" i="3" l="1"/>
  <c r="D242" i="3" s="1"/>
  <c r="O199" i="3"/>
  <c r="O162" i="3" s="1"/>
  <c r="O74" i="3"/>
  <c r="O213" i="3"/>
  <c r="O136" i="3"/>
  <c r="P260" i="1"/>
  <c r="P256" i="1" s="1"/>
  <c r="J255" i="1"/>
  <c r="O160" i="3" l="1"/>
  <c r="O150" i="3" s="1"/>
  <c r="J101" i="3" l="1"/>
  <c r="J95" i="3" s="1"/>
  <c r="K155" i="1"/>
  <c r="K306" i="1" s="1"/>
  <c r="N101" i="3"/>
  <c r="N95" i="3" s="1"/>
  <c r="O155" i="1"/>
  <c r="O306" i="1" s="1"/>
  <c r="J164" i="1"/>
  <c r="J156" i="1" s="1"/>
  <c r="N242" i="3" l="1"/>
  <c r="J242" i="3"/>
  <c r="I101" i="3"/>
  <c r="I95" i="3" s="1"/>
  <c r="P164" i="1"/>
  <c r="P156" i="1" s="1"/>
  <c r="P17" i="1"/>
  <c r="P275" i="1"/>
  <c r="P296" i="1"/>
  <c r="I242" i="3" l="1"/>
  <c r="O101" i="3"/>
  <c r="O95" i="3" s="1"/>
  <c r="P155" i="1"/>
  <c r="J155" i="1"/>
  <c r="J306" i="1" s="1"/>
  <c r="P285" i="1"/>
  <c r="P255" i="1"/>
  <c r="P215" i="1"/>
  <c r="P204" i="1"/>
  <c r="P196" i="1"/>
  <c r="O242" i="3" l="1"/>
  <c r="P306" i="1"/>
  <c r="C56" i="1"/>
  <c r="C300" i="1" l="1"/>
  <c r="D300" i="1"/>
  <c r="B300" i="1"/>
  <c r="C244" i="1"/>
  <c r="D244" i="1"/>
  <c r="B244" i="1"/>
  <c r="C168" i="1" l="1"/>
  <c r="D168" i="1"/>
  <c r="B168" i="1"/>
  <c r="C33" i="1"/>
  <c r="D33" i="1"/>
  <c r="B33" i="1"/>
  <c r="B142" i="1"/>
  <c r="C142" i="1"/>
  <c r="D142" i="1"/>
  <c r="B176" i="1"/>
  <c r="C176" i="1"/>
  <c r="D176" i="1"/>
  <c r="B178" i="1"/>
  <c r="C178" i="1"/>
  <c r="C172" i="1"/>
  <c r="D172" i="1"/>
  <c r="B172" i="1"/>
  <c r="C281" i="1"/>
  <c r="B281" i="1"/>
  <c r="C278" i="1"/>
  <c r="D278" i="1"/>
  <c r="B278" i="1"/>
  <c r="D146" i="1"/>
  <c r="C146" i="1"/>
  <c r="B146" i="1"/>
  <c r="C145" i="1"/>
  <c r="D145" i="1"/>
  <c r="B145" i="1"/>
  <c r="C53" i="1"/>
  <c r="B53" i="1"/>
  <c r="C195" i="1"/>
  <c r="B195" i="1"/>
  <c r="C191" i="1"/>
  <c r="D191" i="1"/>
  <c r="C192" i="1"/>
  <c r="B192" i="1"/>
  <c r="B191" i="1"/>
  <c r="C184" i="1"/>
  <c r="D184" i="1"/>
  <c r="B184" i="1"/>
  <c r="C183" i="1"/>
  <c r="D183" i="1"/>
  <c r="B183" i="1"/>
  <c r="C182" i="1"/>
  <c r="B182" i="1"/>
  <c r="C181" i="1"/>
  <c r="D181" i="1"/>
  <c r="B181" i="1"/>
  <c r="C180" i="1"/>
  <c r="D180" i="1"/>
  <c r="B180" i="1"/>
  <c r="C175" i="1"/>
  <c r="D175" i="1"/>
  <c r="B175" i="1"/>
  <c r="C174" i="1"/>
  <c r="D174" i="1"/>
  <c r="B174" i="1"/>
  <c r="C170" i="1"/>
  <c r="D170" i="1"/>
  <c r="B170" i="1"/>
  <c r="C169" i="1"/>
  <c r="D169" i="1"/>
  <c r="B169" i="1"/>
  <c r="C166" i="1"/>
  <c r="D166" i="1"/>
  <c r="B166" i="1"/>
  <c r="C165" i="1"/>
  <c r="B165" i="1"/>
  <c r="C164" i="1"/>
  <c r="D164" i="1"/>
  <c r="B164" i="1"/>
  <c r="C151" i="1"/>
  <c r="B151" i="1"/>
  <c r="C140" i="1"/>
  <c r="D140" i="1"/>
  <c r="B140" i="1"/>
  <c r="C138" i="1"/>
  <c r="D138" i="1"/>
  <c r="B138" i="1"/>
  <c r="C136" i="1"/>
  <c r="B136" i="1"/>
  <c r="C131" i="1"/>
  <c r="B131" i="1"/>
  <c r="C94" i="1"/>
  <c r="C96" i="1"/>
  <c r="C78" i="1"/>
  <c r="B78" i="1"/>
  <c r="C77" i="1"/>
  <c r="B77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4" i="1"/>
  <c r="D44" i="1"/>
  <c r="B44" i="1"/>
  <c r="C31" i="1"/>
  <c r="D31" i="1"/>
  <c r="C32" i="1"/>
  <c r="B32" i="1"/>
  <c r="B31" i="1"/>
  <c r="C34" i="1"/>
  <c r="D34" i="1"/>
  <c r="C35" i="1"/>
  <c r="D35" i="1"/>
  <c r="B35" i="1"/>
  <c r="B34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0" i="1"/>
  <c r="B30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01" i="1"/>
  <c r="C201" i="1"/>
  <c r="B201" i="1"/>
  <c r="C208" i="1"/>
  <c r="D208" i="1"/>
  <c r="B208" i="1"/>
  <c r="C210" i="1"/>
  <c r="D210" i="1"/>
  <c r="C211" i="1"/>
  <c r="D211" i="1"/>
  <c r="B211" i="1"/>
  <c r="B210" i="1"/>
  <c r="C213" i="1"/>
  <c r="B213" i="1"/>
  <c r="C224" i="1"/>
  <c r="D224" i="1"/>
  <c r="B224" i="1"/>
  <c r="C228" i="1"/>
  <c r="D228" i="1"/>
  <c r="B228" i="1"/>
  <c r="C227" i="1"/>
  <c r="D227" i="1"/>
  <c r="B227" i="1"/>
  <c r="C226" i="1"/>
  <c r="D226" i="1"/>
  <c r="B226" i="1"/>
  <c r="C225" i="1"/>
  <c r="D225" i="1"/>
  <c r="B225" i="1"/>
  <c r="C229" i="1"/>
  <c r="D229" i="1"/>
  <c r="B229" i="1"/>
  <c r="C230" i="1"/>
  <c r="D230" i="1"/>
  <c r="B230" i="1"/>
  <c r="C231" i="1"/>
  <c r="D231" i="1"/>
  <c r="B231" i="1"/>
  <c r="C232" i="1"/>
  <c r="B232" i="1"/>
  <c r="C233" i="1"/>
  <c r="B233" i="1"/>
  <c r="C243" i="1"/>
  <c r="B243" i="1"/>
  <c r="C249" i="1"/>
  <c r="D249" i="1"/>
  <c r="B249" i="1"/>
  <c r="C251" i="1"/>
  <c r="B251" i="1"/>
  <c r="C259" i="1"/>
  <c r="D259" i="1"/>
  <c r="B259" i="1"/>
  <c r="C260" i="1"/>
  <c r="B260" i="1"/>
  <c r="C261" i="1"/>
  <c r="D261" i="1"/>
  <c r="B261" i="1"/>
  <c r="C263" i="1"/>
  <c r="B263" i="1"/>
  <c r="C262" i="1"/>
  <c r="B262" i="1"/>
  <c r="C266" i="1"/>
  <c r="B266" i="1"/>
  <c r="C271" i="1"/>
  <c r="B271" i="1"/>
  <c r="C288" i="1"/>
  <c r="D288" i="1"/>
  <c r="B288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299" i="1"/>
  <c r="B299" i="1"/>
  <c r="C302" i="1"/>
  <c r="D302" i="1"/>
  <c r="B302" i="1"/>
  <c r="C303" i="1"/>
  <c r="D303" i="1"/>
  <c r="B303" i="1"/>
  <c r="C304" i="1"/>
  <c r="D304" i="1"/>
  <c r="C305" i="1"/>
  <c r="D305" i="1"/>
  <c r="B305" i="1"/>
  <c r="C298" i="1"/>
  <c r="B298" i="1"/>
  <c r="C287" i="1"/>
  <c r="B287" i="1"/>
  <c r="C284" i="1"/>
  <c r="B284" i="1"/>
  <c r="C277" i="1"/>
  <c r="B277" i="1"/>
  <c r="C258" i="1"/>
  <c r="B258" i="1"/>
  <c r="C254" i="1"/>
  <c r="B254" i="1"/>
  <c r="C222" i="1"/>
  <c r="B222" i="1"/>
  <c r="C206" i="1"/>
  <c r="B206" i="1"/>
  <c r="C199" i="1"/>
  <c r="B199" i="1"/>
  <c r="C162" i="1"/>
  <c r="B162" i="1"/>
  <c r="C130" i="1"/>
  <c r="B130" i="1"/>
  <c r="C76" i="1"/>
  <c r="B76" i="1"/>
  <c r="C21" i="1"/>
  <c r="B21" i="1"/>
  <c r="E76" i="3" l="1"/>
  <c r="F312" i="1" l="1"/>
  <c r="D76" i="3"/>
  <c r="I76" i="3"/>
  <c r="O76" i="3" l="1"/>
  <c r="D78" i="3" l="1"/>
  <c r="D75" i="3" l="1"/>
  <c r="I78" i="3"/>
  <c r="I77" i="3"/>
  <c r="I244" i="3" s="1"/>
  <c r="O78" i="3"/>
  <c r="O77" i="3" l="1"/>
  <c r="O244" i="3" s="1"/>
  <c r="I75" i="3"/>
  <c r="O75" i="3" l="1"/>
  <c r="J312" i="1" l="1"/>
  <c r="I185" i="3"/>
  <c r="I164" i="3" s="1"/>
  <c r="D185" i="3"/>
  <c r="D164" i="3" s="1"/>
  <c r="P312" i="1" l="1"/>
  <c r="O185" i="3"/>
  <c r="O164" i="3" s="1"/>
  <c r="D163" i="3" l="1"/>
  <c r="I169" i="3" l="1"/>
  <c r="O169" i="3"/>
  <c r="O163" i="3" l="1"/>
  <c r="O243" i="3"/>
  <c r="I163" i="3"/>
  <c r="I243" i="3"/>
  <c r="J311" i="1" l="1"/>
  <c r="P311" i="1"/>
</calcChain>
</file>

<file path=xl/sharedStrings.xml><?xml version="1.0" encoding="utf-8"?>
<sst xmlns="http://schemas.openxmlformats.org/spreadsheetml/2006/main" count="1019" uniqueCount="616">
  <si>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</si>
  <si>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</si>
  <si>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</si>
  <si>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</si>
  <si>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</si>
  <si>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</si>
  <si>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</si>
  <si>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</si>
  <si>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</si>
  <si>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</si>
  <si>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</si>
  <si>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</si>
  <si>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</si>
  <si>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</si>
  <si>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</si>
  <si>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</si>
  <si>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</si>
  <si>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</si>
  <si>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</si>
  <si>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</si>
  <si>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</si>
  <si>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</si>
  <si>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</si>
  <si>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</si>
  <si>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</si>
  <si>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</si>
  <si>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</si>
  <si>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</si>
  <si>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</si>
  <si>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</si>
  <si>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</si>
  <si>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</si>
  <si>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</si>
  <si>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</si>
  <si>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</si>
  <si>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</si>
  <si>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</si>
  <si>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</si>
  <si>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</si>
  <si>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</si>
  <si>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</si>
  <si>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</si>
  <si>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</si>
  <si>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</si>
  <si>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</si>
  <si>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</si>
  <si>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</si>
  <si>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</si>
  <si>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</si>
  <si>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</si>
  <si>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</si>
  <si>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</si>
  <si>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</si>
  <si>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</si>
  <si>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</si>
  <si>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</si>
  <si>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</si>
  <si>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</si>
  <si>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</si>
  <si>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</si>
  <si>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</si>
  <si>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</si>
  <si>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</si>
  <si>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</si>
  <si>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</si>
  <si>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</si>
  <si>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</si>
  <si>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</si>
  <si>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</si>
  <si>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</si>
  <si>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</si>
  <si>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</si>
  <si>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</si>
  <si>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</si>
  <si>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</si>
  <si>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</si>
  <si>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</si>
  <si>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</si>
  <si>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</si>
  <si>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</si>
  <si>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</si>
  <si>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</si>
  <si>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</si>
  <si>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</si>
  <si>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</si>
  <si>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</si>
  <si>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</si>
  <si>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</si>
  <si>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</si>
  <si>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</si>
  <si>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</si>
  <si>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</si>
  <si>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</si>
  <si>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</si>
  <si>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</si>
  <si>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</si>
  <si>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</si>
  <si>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</si>
  <si>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</si>
  <si>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</si>
  <si>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</si>
  <si>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</si>
  <si>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</si>
  <si>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</si>
  <si>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</si>
  <si>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</si>
  <si>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</si>
  <si>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</si>
  <si>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</si>
  <si>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</si>
  <si>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</si>
  <si>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</si>
  <si>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</si>
  <si>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</si>
  <si>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</si>
  <si>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</si>
  <si>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</si>
  <si>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</si>
  <si>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</si>
  <si>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</si>
  <si>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</si>
  <si>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</si>
  <si>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</si>
  <si>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</si>
  <si>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</si>
  <si>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</si>
  <si>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</si>
  <si>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</si>
  <si>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</si>
  <si>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</si>
  <si>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</si>
  <si>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</si>
  <si>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</si>
  <si>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</si>
  <si>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</si>
  <si>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</si>
  <si>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</si>
  <si>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</si>
  <si>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</si>
  <si>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</si>
  <si>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</si>
  <si>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</si>
  <si>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</si>
  <si>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</si>
  <si>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</si>
  <si>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</si>
  <si>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</si>
  <si>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</si>
  <si>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</si>
  <si>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</si>
  <si>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</si>
  <si>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</si>
  <si>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</si>
  <si>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</si>
  <si>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</si>
  <si>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</si>
  <si>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</si>
  <si>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</si>
  <si>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</si>
  <si>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</si>
  <si>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</si>
  <si>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</si>
  <si>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</si>
  <si>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</si>
  <si>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</si>
  <si>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</si>
  <si>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</si>
  <si>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</si>
  <si>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</si>
  <si>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</si>
  <si>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</si>
  <si>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</si>
  <si>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</si>
  <si>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</si>
  <si>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</si>
  <si>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</si>
  <si>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</si>
  <si>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</si>
  <si>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</si>
  <si>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</si>
  <si>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</si>
  <si>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</si>
  <si>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</si>
  <si>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</si>
  <si>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</si>
  <si>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</si>
  <si>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</si>
  <si>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</si>
  <si>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</si>
  <si>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</si>
  <si>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</si>
  <si>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</si>
  <si>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</si>
  <si>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</si>
  <si>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</si>
  <si>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</si>
  <si>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</si>
  <si>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</si>
  <si>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</si>
  <si>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</si>
  <si>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</si>
  <si>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</si>
  <si>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</si>
  <si>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</si>
  <si>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</si>
  <si>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</si>
  <si>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</si>
  <si>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</si>
  <si>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</si>
  <si>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</si>
  <si>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</si>
  <si>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</si>
  <si>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</si>
  <si>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</si>
  <si>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</si>
  <si>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</si>
  <si>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</si>
  <si>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</si>
  <si>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</si>
  <si>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</si>
  <si>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</si>
  <si>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</si>
  <si>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</si>
  <si>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</si>
  <si>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</si>
  <si>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</si>
  <si>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</si>
  <si>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</si>
  <si>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</si>
  <si>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</si>
  <si>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</si>
  <si>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</si>
  <si>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</si>
  <si>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</si>
  <si>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</si>
  <si>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</si>
  <si>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</si>
  <si>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</si>
  <si>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</si>
  <si>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</si>
  <si>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</si>
  <si>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</si>
  <si>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</si>
  <si>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</si>
  <si>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</si>
  <si>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</si>
  <si>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</si>
  <si>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</si>
  <si>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</si>
  <si>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</si>
  <si>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</si>
  <si>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</si>
  <si>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</si>
  <si>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</si>
  <si>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</si>
  <si>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</si>
  <si>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</si>
  <si>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</si>
  <si>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</si>
  <si>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</si>
  <si>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</si>
  <si>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</si>
  <si>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</si>
  <si>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</si>
  <si>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</si>
  <si>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</si>
  <si>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</si>
  <si>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</si>
  <si>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</si>
  <si>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</si>
  <si>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</si>
  <si>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</si>
  <si>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</si>
  <si>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</si>
  <si>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</si>
  <si>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</si>
  <si>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</si>
  <si>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</si>
  <si>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</si>
  <si>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</si>
  <si>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</si>
  <si>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</si>
  <si>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</si>
  <si>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</si>
  <si>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</si>
  <si>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</si>
  <si>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</si>
  <si>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</si>
  <si>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</si>
  <si>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</si>
  <si>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</si>
  <si>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</si>
  <si>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</si>
  <si>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</si>
  <si>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</si>
  <si>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</si>
  <si>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</si>
  <si>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</si>
  <si>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</si>
  <si>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</si>
  <si>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</si>
  <si>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</si>
  <si>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</si>
  <si>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</si>
  <si>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</si>
  <si>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</si>
  <si>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</si>
  <si>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</si>
  <si>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</si>
  <si>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</si>
  <si>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</si>
  <si>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</si>
  <si>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</si>
  <si>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</si>
  <si>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</si>
  <si>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</si>
  <si>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</si>
  <si>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</si>
  <si>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</si>
  <si>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</si>
  <si>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</si>
  <si>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</si>
  <si>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</si>
  <si>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</si>
  <si>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</si>
  <si>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</si>
  <si>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</si>
  <si>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</si>
  <si>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</si>
  <si>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</si>
  <si>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</si>
  <si>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</si>
  <si>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</si>
  <si>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</si>
  <si>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</si>
  <si>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</si>
  <si>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</si>
  <si>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</si>
  <si>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</si>
  <si>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</si>
  <si>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</si>
  <si>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</si>
  <si>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</si>
  <si>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</si>
  <si>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</si>
  <si>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</si>
  <si>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</si>
  <si>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</si>
  <si>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</si>
  <si>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</si>
  <si>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</si>
  <si>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</si>
  <si>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</si>
  <si>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</si>
  <si>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</si>
  <si>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</si>
  <si>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</si>
  <si>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</si>
  <si>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</si>
  <si>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</si>
  <si>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</si>
  <si>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</si>
  <si>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</si>
  <si>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</si>
  <si>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</si>
  <si>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</si>
  <si>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</si>
  <si>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</si>
  <si>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</si>
  <si>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</si>
  <si>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</si>
  <si>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</si>
  <si>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</si>
  <si>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</si>
  <si>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</si>
  <si>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</si>
  <si>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</si>
  <si>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</si>
  <si>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</si>
  <si>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</si>
  <si>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</si>
  <si>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</si>
  <si>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</si>
  <si>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</si>
  <si>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</si>
  <si>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</si>
  <si>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</si>
  <si>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</si>
  <si>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</si>
  <si>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</si>
  <si>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</si>
  <si>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</si>
  <si>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</si>
  <si>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</si>
  <si>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</si>
  <si>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</si>
  <si>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</si>
  <si>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</si>
  <si>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</si>
  <si>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</si>
  <si>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</si>
  <si>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</si>
  <si>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</si>
  <si>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</si>
  <si>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</si>
  <si>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</si>
  <si>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</si>
  <si>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</si>
  <si>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</si>
  <si>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</si>
  <si>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</si>
  <si>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</si>
  <si>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</si>
  <si>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</si>
  <si>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</si>
  <si>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</si>
  <si>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</si>
  <si>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</si>
  <si>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</si>
  <si>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</si>
  <si>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</si>
  <si>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</si>
  <si>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</si>
  <si>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</si>
  <si>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</si>
  <si>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</si>
  <si>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</si>
  <si>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</si>
  <si>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</si>
  <si>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</si>
  <si>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</si>
  <si>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</si>
  <si>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</si>
  <si>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</si>
  <si>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</si>
  <si>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</si>
  <si>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</si>
  <si>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</si>
  <si>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</si>
  <si>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</si>
  <si>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</si>
  <si>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</si>
  <si>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</si>
  <si>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</si>
  <si>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</si>
  <si>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</si>
  <si>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</si>
  <si>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</si>
  <si>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</si>
  <si>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</si>
  <si>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</si>
  <si>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</si>
  <si>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</si>
  <si>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</si>
  <si>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</si>
  <si>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</si>
  <si>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</si>
  <si>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</si>
  <si>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</si>
  <si>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</si>
  <si>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</si>
  <si>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</si>
  <si>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</si>
  <si>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</si>
  <si>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</si>
  <si>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</si>
  <si>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</si>
  <si>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</si>
  <si>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</si>
  <si>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</si>
  <si>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</si>
  <si>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</si>
  <si>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</si>
  <si>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</si>
  <si>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</si>
  <si>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</si>
  <si>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</si>
  <si>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</si>
  <si>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</si>
  <si>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</si>
  <si>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</si>
  <si>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</si>
  <si>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</si>
  <si>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</si>
  <si>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</si>
  <si>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</si>
  <si>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</si>
  <si>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</si>
  <si>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</si>
  <si>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</si>
  <si>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</si>
  <si>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</si>
  <si>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</si>
  <si>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</si>
  <si>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</si>
  <si>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</si>
  <si>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</si>
  <si>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</si>
  <si>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</si>
  <si>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</si>
  <si>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</si>
  <si>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</si>
  <si>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</si>
  <si>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</si>
  <si>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</si>
  <si>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</si>
  <si>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</si>
  <si>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</si>
  <si>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</si>
  <si>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</si>
  <si>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</si>
  <si>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</si>
  <si>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</si>
  <si>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</si>
  <si>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</si>
  <si>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</si>
  <si>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</si>
  <si>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</si>
  <si>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</si>
  <si>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</si>
  <si>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</si>
  <si>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</si>
  <si>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</si>
  <si>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</si>
  <si>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</si>
  <si>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</si>
  <si>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</si>
  <si>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</si>
  <si>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</si>
  <si>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</si>
  <si>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</si>
  <si>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</si>
  <si>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</si>
  <si>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</si>
  <si>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</si>
  <si>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 xml:space="preserve">                               Додаток 3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</si>
  <si>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</si>
  <si>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</si>
  <si>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</si>
  <si>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</si>
  <si>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</si>
  <si>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</si>
  <si>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</si>
  <si>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</si>
  <si>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</si>
  <si>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</si>
  <si>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</si>
  <si>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</si>
  <si>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</si>
  <si>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</si>
  <si>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(зі змінами)»</t>
  </si>
  <si>
    <t xml:space="preserve">                               Додаток 8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</si>
  <si>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</si>
  <si>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</si>
  <si>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</si>
  <si>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</si>
  <si>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</si>
  <si>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</si>
  <si>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</si>
  <si>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</si>
  <si>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</si>
  <si>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</si>
  <si>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</si>
  <si>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</si>
  <si>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</si>
  <si>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</si>
  <si>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</si>
  <si>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</si>
  <si>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</si>
  <si>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</si>
  <si>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</si>
  <si>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</si>
  <si>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</si>
  <si>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</si>
  <si>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</si>
  <si>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>0611172</t>
  </si>
  <si>
    <t>0611182</t>
  </si>
  <si>
    <t>1172</t>
  </si>
  <si>
    <t>1182</t>
  </si>
  <si>
    <t xml:space="preserve">Виконання заходів в рамках реалізації програми "Спроможна школа для кращих результатів",  у т.ч. за рахунок: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</si>
  <si>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школа",  у т.ч. за рахунок: 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</si>
  <si>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</si>
  <si>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</si>
  <si>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</si>
  <si>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</si>
  <si>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</si>
  <si>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</si>
  <si>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</si>
  <si>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</si>
  <si>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</si>
  <si>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</si>
  <si>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</si>
  <si>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</si>
  <si>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</si>
  <si>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</si>
  <si>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</si>
  <si>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Сумської міської ради від 24 грудня 2020 року </t>
  </si>
  <si>
    <t>«Про       внесення        змін       до        рішення</t>
  </si>
  <si>
    <t>до      рішення      Сумської     міської         ради</t>
  </si>
  <si>
    <t xml:space="preserve">Сумської  міської  ради від 24 грудня 2020 року </t>
  </si>
  <si>
    <t xml:space="preserve">№ 62 - МР «Про   бюджет    Сумської     міської </t>
  </si>
  <si>
    <t>територіальної     громади     на      2021      рік»</t>
  </si>
  <si>
    <t>від   23    липня     2021     року     №   1543 -  МР</t>
  </si>
  <si>
    <t>«Про       внесення       змін       до         рішення</t>
  </si>
  <si>
    <t>до      рішення      Сумської      міської        ради</t>
  </si>
  <si>
    <t xml:space="preserve">№ 62 - МР «Про   бюджет   Сумської    міської </t>
  </si>
  <si>
    <t>територіальної     громади    на      2021       рік»</t>
  </si>
  <si>
    <t>від     23    липня     2021    року    № 1543  -  МР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</si>
  <si>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</si>
  <si>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</si>
  <si>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</si>
  <si>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</si>
  <si>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</si>
  <si>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</si>
  <si>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анресії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</si>
  <si>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безпосередньо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</si>
</sst>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74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42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4" fillId="0" borderId="7" xfId="0" applyNumberFormat="1" applyFont="1" applyFill="1" applyBorder="1" applyAlignment="1">
      <alignment horizontal="right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7" fillId="0" borderId="7" xfId="0" applyNumberFormat="1" applyFont="1" applyFill="1" applyBorder="1" applyAlignment="1" applyProtection="1">
      <alignment horizontal="center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Alignment="1" applyProtection="1">
      <alignment vertical="center"/>
    </xf>
    <xf numFmtId="49" fontId="49" fillId="0" borderId="0" xfId="0" applyNumberFormat="1" applyFont="1" applyFill="1" applyAlignment="1" applyProtection="1"/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right"/>
    </xf>
    <xf numFmtId="4" fontId="55" fillId="0" borderId="0" xfId="0" applyNumberFormat="1" applyFont="1" applyFill="1" applyBorder="1" applyAlignment="1">
      <alignment horizontal="right" wrapText="1"/>
    </xf>
    <xf numFmtId="49" fontId="56" fillId="0" borderId="0" xfId="0" applyNumberFormat="1" applyFont="1" applyFill="1" applyBorder="1" applyAlignment="1" applyProtection="1"/>
    <xf numFmtId="3" fontId="56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/>
    </xf>
    <xf numFmtId="3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9" fontId="54" fillId="0" borderId="0" xfId="0" applyNumberFormat="1" applyFont="1" applyFill="1" applyBorder="1" applyAlignment="1"/>
    <xf numFmtId="49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3" fontId="55" fillId="0" borderId="0" xfId="0" applyNumberFormat="1" applyFont="1" applyFill="1" applyAlignment="1"/>
    <xf numFmtId="3" fontId="55" fillId="0" borderId="0" xfId="0" applyNumberFormat="1" applyFont="1" applyFill="1" applyBorder="1" applyAlignment="1"/>
    <xf numFmtId="1" fontId="57" fillId="0" borderId="7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 applyProtection="1"/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Alignment="1">
      <alignment horizontal="left"/>
    </xf>
    <xf numFmtId="0" fontId="42" fillId="0" borderId="0" xfId="0" applyFont="1" applyFill="1" applyAlignment="1"/>
    <xf numFmtId="0" fontId="43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G1691"/>
  <sheetViews>
    <sheetView showGridLines="0" showZeros="0" view="pageBreakPreview" topLeftCell="A14" zoomScale="69" zoomScaleNormal="82" zoomScaleSheetLayoutView="69" workbookViewId="0">
      <pane xSplit="4" ySplit="3" topLeftCell="E253" activePane="bottomRight" state="frozenSplit"/>
      <selection activeCell="A14" sqref="A14"/>
      <selection pane="topRight" activeCell="E14" sqref="E14"/>
      <selection pane="bottomLeft" activeCell="A17" sqref="A17"/>
      <selection pane="bottomRight" activeCell="F187" sqref="F187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47" customWidth="1"/>
    <col min="6" max="6" width="22.5" style="47" customWidth="1"/>
    <col min="7" max="7" width="23.83203125" style="47" customWidth="1"/>
    <col min="8" max="8" width="19.33203125" style="47" customWidth="1"/>
    <col min="9" max="9" width="19.6640625" style="47" customWidth="1"/>
    <col min="10" max="10" width="20.5" style="47" customWidth="1"/>
    <col min="11" max="11" width="22.5" style="47" customWidth="1"/>
    <col min="12" max="12" width="18.33203125" style="47" customWidth="1"/>
    <col min="13" max="13" width="19.5" style="47" customWidth="1"/>
    <col min="14" max="14" width="18" style="47" customWidth="1"/>
    <col min="15" max="15" width="21.1640625" style="47" customWidth="1"/>
    <col min="16" max="16" width="23" style="148" bestFit="1" customWidth="1"/>
    <col min="17" max="17" width="11.5" style="28" customWidth="1"/>
    <col min="18" max="18" width="10.5" style="28" customWidth="1"/>
    <col min="19" max="527" width="9.1640625" style="28"/>
    <col min="528" max="16384" width="9.1640625" style="20"/>
  </cols>
  <sheetData>
    <row r="1" spans="1:527" ht="26.25" customHeight="1" x14ac:dyDescent="0.4">
      <c r="K1" s="145" t="s">
        <v>535</v>
      </c>
      <c r="L1" s="145"/>
      <c r="M1" s="145"/>
      <c r="N1" s="145"/>
      <c r="O1" s="145"/>
      <c r="P1" s="145"/>
    </row>
    <row r="2" spans="1:527" ht="26.25" customHeight="1" x14ac:dyDescent="0.25">
      <c r="K2" s="96" t="s">
        <v>598</v>
      </c>
      <c r="L2" s="96"/>
      <c r="M2" s="96"/>
      <c r="N2" s="96"/>
      <c r="O2" s="96"/>
      <c r="P2" s="96"/>
    </row>
    <row r="3" spans="1:527" ht="26.25" customHeight="1" x14ac:dyDescent="0.4">
      <c r="K3" s="171" t="s">
        <v>597</v>
      </c>
      <c r="L3" s="171"/>
      <c r="M3" s="171"/>
      <c r="N3" s="171"/>
      <c r="O3" s="171"/>
      <c r="P3" s="171"/>
    </row>
    <row r="4" spans="1:527" ht="26.25" customHeight="1" x14ac:dyDescent="0.4">
      <c r="K4" s="171" t="s">
        <v>599</v>
      </c>
      <c r="L4" s="171"/>
      <c r="M4" s="171"/>
      <c r="N4" s="171"/>
      <c r="O4" s="171"/>
      <c r="P4" s="171"/>
    </row>
    <row r="5" spans="1:527" ht="26.25" customHeight="1" x14ac:dyDescent="0.4">
      <c r="K5" s="171" t="s">
        <v>600</v>
      </c>
      <c r="L5" s="171"/>
      <c r="M5" s="171"/>
      <c r="N5" s="171"/>
      <c r="O5" s="171"/>
      <c r="P5" s="171"/>
    </row>
    <row r="6" spans="1:527" ht="28.5" customHeight="1" x14ac:dyDescent="0.4">
      <c r="K6" s="171" t="s">
        <v>601</v>
      </c>
      <c r="L6" s="171"/>
      <c r="M6" s="171"/>
      <c r="N6" s="171"/>
      <c r="O6" s="171"/>
      <c r="P6" s="171"/>
    </row>
    <row r="7" spans="1:527" ht="28.5" customHeight="1" x14ac:dyDescent="0.4">
      <c r="K7" s="144" t="s">
        <v>550</v>
      </c>
      <c r="L7" s="144"/>
      <c r="M7" s="144"/>
      <c r="N7" s="144"/>
      <c r="O7" s="144"/>
      <c r="P7" s="144"/>
    </row>
    <row r="8" spans="1:527" ht="26.25" customHeight="1" x14ac:dyDescent="0.4">
      <c r="K8" s="171" t="s">
        <v>602</v>
      </c>
      <c r="L8" s="171"/>
      <c r="M8" s="171"/>
      <c r="N8" s="171"/>
      <c r="O8" s="171"/>
      <c r="P8" s="171"/>
    </row>
    <row r="9" spans="1:527" ht="26.25" x14ac:dyDescent="0.4">
      <c r="L9" s="63"/>
      <c r="M9" s="63"/>
      <c r="N9" s="63"/>
      <c r="O9" s="63"/>
      <c r="P9" s="63"/>
    </row>
    <row r="10" spans="1:527" s="44" customFormat="1" ht="71.25" customHeight="1" x14ac:dyDescent="0.3">
      <c r="A10" s="165" t="s">
        <v>452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</row>
    <row r="11" spans="1:527" s="44" customFormat="1" ht="23.25" customHeight="1" x14ac:dyDescent="0.35">
      <c r="A11" s="65"/>
      <c r="B11" s="65"/>
      <c r="C11" s="64"/>
      <c r="D11" s="64"/>
      <c r="E11" s="64"/>
      <c r="F11" s="64"/>
      <c r="G11" s="125" t="s">
        <v>530</v>
      </c>
      <c r="H11" s="64"/>
      <c r="I11" s="64"/>
      <c r="J11" s="64"/>
      <c r="K11" s="64"/>
      <c r="L11" s="64"/>
      <c r="M11" s="64"/>
      <c r="N11" s="64"/>
      <c r="O11" s="64"/>
      <c r="P11" s="64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</row>
    <row r="12" spans="1:527" s="44" customFormat="1" ht="19.5" customHeight="1" x14ac:dyDescent="0.3">
      <c r="A12" s="66"/>
      <c r="B12" s="66"/>
      <c r="C12" s="64"/>
      <c r="D12" s="64"/>
      <c r="E12" s="64"/>
      <c r="F12" s="64"/>
      <c r="G12" s="66" t="s">
        <v>531</v>
      </c>
      <c r="H12" s="64"/>
      <c r="I12" s="64"/>
      <c r="J12" s="64"/>
      <c r="K12" s="64"/>
      <c r="L12" s="64"/>
      <c r="M12" s="64"/>
      <c r="N12" s="64"/>
      <c r="O12" s="64"/>
      <c r="P12" s="64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</row>
    <row r="13" spans="1:527" s="46" customFormat="1" ht="14.25" customHeight="1" x14ac:dyDescent="0.3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133" t="s">
        <v>360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</row>
    <row r="14" spans="1:527" s="21" customFormat="1" ht="34.5" customHeight="1" x14ac:dyDescent="0.2">
      <c r="A14" s="166" t="s">
        <v>338</v>
      </c>
      <c r="B14" s="167" t="s">
        <v>339</v>
      </c>
      <c r="C14" s="167" t="s">
        <v>329</v>
      </c>
      <c r="D14" s="167" t="s">
        <v>340</v>
      </c>
      <c r="E14" s="169" t="s">
        <v>226</v>
      </c>
      <c r="F14" s="169"/>
      <c r="G14" s="169"/>
      <c r="H14" s="169"/>
      <c r="I14" s="169"/>
      <c r="J14" s="169" t="s">
        <v>227</v>
      </c>
      <c r="K14" s="169"/>
      <c r="L14" s="169"/>
      <c r="M14" s="169"/>
      <c r="N14" s="169"/>
      <c r="O14" s="169"/>
      <c r="P14" s="169" t="s">
        <v>228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</row>
    <row r="15" spans="1:527" s="21" customFormat="1" ht="19.5" customHeight="1" x14ac:dyDescent="0.2">
      <c r="A15" s="166"/>
      <c r="B15" s="167"/>
      <c r="C15" s="167"/>
      <c r="D15" s="167"/>
      <c r="E15" s="170" t="s">
        <v>330</v>
      </c>
      <c r="F15" s="170" t="s">
        <v>229</v>
      </c>
      <c r="G15" s="168" t="s">
        <v>230</v>
      </c>
      <c r="H15" s="168"/>
      <c r="I15" s="170" t="s">
        <v>231</v>
      </c>
      <c r="J15" s="170" t="s">
        <v>330</v>
      </c>
      <c r="K15" s="170" t="s">
        <v>331</v>
      </c>
      <c r="L15" s="170" t="s">
        <v>229</v>
      </c>
      <c r="M15" s="168" t="s">
        <v>230</v>
      </c>
      <c r="N15" s="168"/>
      <c r="O15" s="170" t="s">
        <v>231</v>
      </c>
      <c r="P15" s="16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</row>
    <row r="16" spans="1:527" s="21" customFormat="1" ht="62.25" customHeight="1" x14ac:dyDescent="0.2">
      <c r="A16" s="166"/>
      <c r="B16" s="167"/>
      <c r="C16" s="167"/>
      <c r="D16" s="167"/>
      <c r="E16" s="170"/>
      <c r="F16" s="170"/>
      <c r="G16" s="143" t="s">
        <v>232</v>
      </c>
      <c r="H16" s="143" t="s">
        <v>233</v>
      </c>
      <c r="I16" s="170"/>
      <c r="J16" s="170"/>
      <c r="K16" s="170"/>
      <c r="L16" s="170"/>
      <c r="M16" s="143" t="s">
        <v>232</v>
      </c>
      <c r="N16" s="143" t="s">
        <v>233</v>
      </c>
      <c r="O16" s="170"/>
      <c r="P16" s="16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</row>
    <row r="17" spans="1:527" s="27" customFormat="1" ht="24" customHeight="1" x14ac:dyDescent="0.25">
      <c r="A17" s="126" t="s">
        <v>151</v>
      </c>
      <c r="B17" s="127"/>
      <c r="C17" s="127"/>
      <c r="D17" s="128" t="s">
        <v>36</v>
      </c>
      <c r="E17" s="99">
        <f>E18</f>
        <v>252236557.34</v>
      </c>
      <c r="F17" s="99">
        <f t="shared" ref="F17:J17" si="0">F18</f>
        <v>199637361.34</v>
      </c>
      <c r="G17" s="99">
        <f t="shared" si="0"/>
        <v>108145600</v>
      </c>
      <c r="H17" s="99">
        <f t="shared" si="0"/>
        <v>5488357</v>
      </c>
      <c r="I17" s="99">
        <f t="shared" si="0"/>
        <v>52599196</v>
      </c>
      <c r="J17" s="99">
        <f t="shared" si="0"/>
        <v>37909759.659999996</v>
      </c>
      <c r="K17" s="99">
        <f t="shared" ref="K17" si="1">K18</f>
        <v>37386964.659999996</v>
      </c>
      <c r="L17" s="99">
        <f t="shared" ref="L17" si="2">L18</f>
        <v>522795</v>
      </c>
      <c r="M17" s="99">
        <f t="shared" ref="M17" si="3">M18</f>
        <v>119291</v>
      </c>
      <c r="N17" s="99">
        <f t="shared" ref="N17" si="4">N18</f>
        <v>51832</v>
      </c>
      <c r="O17" s="99">
        <f t="shared" ref="O17:P17" si="5">O18</f>
        <v>37386964.659999996</v>
      </c>
      <c r="P17" s="99">
        <f t="shared" si="5"/>
        <v>290146317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</row>
    <row r="18" spans="1:527" s="34" customFormat="1" ht="36" customHeight="1" x14ac:dyDescent="0.25">
      <c r="A18" s="100" t="s">
        <v>152</v>
      </c>
      <c r="B18" s="101"/>
      <c r="C18" s="101"/>
      <c r="D18" s="81" t="s">
        <v>534</v>
      </c>
      <c r="E18" s="102">
        <f>E21+E22+E23+E24+E26+E27+E28+E29+E30+E31+E32+E33+E34+E35+E36+E37+E38+E39+E40+E41+E42+E43+E44+E46+E48+E49+E50+E51+E52+E53+E54+E55+E56+E58+E59+E60+E45+E47+E61</f>
        <v>252236557.34</v>
      </c>
      <c r="F18" s="102">
        <f t="shared" ref="F18:P18" si="6">F21+F22+F23+F24+F26+F27+F28+F29+F30+F31+F32+F33+F34+F35+F36+F37+F38+F39+F40+F41+F42+F43+F44+F46+F48+F49+F50+F51+F52+F53+F54+F55+F56+F58+F59+F60+F45+F47+F61</f>
        <v>199637361.34</v>
      </c>
      <c r="G18" s="102">
        <f t="shared" si="6"/>
        <v>108145600</v>
      </c>
      <c r="H18" s="102">
        <f t="shared" si="6"/>
        <v>5488357</v>
      </c>
      <c r="I18" s="102">
        <f t="shared" si="6"/>
        <v>52599196</v>
      </c>
      <c r="J18" s="102">
        <f t="shared" si="6"/>
        <v>37909759.659999996</v>
      </c>
      <c r="K18" s="102">
        <f t="shared" si="6"/>
        <v>37386964.659999996</v>
      </c>
      <c r="L18" s="102">
        <f t="shared" si="6"/>
        <v>522795</v>
      </c>
      <c r="M18" s="102">
        <f t="shared" si="6"/>
        <v>119291</v>
      </c>
      <c r="N18" s="102">
        <f t="shared" si="6"/>
        <v>51832</v>
      </c>
      <c r="O18" s="102">
        <f t="shared" si="6"/>
        <v>37386964.659999996</v>
      </c>
      <c r="P18" s="102">
        <f t="shared" si="6"/>
        <v>290146317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</row>
    <row r="19" spans="1:527" s="34" customFormat="1" ht="63" x14ac:dyDescent="0.25">
      <c r="A19" s="100"/>
      <c r="B19" s="101"/>
      <c r="C19" s="101"/>
      <c r="D19" s="81" t="s">
        <v>384</v>
      </c>
      <c r="E19" s="102">
        <f>E57</f>
        <v>588815</v>
      </c>
      <c r="F19" s="102">
        <f t="shared" ref="F19:P19" si="7">F57</f>
        <v>588815</v>
      </c>
      <c r="G19" s="102">
        <f t="shared" si="7"/>
        <v>482635</v>
      </c>
      <c r="H19" s="102">
        <f t="shared" si="7"/>
        <v>0</v>
      </c>
      <c r="I19" s="102">
        <f t="shared" si="7"/>
        <v>0</v>
      </c>
      <c r="J19" s="102">
        <f t="shared" si="7"/>
        <v>0</v>
      </c>
      <c r="K19" s="102">
        <f t="shared" si="7"/>
        <v>0</v>
      </c>
      <c r="L19" s="102">
        <f t="shared" si="7"/>
        <v>0</v>
      </c>
      <c r="M19" s="102">
        <f t="shared" si="7"/>
        <v>0</v>
      </c>
      <c r="N19" s="102">
        <f t="shared" si="7"/>
        <v>0</v>
      </c>
      <c r="O19" s="102">
        <f t="shared" si="7"/>
        <v>0</v>
      </c>
      <c r="P19" s="102">
        <f t="shared" si="7"/>
        <v>588815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</row>
    <row r="20" spans="1:527" s="34" customFormat="1" ht="63" hidden="1" customHeight="1" x14ac:dyDescent="0.25">
      <c r="A20" s="100"/>
      <c r="B20" s="101"/>
      <c r="C20" s="101"/>
      <c r="D20" s="8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02">
        <f>E25</f>
        <v>0</v>
      </c>
      <c r="F20" s="102">
        <f t="shared" ref="F20:P20" si="8">F25</f>
        <v>0</v>
      </c>
      <c r="G20" s="102">
        <f t="shared" si="8"/>
        <v>0</v>
      </c>
      <c r="H20" s="102">
        <f t="shared" si="8"/>
        <v>0</v>
      </c>
      <c r="I20" s="102">
        <f t="shared" si="8"/>
        <v>0</v>
      </c>
      <c r="J20" s="102">
        <f t="shared" si="8"/>
        <v>0</v>
      </c>
      <c r="K20" s="102">
        <f t="shared" si="8"/>
        <v>0</v>
      </c>
      <c r="L20" s="102">
        <f t="shared" si="8"/>
        <v>0</v>
      </c>
      <c r="M20" s="102">
        <f t="shared" si="8"/>
        <v>0</v>
      </c>
      <c r="N20" s="102">
        <f t="shared" si="8"/>
        <v>0</v>
      </c>
      <c r="O20" s="102">
        <f t="shared" si="8"/>
        <v>0</v>
      </c>
      <c r="P20" s="102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</row>
    <row r="21" spans="1:527" s="22" customFormat="1" ht="48" customHeight="1" x14ac:dyDescent="0.25">
      <c r="A21" s="60" t="s">
        <v>153</v>
      </c>
      <c r="B21" s="97" t="str">
        <f>'дод 8'!A19</f>
        <v>0160</v>
      </c>
      <c r="C21" s="97" t="str">
        <f>'дод 8'!B19</f>
        <v>0111</v>
      </c>
      <c r="D21" s="36" t="s">
        <v>503</v>
      </c>
      <c r="E21" s="103">
        <f t="shared" ref="E21:E61" si="9">F21+I21</f>
        <v>113013146</v>
      </c>
      <c r="F21" s="103">
        <f>112079700+60000+150000+47576+62533+613337</f>
        <v>113013146</v>
      </c>
      <c r="G21" s="103">
        <v>82201100</v>
      </c>
      <c r="H21" s="103">
        <f>2287700+47576+62533+613337</f>
        <v>3011146</v>
      </c>
      <c r="I21" s="103"/>
      <c r="J21" s="103">
        <f>L21+O21</f>
        <v>0</v>
      </c>
      <c r="K21" s="103">
        <f>150000-150000</f>
        <v>0</v>
      </c>
      <c r="L21" s="103"/>
      <c r="M21" s="103"/>
      <c r="N21" s="103"/>
      <c r="O21" s="103">
        <f>150000-150000</f>
        <v>0</v>
      </c>
      <c r="P21" s="103">
        <f t="shared" ref="P21:P61" si="10">E21+J21</f>
        <v>113013146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</row>
    <row r="22" spans="1:527" s="22" customFormat="1" ht="35.25" customHeight="1" x14ac:dyDescent="0.25">
      <c r="A22" s="60" t="s">
        <v>455</v>
      </c>
      <c r="B22" s="60" t="s">
        <v>92</v>
      </c>
      <c r="C22" s="60" t="s">
        <v>465</v>
      </c>
      <c r="D22" s="36" t="s">
        <v>456</v>
      </c>
      <c r="E22" s="103">
        <f t="shared" si="9"/>
        <v>200000</v>
      </c>
      <c r="F22" s="103">
        <v>200000</v>
      </c>
      <c r="G22" s="103"/>
      <c r="H22" s="103"/>
      <c r="I22" s="103"/>
      <c r="J22" s="103">
        <f>L22+O22</f>
        <v>0</v>
      </c>
      <c r="K22" s="103"/>
      <c r="L22" s="103"/>
      <c r="M22" s="103"/>
      <c r="N22" s="103"/>
      <c r="O22" s="103"/>
      <c r="P22" s="103">
        <f t="shared" si="10"/>
        <v>200000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</row>
    <row r="23" spans="1:527" s="22" customFormat="1" ht="28.5" customHeight="1" x14ac:dyDescent="0.25">
      <c r="A23" s="60" t="s">
        <v>243</v>
      </c>
      <c r="B23" s="97" t="str">
        <f>'дод 8'!A21</f>
        <v>0180</v>
      </c>
      <c r="C23" s="97" t="str">
        <f>'дод 8'!B21</f>
        <v>0133</v>
      </c>
      <c r="D23" s="61" t="str">
        <f>'дод 8'!C21</f>
        <v>Інша діяльність у сфері державного управління</v>
      </c>
      <c r="E23" s="103">
        <f t="shared" si="9"/>
        <v>396000</v>
      </c>
      <c r="F23" s="103">
        <v>396000</v>
      </c>
      <c r="G23" s="103"/>
      <c r="H23" s="103"/>
      <c r="I23" s="103"/>
      <c r="J23" s="103">
        <f t="shared" ref="J23:J25" si="11">L23+O23</f>
        <v>0</v>
      </c>
      <c r="K23" s="103"/>
      <c r="L23" s="103"/>
      <c r="M23" s="103"/>
      <c r="N23" s="103"/>
      <c r="O23" s="103"/>
      <c r="P23" s="103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</row>
    <row r="24" spans="1:527" s="22" customFormat="1" ht="15.75" hidden="1" customHeight="1" x14ac:dyDescent="0.25">
      <c r="A24" s="60" t="s">
        <v>437</v>
      </c>
      <c r="B24" s="60" t="s">
        <v>438</v>
      </c>
      <c r="C24" s="60" t="s">
        <v>121</v>
      </c>
      <c r="D24" s="61" t="s">
        <v>439</v>
      </c>
      <c r="E24" s="103">
        <f t="shared" si="9"/>
        <v>0</v>
      </c>
      <c r="F24" s="103"/>
      <c r="G24" s="103"/>
      <c r="H24" s="103"/>
      <c r="I24" s="103"/>
      <c r="J24" s="103">
        <f t="shared" si="11"/>
        <v>0</v>
      </c>
      <c r="K24" s="103"/>
      <c r="L24" s="103"/>
      <c r="M24" s="103"/>
      <c r="N24" s="103"/>
      <c r="O24" s="103"/>
      <c r="P24" s="103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</row>
    <row r="25" spans="1:527" s="24" customFormat="1" ht="60" hidden="1" customHeight="1" x14ac:dyDescent="0.25">
      <c r="A25" s="88"/>
      <c r="B25" s="104"/>
      <c r="C25" s="104"/>
      <c r="D25" s="91" t="str">
        <f>'дод 8'!C23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05">
        <f t="shared" si="9"/>
        <v>0</v>
      </c>
      <c r="F25" s="105"/>
      <c r="G25" s="105"/>
      <c r="H25" s="105"/>
      <c r="I25" s="105"/>
      <c r="J25" s="105">
        <f t="shared" si="11"/>
        <v>0</v>
      </c>
      <c r="K25" s="105"/>
      <c r="L25" s="105"/>
      <c r="M25" s="105"/>
      <c r="N25" s="105"/>
      <c r="O25" s="105"/>
      <c r="P25" s="105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</row>
    <row r="26" spans="1:527" s="22" customFormat="1" ht="46.5" customHeight="1" x14ac:dyDescent="0.25">
      <c r="A26" s="60" t="s">
        <v>259</v>
      </c>
      <c r="B26" s="97" t="str">
        <f>'дод 8'!A103</f>
        <v>3033</v>
      </c>
      <c r="C26" s="97" t="str">
        <f>'дод 8'!B103</f>
        <v>1070</v>
      </c>
      <c r="D26" s="61" t="s">
        <v>413</v>
      </c>
      <c r="E26" s="103">
        <f t="shared" si="9"/>
        <v>314360</v>
      </c>
      <c r="F26" s="103">
        <f>270000+44360</f>
        <v>314360</v>
      </c>
      <c r="G26" s="103"/>
      <c r="H26" s="103"/>
      <c r="I26" s="103"/>
      <c r="J26" s="103">
        <f t="shared" ref="J26:J61" si="12">L26+O26</f>
        <v>0</v>
      </c>
      <c r="K26" s="103"/>
      <c r="L26" s="103"/>
      <c r="M26" s="103"/>
      <c r="N26" s="103"/>
      <c r="O26" s="103"/>
      <c r="P26" s="103">
        <f t="shared" si="10"/>
        <v>314360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</row>
    <row r="27" spans="1:527" s="22" customFormat="1" ht="31.5" customHeight="1" x14ac:dyDescent="0.25">
      <c r="A27" s="60" t="s">
        <v>154</v>
      </c>
      <c r="B27" s="97" t="str">
        <f>'дод 8'!A106</f>
        <v>3036</v>
      </c>
      <c r="C27" s="97" t="str">
        <f>'дод 8'!B106</f>
        <v>1070</v>
      </c>
      <c r="D27" s="61" t="str">
        <f>'дод 8'!C106</f>
        <v>Компенсаційні виплати на пільговий проїзд електротранспортом окремим категоріям громадян</v>
      </c>
      <c r="E27" s="103">
        <f t="shared" si="9"/>
        <v>465886</v>
      </c>
      <c r="F27" s="103">
        <f>426500+39386</f>
        <v>465886</v>
      </c>
      <c r="G27" s="103"/>
      <c r="H27" s="103"/>
      <c r="I27" s="103"/>
      <c r="J27" s="103">
        <f t="shared" si="12"/>
        <v>0</v>
      </c>
      <c r="K27" s="103"/>
      <c r="L27" s="103"/>
      <c r="M27" s="103"/>
      <c r="N27" s="103"/>
      <c r="O27" s="103"/>
      <c r="P27" s="103">
        <f t="shared" si="10"/>
        <v>465886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</row>
    <row r="28" spans="1:527" s="22" customFormat="1" ht="36" customHeight="1" x14ac:dyDescent="0.25">
      <c r="A28" s="60" t="s">
        <v>155</v>
      </c>
      <c r="B28" s="97" t="str">
        <f>'дод 8'!A114</f>
        <v>3121</v>
      </c>
      <c r="C28" s="97" t="str">
        <f>'дод 8'!B114</f>
        <v>1040</v>
      </c>
      <c r="D28" s="61" t="s">
        <v>510</v>
      </c>
      <c r="E28" s="103">
        <f t="shared" si="9"/>
        <v>3210440</v>
      </c>
      <c r="F28" s="103">
        <f>3206400+4040</f>
        <v>3210440</v>
      </c>
      <c r="G28" s="103">
        <v>2407050</v>
      </c>
      <c r="H28" s="103">
        <f>39590+4040</f>
        <v>43630</v>
      </c>
      <c r="I28" s="103"/>
      <c r="J28" s="103">
        <f t="shared" si="12"/>
        <v>0</v>
      </c>
      <c r="K28" s="103"/>
      <c r="L28" s="103"/>
      <c r="M28" s="103"/>
      <c r="N28" s="103"/>
      <c r="O28" s="103"/>
      <c r="P28" s="103">
        <f t="shared" si="10"/>
        <v>3210440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</row>
    <row r="29" spans="1:527" s="22" customFormat="1" ht="48.75" customHeight="1" x14ac:dyDescent="0.25">
      <c r="A29" s="60" t="s">
        <v>156</v>
      </c>
      <c r="B29" s="97" t="str">
        <f>'дод 8'!A115</f>
        <v>3131</v>
      </c>
      <c r="C29" s="97" t="str">
        <f>'дод 8'!B115</f>
        <v>1040</v>
      </c>
      <c r="D29" s="61" t="str">
        <f>'дод 8'!C115</f>
        <v>Здійснення заходів та реалізація проектів на виконання Державної цільової соціальної програми "Молодь України"</v>
      </c>
      <c r="E29" s="103">
        <f t="shared" si="9"/>
        <v>783850</v>
      </c>
      <c r="F29" s="103">
        <f>684300+99550</f>
        <v>783850</v>
      </c>
      <c r="G29" s="103"/>
      <c r="H29" s="103"/>
      <c r="I29" s="103"/>
      <c r="J29" s="103">
        <f t="shared" si="12"/>
        <v>0</v>
      </c>
      <c r="K29" s="103"/>
      <c r="L29" s="103"/>
      <c r="M29" s="103"/>
      <c r="N29" s="103"/>
      <c r="O29" s="103"/>
      <c r="P29" s="103">
        <f t="shared" si="10"/>
        <v>783850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</row>
    <row r="30" spans="1:527" s="22" customFormat="1" ht="63" x14ac:dyDescent="0.25">
      <c r="A30" s="60" t="s">
        <v>157</v>
      </c>
      <c r="B30" s="97" t="str">
        <f>'дод 8'!A116</f>
        <v>3140</v>
      </c>
      <c r="C30" s="97" t="str">
        <f>'дод 8'!B116</f>
        <v>1040</v>
      </c>
      <c r="D30" s="61" t="s">
        <v>20</v>
      </c>
      <c r="E30" s="103">
        <f t="shared" si="9"/>
        <v>280000</v>
      </c>
      <c r="F30" s="103">
        <v>280000</v>
      </c>
      <c r="G30" s="103"/>
      <c r="H30" s="103"/>
      <c r="I30" s="103"/>
      <c r="J30" s="103">
        <f t="shared" si="12"/>
        <v>0</v>
      </c>
      <c r="K30" s="103"/>
      <c r="L30" s="103"/>
      <c r="M30" s="103"/>
      <c r="N30" s="103"/>
      <c r="O30" s="103"/>
      <c r="P30" s="103">
        <f t="shared" si="10"/>
        <v>280000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</row>
    <row r="31" spans="1:527" s="22" customFormat="1" ht="32.25" customHeight="1" x14ac:dyDescent="0.25">
      <c r="A31" s="60" t="s">
        <v>307</v>
      </c>
      <c r="B31" s="97" t="str">
        <f>'дод 8'!A133</f>
        <v>3241</v>
      </c>
      <c r="C31" s="97" t="str">
        <f>'дод 8'!B133</f>
        <v>1090</v>
      </c>
      <c r="D31" s="61" t="str">
        <f>'дод 8'!C133</f>
        <v>Забезпечення діяльності інших закладів у сфері соціального захисту і соціального забезпечення</v>
      </c>
      <c r="E31" s="103">
        <f t="shared" si="9"/>
        <v>1539992</v>
      </c>
      <c r="F31" s="103">
        <f>1518300+21692</f>
        <v>1539992</v>
      </c>
      <c r="G31" s="103">
        <v>1078950</v>
      </c>
      <c r="H31" s="103">
        <f>96540+21692</f>
        <v>118232</v>
      </c>
      <c r="I31" s="103"/>
      <c r="J31" s="103">
        <f t="shared" si="12"/>
        <v>0</v>
      </c>
      <c r="K31" s="103"/>
      <c r="L31" s="103"/>
      <c r="M31" s="103"/>
      <c r="N31" s="103"/>
      <c r="O31" s="103"/>
      <c r="P31" s="103">
        <f t="shared" si="10"/>
        <v>1539992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</row>
    <row r="32" spans="1:527" s="22" customFormat="1" ht="33.75" customHeight="1" x14ac:dyDescent="0.25">
      <c r="A32" s="60" t="s">
        <v>308</v>
      </c>
      <c r="B32" s="97" t="str">
        <f>'дод 8'!A134</f>
        <v>3242</v>
      </c>
      <c r="C32" s="97" t="str">
        <f>'дод 8'!B134</f>
        <v>1090</v>
      </c>
      <c r="D32" s="61" t="s">
        <v>414</v>
      </c>
      <c r="E32" s="103">
        <f t="shared" si="9"/>
        <v>257400</v>
      </c>
      <c r="F32" s="103">
        <v>257400</v>
      </c>
      <c r="G32" s="103"/>
      <c r="H32" s="103"/>
      <c r="I32" s="103"/>
      <c r="J32" s="103">
        <f t="shared" si="12"/>
        <v>0</v>
      </c>
      <c r="K32" s="103"/>
      <c r="L32" s="103"/>
      <c r="M32" s="103"/>
      <c r="N32" s="103"/>
      <c r="O32" s="103"/>
      <c r="P32" s="103">
        <f t="shared" si="10"/>
        <v>257400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</row>
    <row r="33" spans="1:527" s="22" customFormat="1" ht="49.5" customHeight="1" x14ac:dyDescent="0.25">
      <c r="A33" s="60" t="s">
        <v>320</v>
      </c>
      <c r="B33" s="97" t="str">
        <f>'дод 8'!A138</f>
        <v>4060</v>
      </c>
      <c r="C33" s="97" t="str">
        <f>'дод 8'!B138</f>
        <v>0828</v>
      </c>
      <c r="D33" s="61" t="str">
        <f>'дод 8'!C138</f>
        <v>Забезпечення діяльності палаців i будинків культури, клубів, центрів дозвілля та iнших клубних закладів</v>
      </c>
      <c r="E33" s="103">
        <f t="shared" si="9"/>
        <v>4865509</v>
      </c>
      <c r="F33" s="106">
        <f>4330600+30000+64900+98000+100000+242009</f>
        <v>4865509</v>
      </c>
      <c r="G33" s="103">
        <v>2526200</v>
      </c>
      <c r="H33" s="103">
        <f>452700+30000+242009</f>
        <v>724709</v>
      </c>
      <c r="I33" s="103"/>
      <c r="J33" s="103">
        <f t="shared" si="12"/>
        <v>0</v>
      </c>
      <c r="K33" s="103"/>
      <c r="L33" s="103"/>
      <c r="M33" s="103"/>
      <c r="N33" s="103"/>
      <c r="O33" s="103"/>
      <c r="P33" s="103">
        <f t="shared" si="10"/>
        <v>4865509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</row>
    <row r="34" spans="1:527" s="22" customFormat="1" ht="30.75" customHeight="1" x14ac:dyDescent="0.25">
      <c r="A34" s="60" t="s">
        <v>305</v>
      </c>
      <c r="B34" s="97" t="str">
        <f>'дод 8'!A139</f>
        <v>4081</v>
      </c>
      <c r="C34" s="97" t="str">
        <f>'дод 8'!B139</f>
        <v>0829</v>
      </c>
      <c r="D34" s="61" t="str">
        <f>'дод 8'!C139</f>
        <v>Забезпечення діяльності інших закладів в галузі культури і мистецтва</v>
      </c>
      <c r="E34" s="103">
        <f t="shared" si="9"/>
        <v>2919781</v>
      </c>
      <c r="F34" s="103">
        <f>2708200+3000+68100+22800+97000+20681</f>
        <v>2919781</v>
      </c>
      <c r="G34" s="103">
        <v>1687000</v>
      </c>
      <c r="H34" s="103">
        <f>72500+20681</f>
        <v>93181</v>
      </c>
      <c r="I34" s="103"/>
      <c r="J34" s="103">
        <f t="shared" si="12"/>
        <v>65000</v>
      </c>
      <c r="K34" s="103">
        <v>65000</v>
      </c>
      <c r="L34" s="103"/>
      <c r="M34" s="103"/>
      <c r="N34" s="103"/>
      <c r="O34" s="103">
        <v>65000</v>
      </c>
      <c r="P34" s="103">
        <f t="shared" si="10"/>
        <v>2984781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</row>
    <row r="35" spans="1:527" s="22" customFormat="1" ht="25.5" customHeight="1" x14ac:dyDescent="0.25">
      <c r="A35" s="60" t="s">
        <v>306</v>
      </c>
      <c r="B35" s="97" t="str">
        <f>'дод 8'!A140</f>
        <v>4082</v>
      </c>
      <c r="C35" s="97" t="str">
        <f>'дод 8'!B140</f>
        <v>0829</v>
      </c>
      <c r="D35" s="61" t="str">
        <f>'дод 8'!C140</f>
        <v>Інші заходи в галузі культури і мистецтва</v>
      </c>
      <c r="E35" s="103">
        <f t="shared" si="9"/>
        <v>327181</v>
      </c>
      <c r="F35" s="103">
        <f>355081-27900</f>
        <v>327181</v>
      </c>
      <c r="G35" s="103"/>
      <c r="H35" s="103"/>
      <c r="I35" s="103"/>
      <c r="J35" s="103">
        <f t="shared" si="12"/>
        <v>0</v>
      </c>
      <c r="K35" s="103"/>
      <c r="L35" s="103"/>
      <c r="M35" s="103"/>
      <c r="N35" s="103"/>
      <c r="O35" s="103"/>
      <c r="P35" s="103">
        <f t="shared" si="10"/>
        <v>327181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</row>
    <row r="36" spans="1:527" s="22" customFormat="1" ht="36.75" customHeight="1" x14ac:dyDescent="0.25">
      <c r="A36" s="107" t="s">
        <v>158</v>
      </c>
      <c r="B36" s="42" t="str">
        <f>'дод 8'!A143</f>
        <v>5011</v>
      </c>
      <c r="C36" s="42" t="str">
        <f>'дод 8'!B143</f>
        <v>0810</v>
      </c>
      <c r="D36" s="36" t="str">
        <f>'дод 8'!C143</f>
        <v>Проведення навчально-тренувальних зборів і змагань з олімпійських видів спорту</v>
      </c>
      <c r="E36" s="103">
        <f t="shared" si="9"/>
        <v>710000</v>
      </c>
      <c r="F36" s="103">
        <f>600000+30000+20000+60000</f>
        <v>710000</v>
      </c>
      <c r="G36" s="103"/>
      <c r="H36" s="103"/>
      <c r="I36" s="103"/>
      <c r="J36" s="103">
        <f t="shared" si="12"/>
        <v>0</v>
      </c>
      <c r="K36" s="103"/>
      <c r="L36" s="103"/>
      <c r="M36" s="103"/>
      <c r="N36" s="103"/>
      <c r="O36" s="103"/>
      <c r="P36" s="103">
        <f t="shared" si="10"/>
        <v>710000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</row>
    <row r="37" spans="1:527" s="22" customFormat="1" ht="34.5" customHeight="1" x14ac:dyDescent="0.25">
      <c r="A37" s="107" t="s">
        <v>159</v>
      </c>
      <c r="B37" s="42" t="str">
        <f>'дод 8'!A144</f>
        <v>5012</v>
      </c>
      <c r="C37" s="42" t="str">
        <f>'дод 8'!B144</f>
        <v>0810</v>
      </c>
      <c r="D37" s="36" t="str">
        <f>'дод 8'!C144</f>
        <v>Проведення навчально-тренувальних зборів і змагань з неолімпійських видів спорту</v>
      </c>
      <c r="E37" s="103">
        <f t="shared" si="9"/>
        <v>959480</v>
      </c>
      <c r="F37" s="103">
        <f>600000+32000-20000+184000+37000+10000+50000+6480+60000</f>
        <v>959480</v>
      </c>
      <c r="G37" s="103"/>
      <c r="H37" s="103"/>
      <c r="I37" s="103"/>
      <c r="J37" s="103">
        <f t="shared" si="12"/>
        <v>0</v>
      </c>
      <c r="K37" s="103"/>
      <c r="L37" s="103"/>
      <c r="M37" s="103"/>
      <c r="N37" s="103"/>
      <c r="O37" s="103"/>
      <c r="P37" s="103">
        <f t="shared" si="10"/>
        <v>959480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</row>
    <row r="38" spans="1:527" s="22" customFormat="1" ht="39" customHeight="1" x14ac:dyDescent="0.25">
      <c r="A38" s="107" t="s">
        <v>160</v>
      </c>
      <c r="B38" s="42" t="str">
        <f>'дод 8'!A145</f>
        <v>5031</v>
      </c>
      <c r="C38" s="42" t="str">
        <f>'дод 8'!B145</f>
        <v>0810</v>
      </c>
      <c r="D38" s="36" t="str">
        <f>'дод 8'!C145</f>
        <v>Утримання та навчально-тренувальна робота комунальних дитячо-юнацьких спортивних шкіл</v>
      </c>
      <c r="E38" s="103">
        <f t="shared" si="9"/>
        <v>18415993</v>
      </c>
      <c r="F38" s="103">
        <f>16311200+198300+253000+110000+130000+20000+10000+50000+1000000+127420+206073</f>
        <v>18415993</v>
      </c>
      <c r="G38" s="103">
        <f>12531000+820000</f>
        <v>13351000</v>
      </c>
      <c r="H38" s="103">
        <f>634200+206073</f>
        <v>840273</v>
      </c>
      <c r="I38" s="103"/>
      <c r="J38" s="103">
        <f t="shared" si="12"/>
        <v>200700</v>
      </c>
      <c r="K38" s="103">
        <f>110700+90000</f>
        <v>200700</v>
      </c>
      <c r="L38" s="103"/>
      <c r="M38" s="103"/>
      <c r="N38" s="103"/>
      <c r="O38" s="103">
        <f>110700+90000</f>
        <v>200700</v>
      </c>
      <c r="P38" s="103">
        <f t="shared" si="10"/>
        <v>18616693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</row>
    <row r="39" spans="1:527" s="22" customFormat="1" ht="33.75" customHeight="1" x14ac:dyDescent="0.25">
      <c r="A39" s="107" t="s">
        <v>359</v>
      </c>
      <c r="B39" s="42" t="str">
        <f>'дод 8'!A147</f>
        <v>5032</v>
      </c>
      <c r="C39" s="42" t="str">
        <f>'дод 8'!B147</f>
        <v>0810</v>
      </c>
      <c r="D39" s="36" t="str">
        <f>'дод 8'!C147</f>
        <v>Фінансова підтримка дитячо-юнацьких спортивних шкіл фізкультурно-спортивних товариств</v>
      </c>
      <c r="E39" s="103">
        <f t="shared" si="9"/>
        <v>14411332</v>
      </c>
      <c r="F39" s="103">
        <f>13627800+140000+183000+115000+95000+90000+101200+10000+10000+34600+4732</f>
        <v>14411332</v>
      </c>
      <c r="G39" s="103"/>
      <c r="H39" s="103"/>
      <c r="I39" s="103"/>
      <c r="J39" s="103">
        <f t="shared" si="12"/>
        <v>372100</v>
      </c>
      <c r="K39" s="103">
        <f>215000+30700+66000+60400</f>
        <v>372100</v>
      </c>
      <c r="L39" s="103"/>
      <c r="M39" s="103"/>
      <c r="N39" s="103"/>
      <c r="O39" s="103">
        <f>215000+30700+66000+60400</f>
        <v>372100</v>
      </c>
      <c r="P39" s="103">
        <f t="shared" si="10"/>
        <v>14783432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</row>
    <row r="40" spans="1:527" s="22" customFormat="1" ht="63" x14ac:dyDescent="0.25">
      <c r="A40" s="107" t="s">
        <v>161</v>
      </c>
      <c r="B40" s="42" t="str">
        <f>'дод 8'!A148</f>
        <v>5061</v>
      </c>
      <c r="C40" s="42" t="str">
        <f>'дод 8'!B148</f>
        <v>0810</v>
      </c>
      <c r="D40" s="36" t="str">
        <f>'дод 8'!C148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103">
        <f t="shared" si="9"/>
        <v>4973184</v>
      </c>
      <c r="F40" s="103">
        <f>4794100+70000+25000+30000+25300+28784</f>
        <v>4973184</v>
      </c>
      <c r="G40" s="103">
        <v>2987400</v>
      </c>
      <c r="H40" s="103">
        <f>288100+2155+28784</f>
        <v>319039</v>
      </c>
      <c r="I40" s="103"/>
      <c r="J40" s="103">
        <f t="shared" si="12"/>
        <v>1742994</v>
      </c>
      <c r="K40" s="103">
        <f>1530000+30000-30000</f>
        <v>1530000</v>
      </c>
      <c r="L40" s="103">
        <v>212994</v>
      </c>
      <c r="M40" s="103">
        <v>119291</v>
      </c>
      <c r="N40" s="103">
        <v>50432</v>
      </c>
      <c r="O40" s="103">
        <f>1530000+30000-30000</f>
        <v>1530000</v>
      </c>
      <c r="P40" s="103">
        <f t="shared" si="10"/>
        <v>6716178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</row>
    <row r="41" spans="1:527" s="22" customFormat="1" ht="47.25" x14ac:dyDescent="0.25">
      <c r="A41" s="107" t="s">
        <v>351</v>
      </c>
      <c r="B41" s="42" t="str">
        <f>'дод 8'!A149</f>
        <v>5062</v>
      </c>
      <c r="C41" s="42" t="str">
        <f>'дод 8'!B149</f>
        <v>0810</v>
      </c>
      <c r="D41" s="36" t="str">
        <f>'дод 8'!C149</f>
        <v>Підтримка спорту вищих досягнень та організацій, які здійснюють фізкультурно-спортивну діяльність в регіоні</v>
      </c>
      <c r="E41" s="103">
        <f t="shared" si="9"/>
        <v>14968695</v>
      </c>
      <c r="F41" s="103">
        <f>11230300+136000+76000+1300000+10000+53800+100000+500000+1500000+62595</f>
        <v>14968695</v>
      </c>
      <c r="G41" s="103"/>
      <c r="H41" s="103"/>
      <c r="I41" s="103"/>
      <c r="J41" s="103">
        <f t="shared" si="12"/>
        <v>0</v>
      </c>
      <c r="K41" s="103"/>
      <c r="L41" s="103"/>
      <c r="M41" s="103"/>
      <c r="N41" s="103"/>
      <c r="O41" s="103"/>
      <c r="P41" s="103">
        <f t="shared" si="10"/>
        <v>14968695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</row>
    <row r="42" spans="1:527" s="22" customFormat="1" ht="39" customHeight="1" x14ac:dyDescent="0.25">
      <c r="A42" s="107" t="s">
        <v>416</v>
      </c>
      <c r="B42" s="42">
        <v>7325</v>
      </c>
      <c r="C42" s="77" t="s">
        <v>113</v>
      </c>
      <c r="D42" s="6" t="s">
        <v>563</v>
      </c>
      <c r="E42" s="103">
        <f t="shared" si="9"/>
        <v>0</v>
      </c>
      <c r="F42" s="103"/>
      <c r="G42" s="103"/>
      <c r="H42" s="103"/>
      <c r="I42" s="103"/>
      <c r="J42" s="103">
        <f t="shared" si="12"/>
        <v>9790000</v>
      </c>
      <c r="K42" s="103">
        <v>9790000</v>
      </c>
      <c r="L42" s="103"/>
      <c r="M42" s="103"/>
      <c r="N42" s="103"/>
      <c r="O42" s="103">
        <v>9790000</v>
      </c>
      <c r="P42" s="103">
        <f t="shared" si="10"/>
        <v>9790000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</row>
    <row r="43" spans="1:527" s="22" customFormat="1" ht="18.75" x14ac:dyDescent="0.25">
      <c r="A43" s="107" t="s">
        <v>417</v>
      </c>
      <c r="B43" s="42">
        <v>7330</v>
      </c>
      <c r="C43" s="77" t="s">
        <v>113</v>
      </c>
      <c r="D43" s="6" t="s">
        <v>564</v>
      </c>
      <c r="E43" s="103">
        <f t="shared" si="9"/>
        <v>0</v>
      </c>
      <c r="F43" s="103"/>
      <c r="G43" s="103"/>
      <c r="H43" s="103"/>
      <c r="I43" s="103"/>
      <c r="J43" s="103">
        <f t="shared" si="12"/>
        <v>400000</v>
      </c>
      <c r="K43" s="103">
        <v>400000</v>
      </c>
      <c r="L43" s="103"/>
      <c r="M43" s="103"/>
      <c r="N43" s="103"/>
      <c r="O43" s="103">
        <v>400000</v>
      </c>
      <c r="P43" s="103">
        <f t="shared" si="10"/>
        <v>400000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</row>
    <row r="44" spans="1:527" s="22" customFormat="1" ht="31.5" x14ac:dyDescent="0.25">
      <c r="A44" s="107" t="s">
        <v>162</v>
      </c>
      <c r="B44" s="42" t="str">
        <f>'дод 8'!A187</f>
        <v>7412</v>
      </c>
      <c r="C44" s="42" t="str">
        <f>'дод 8'!B187</f>
        <v>0451</v>
      </c>
      <c r="D44" s="36" t="str">
        <f>'дод 8'!C187</f>
        <v>Регулювання цін на послуги місцевого автотранспорту</v>
      </c>
      <c r="E44" s="103">
        <f t="shared" si="9"/>
        <v>6542500</v>
      </c>
      <c r="F44" s="103"/>
      <c r="G44" s="103"/>
      <c r="H44" s="103"/>
      <c r="I44" s="103">
        <f>7417200-874700</f>
        <v>6542500</v>
      </c>
      <c r="J44" s="103">
        <f t="shared" si="12"/>
        <v>0</v>
      </c>
      <c r="K44" s="103"/>
      <c r="L44" s="103"/>
      <c r="M44" s="103"/>
      <c r="N44" s="103"/>
      <c r="O44" s="103"/>
      <c r="P44" s="103">
        <f t="shared" si="10"/>
        <v>6542500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</row>
    <row r="45" spans="1:527" s="22" customFormat="1" ht="24" customHeight="1" x14ac:dyDescent="0.25">
      <c r="A45" s="107" t="s">
        <v>379</v>
      </c>
      <c r="B45" s="42">
        <f>'дод 8'!A188</f>
        <v>7413</v>
      </c>
      <c r="C45" s="42" t="str">
        <f>'дод 8'!B188</f>
        <v>0451</v>
      </c>
      <c r="D45" s="108" t="str">
        <f>'дод 8'!C188</f>
        <v>Інші заходи у сфері автотранспорту</v>
      </c>
      <c r="E45" s="103">
        <f t="shared" si="9"/>
        <v>11000000</v>
      </c>
      <c r="F45" s="103"/>
      <c r="G45" s="103"/>
      <c r="H45" s="103"/>
      <c r="I45" s="103">
        <v>11000000</v>
      </c>
      <c r="J45" s="103">
        <f t="shared" si="12"/>
        <v>0</v>
      </c>
      <c r="K45" s="103"/>
      <c r="L45" s="103"/>
      <c r="M45" s="103"/>
      <c r="N45" s="103"/>
      <c r="O45" s="103"/>
      <c r="P45" s="103">
        <f t="shared" si="10"/>
        <v>11000000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</row>
    <row r="46" spans="1:527" s="22" customFormat="1" ht="31.5" x14ac:dyDescent="0.25">
      <c r="A46" s="107" t="s">
        <v>586</v>
      </c>
      <c r="B46" s="42">
        <v>7422</v>
      </c>
      <c r="C46" s="107" t="s">
        <v>415</v>
      </c>
      <c r="D46" s="108" t="s">
        <v>587</v>
      </c>
      <c r="E46" s="103">
        <f t="shared" si="9"/>
        <v>4314400</v>
      </c>
      <c r="F46" s="103"/>
      <c r="G46" s="103"/>
      <c r="H46" s="103"/>
      <c r="I46" s="103">
        <v>4314400</v>
      </c>
      <c r="J46" s="103">
        <f t="shared" si="12"/>
        <v>0</v>
      </c>
      <c r="K46" s="103"/>
      <c r="L46" s="103"/>
      <c r="M46" s="103"/>
      <c r="N46" s="103"/>
      <c r="O46" s="103"/>
      <c r="P46" s="103">
        <f t="shared" si="10"/>
        <v>4314400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</row>
    <row r="47" spans="1:527" s="22" customFormat="1" ht="24" customHeight="1" x14ac:dyDescent="0.25">
      <c r="A47" s="107" t="s">
        <v>380</v>
      </c>
      <c r="B47" s="42">
        <f>'дод 8'!A190</f>
        <v>7426</v>
      </c>
      <c r="C47" s="107" t="s">
        <v>415</v>
      </c>
      <c r="D47" s="108" t="str">
        <f>'дод 8'!C190</f>
        <v>Інші заходи у сфері електротранспорту</v>
      </c>
      <c r="E47" s="103">
        <f t="shared" si="9"/>
        <v>30742296</v>
      </c>
      <c r="F47" s="103"/>
      <c r="G47" s="103"/>
      <c r="H47" s="103"/>
      <c r="I47" s="103">
        <v>30742296</v>
      </c>
      <c r="J47" s="103">
        <f t="shared" si="12"/>
        <v>0</v>
      </c>
      <c r="K47" s="103"/>
      <c r="L47" s="103"/>
      <c r="M47" s="103"/>
      <c r="N47" s="103"/>
      <c r="O47" s="103"/>
      <c r="P47" s="103">
        <f t="shared" si="10"/>
        <v>30742296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</row>
    <row r="48" spans="1:527" s="22" customFormat="1" ht="24" customHeight="1" x14ac:dyDescent="0.25">
      <c r="A48" s="107" t="s">
        <v>457</v>
      </c>
      <c r="B48" s="107" t="s">
        <v>458</v>
      </c>
      <c r="C48" s="107" t="s">
        <v>402</v>
      </c>
      <c r="D48" s="108" t="s">
        <v>464</v>
      </c>
      <c r="E48" s="103">
        <f t="shared" si="9"/>
        <v>2725480</v>
      </c>
      <c r="F48" s="103">
        <v>2725480</v>
      </c>
      <c r="G48" s="103"/>
      <c r="H48" s="103"/>
      <c r="I48" s="103"/>
      <c r="J48" s="103">
        <f t="shared" si="12"/>
        <v>0</v>
      </c>
      <c r="K48" s="103"/>
      <c r="L48" s="103"/>
      <c r="M48" s="103"/>
      <c r="N48" s="103"/>
      <c r="O48" s="103"/>
      <c r="P48" s="103">
        <f t="shared" si="10"/>
        <v>2725480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</row>
    <row r="49" spans="1:527" s="22" customFormat="1" ht="30.75" customHeight="1" x14ac:dyDescent="0.25">
      <c r="A49" s="107" t="s">
        <v>235</v>
      </c>
      <c r="B49" s="42" t="str">
        <f>'дод 8'!A198</f>
        <v>7530</v>
      </c>
      <c r="C49" s="42" t="str">
        <f>'дод 8'!B198</f>
        <v>0460</v>
      </c>
      <c r="D49" s="36" t="s">
        <v>236</v>
      </c>
      <c r="E49" s="103">
        <f t="shared" si="9"/>
        <v>7250000</v>
      </c>
      <c r="F49" s="103">
        <f>10400000-3150000</f>
        <v>7250000</v>
      </c>
      <c r="G49" s="103"/>
      <c r="H49" s="103"/>
      <c r="I49" s="103"/>
      <c r="J49" s="103">
        <f t="shared" si="12"/>
        <v>3150000</v>
      </c>
      <c r="K49" s="103">
        <v>3150000</v>
      </c>
      <c r="L49" s="103"/>
      <c r="M49" s="103"/>
      <c r="N49" s="103"/>
      <c r="O49" s="103">
        <v>3150000</v>
      </c>
      <c r="P49" s="103">
        <f t="shared" si="10"/>
        <v>10400000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</row>
    <row r="50" spans="1:527" s="22" customFormat="1" ht="31.5" customHeight="1" x14ac:dyDescent="0.25">
      <c r="A50" s="107" t="s">
        <v>163</v>
      </c>
      <c r="B50" s="42" t="str">
        <f>'дод 8'!A201</f>
        <v>7610</v>
      </c>
      <c r="C50" s="42" t="str">
        <f>'дод 8'!B201</f>
        <v>0411</v>
      </c>
      <c r="D50" s="36" t="str">
        <f>'дод 8'!C201</f>
        <v>Сприяння розвитку малого та середнього підприємництва</v>
      </c>
      <c r="E50" s="103">
        <f t="shared" si="9"/>
        <v>60000</v>
      </c>
      <c r="F50" s="103">
        <v>60000</v>
      </c>
      <c r="G50" s="103"/>
      <c r="H50" s="103"/>
      <c r="I50" s="103"/>
      <c r="J50" s="103">
        <f t="shared" si="12"/>
        <v>0</v>
      </c>
      <c r="K50" s="103"/>
      <c r="L50" s="103"/>
      <c r="M50" s="103"/>
      <c r="N50" s="103"/>
      <c r="O50" s="103"/>
      <c r="P50" s="103">
        <f t="shared" si="10"/>
        <v>60000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</row>
    <row r="51" spans="1:527" s="22" customFormat="1" ht="33.75" customHeight="1" x14ac:dyDescent="0.25">
      <c r="A51" s="107" t="s">
        <v>164</v>
      </c>
      <c r="B51" s="42" t="str">
        <f>'дод 8'!A206</f>
        <v>7670</v>
      </c>
      <c r="C51" s="42" t="str">
        <f>'дод 8'!B206</f>
        <v>0490</v>
      </c>
      <c r="D51" s="36" t="s">
        <v>25</v>
      </c>
      <c r="E51" s="103">
        <f t="shared" si="9"/>
        <v>0</v>
      </c>
      <c r="F51" s="103"/>
      <c r="G51" s="103"/>
      <c r="H51" s="103"/>
      <c r="I51" s="103"/>
      <c r="J51" s="103">
        <f t="shared" si="12"/>
        <v>18997900</v>
      </c>
      <c r="K51" s="103">
        <v>18997900</v>
      </c>
      <c r="L51" s="103"/>
      <c r="M51" s="103"/>
      <c r="N51" s="103"/>
      <c r="O51" s="103">
        <v>18997900</v>
      </c>
      <c r="P51" s="103">
        <f t="shared" si="10"/>
        <v>18997900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</row>
    <row r="52" spans="1:527" s="22" customFormat="1" ht="36.75" customHeight="1" x14ac:dyDescent="0.25">
      <c r="A52" s="107" t="s">
        <v>249</v>
      </c>
      <c r="B52" s="42" t="str">
        <f>'дод 8'!A208</f>
        <v>7680</v>
      </c>
      <c r="C52" s="42" t="str">
        <f>'дод 8'!B208</f>
        <v>0490</v>
      </c>
      <c r="D52" s="36" t="str">
        <f>'дод 8'!C208</f>
        <v>Членські внески до асоціацій органів місцевого самоврядування</v>
      </c>
      <c r="E52" s="103">
        <f t="shared" si="9"/>
        <v>356337</v>
      </c>
      <c r="F52" s="103">
        <v>356337</v>
      </c>
      <c r="G52" s="103"/>
      <c r="H52" s="103"/>
      <c r="I52" s="103"/>
      <c r="J52" s="103">
        <f t="shared" si="12"/>
        <v>0</v>
      </c>
      <c r="K52" s="103"/>
      <c r="L52" s="103"/>
      <c r="M52" s="103"/>
      <c r="N52" s="103"/>
      <c r="O52" s="103"/>
      <c r="P52" s="103">
        <f t="shared" si="10"/>
        <v>356337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</row>
    <row r="53" spans="1:527" s="22" customFormat="1" ht="120.75" customHeight="1" x14ac:dyDescent="0.25">
      <c r="A53" s="107" t="s">
        <v>303</v>
      </c>
      <c r="B53" s="42" t="str">
        <f>'дод 8'!A209</f>
        <v>7691</v>
      </c>
      <c r="C53" s="42" t="str">
        <f>'дод 8'!B209</f>
        <v>0490</v>
      </c>
      <c r="D53" s="36" t="str">
        <f>'дод 8'!C209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103">
        <f t="shared" si="9"/>
        <v>0</v>
      </c>
      <c r="F53" s="103"/>
      <c r="G53" s="103"/>
      <c r="H53" s="103"/>
      <c r="I53" s="103"/>
      <c r="J53" s="103">
        <f t="shared" si="12"/>
        <v>54101</v>
      </c>
      <c r="K53" s="103"/>
      <c r="L53" s="103">
        <v>54101</v>
      </c>
      <c r="M53" s="103"/>
      <c r="N53" s="103"/>
      <c r="O53" s="103"/>
      <c r="P53" s="103">
        <f t="shared" si="10"/>
        <v>54101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</row>
    <row r="54" spans="1:527" s="22" customFormat="1" ht="23.25" customHeight="1" x14ac:dyDescent="0.25">
      <c r="A54" s="107" t="s">
        <v>242</v>
      </c>
      <c r="B54" s="42" t="str">
        <f>'дод 8'!A210</f>
        <v>7693</v>
      </c>
      <c r="C54" s="42" t="str">
        <f>'дод 8'!B210</f>
        <v>0490</v>
      </c>
      <c r="D54" s="36" t="str">
        <f>'дод 8'!C210</f>
        <v>Інші заходи, пов'язані з економічною діяльністю</v>
      </c>
      <c r="E54" s="103">
        <f t="shared" si="9"/>
        <v>1060232</v>
      </c>
      <c r="F54" s="103">
        <f>1129332-69100</f>
        <v>1060232</v>
      </c>
      <c r="G54" s="103"/>
      <c r="H54" s="103"/>
      <c r="I54" s="103"/>
      <c r="J54" s="103">
        <f t="shared" si="12"/>
        <v>0</v>
      </c>
      <c r="K54" s="103"/>
      <c r="L54" s="103"/>
      <c r="M54" s="103"/>
      <c r="N54" s="103"/>
      <c r="O54" s="103"/>
      <c r="P54" s="103">
        <f t="shared" si="10"/>
        <v>1060232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</row>
    <row r="55" spans="1:527" s="22" customFormat="1" ht="34.5" customHeight="1" x14ac:dyDescent="0.25">
      <c r="A55" s="107" t="s">
        <v>165</v>
      </c>
      <c r="B55" s="42" t="str">
        <f>'дод 8'!A217</f>
        <v>8110</v>
      </c>
      <c r="C55" s="42" t="str">
        <f>'дод 8'!B217</f>
        <v>0320</v>
      </c>
      <c r="D55" s="36" t="str">
        <f>'дод 8'!C217</f>
        <v>Заходи із запобігання та ліквідації надзвичайних ситуацій та наслідків стихійного лиха</v>
      </c>
      <c r="E55" s="103">
        <f t="shared" si="9"/>
        <v>283487.34000000003</v>
      </c>
      <c r="F55" s="103">
        <f>251700+31787.34</f>
        <v>283487.34000000003</v>
      </c>
      <c r="G55" s="103"/>
      <c r="H55" s="103">
        <v>6500</v>
      </c>
      <c r="I55" s="103"/>
      <c r="J55" s="103">
        <f t="shared" si="12"/>
        <v>1398264.66</v>
      </c>
      <c r="K55" s="103">
        <f>1430052-31787.34</f>
        <v>1398264.66</v>
      </c>
      <c r="L55" s="103"/>
      <c r="M55" s="103"/>
      <c r="N55" s="103"/>
      <c r="O55" s="103">
        <f>1430052-31787.34</f>
        <v>1398264.66</v>
      </c>
      <c r="P55" s="103">
        <f t="shared" si="10"/>
        <v>1681752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</row>
    <row r="56" spans="1:527" s="22" customFormat="1" ht="30.75" customHeight="1" x14ac:dyDescent="0.25">
      <c r="A56" s="107" t="s">
        <v>225</v>
      </c>
      <c r="B56" s="42" t="str">
        <f>'дод 8'!A218</f>
        <v>8120</v>
      </c>
      <c r="C56" s="42" t="str">
        <f>'дод 8'!B218</f>
        <v>0320</v>
      </c>
      <c r="D56" s="36" t="str">
        <f>'дод 8'!C218</f>
        <v>Заходи з організації рятування на водах, у т.ч. за рахунок:</v>
      </c>
      <c r="E56" s="103">
        <f t="shared" si="9"/>
        <v>2449105</v>
      </c>
      <c r="F56" s="103">
        <f>2454660-5555</f>
        <v>2449105</v>
      </c>
      <c r="G56" s="103">
        <f>1906900</f>
        <v>1906900</v>
      </c>
      <c r="H56" s="103">
        <f>79260-5555</f>
        <v>73705</v>
      </c>
      <c r="I56" s="103"/>
      <c r="J56" s="103">
        <f t="shared" si="12"/>
        <v>5700</v>
      </c>
      <c r="K56" s="103"/>
      <c r="L56" s="103">
        <v>5700</v>
      </c>
      <c r="M56" s="103"/>
      <c r="N56" s="103">
        <v>1400</v>
      </c>
      <c r="O56" s="103"/>
      <c r="P56" s="103">
        <f t="shared" si="10"/>
        <v>2454805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</row>
    <row r="57" spans="1:527" s="24" customFormat="1" ht="63" x14ac:dyDescent="0.25">
      <c r="A57" s="109"/>
      <c r="B57" s="92"/>
      <c r="C57" s="92"/>
      <c r="D57" s="91" t="str">
        <f>'дод 8'!C219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5">
        <f t="shared" si="9"/>
        <v>588815</v>
      </c>
      <c r="F57" s="105">
        <f>359315+30260+81980+117260</f>
        <v>588815</v>
      </c>
      <c r="G57" s="105">
        <f>294520+24805+67195+96115</f>
        <v>482635</v>
      </c>
      <c r="H57" s="105"/>
      <c r="I57" s="105"/>
      <c r="J57" s="105">
        <f t="shared" si="12"/>
        <v>0</v>
      </c>
      <c r="K57" s="105"/>
      <c r="L57" s="105"/>
      <c r="M57" s="105"/>
      <c r="N57" s="105"/>
      <c r="O57" s="105"/>
      <c r="P57" s="105">
        <f t="shared" si="10"/>
        <v>588815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</row>
    <row r="58" spans="1:527" s="22" customFormat="1" ht="21.75" customHeight="1" x14ac:dyDescent="0.25">
      <c r="A58" s="107" t="s">
        <v>245</v>
      </c>
      <c r="B58" s="42" t="str">
        <f>'дод 8'!A221</f>
        <v>8230</v>
      </c>
      <c r="C58" s="42" t="str">
        <f>'дод 8'!B221</f>
        <v>0380</v>
      </c>
      <c r="D58" s="36" t="str">
        <f>'дод 8'!C221</f>
        <v>Інші заходи громадського порядку та безпеки</v>
      </c>
      <c r="E58" s="103">
        <f t="shared" si="9"/>
        <v>416692</v>
      </c>
      <c r="F58" s="103">
        <f>351800+550+64342</f>
        <v>416692</v>
      </c>
      <c r="G58" s="103"/>
      <c r="H58" s="103">
        <f>193600+64342</f>
        <v>257942</v>
      </c>
      <c r="I58" s="103"/>
      <c r="J58" s="103">
        <f t="shared" si="12"/>
        <v>0</v>
      </c>
      <c r="K58" s="103"/>
      <c r="L58" s="103"/>
      <c r="M58" s="103"/>
      <c r="N58" s="103"/>
      <c r="O58" s="103"/>
      <c r="P58" s="103">
        <f t="shared" si="10"/>
        <v>416692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</row>
    <row r="59" spans="1:527" s="22" customFormat="1" ht="36" customHeight="1" x14ac:dyDescent="0.25">
      <c r="A59" s="60" t="s">
        <v>166</v>
      </c>
      <c r="B59" s="97" t="str">
        <f>'дод 8'!A224</f>
        <v>8340</v>
      </c>
      <c r="C59" s="97" t="str">
        <f>'дод 8'!B224</f>
        <v>0540</v>
      </c>
      <c r="D59" s="61" t="str">
        <f>'дод 8'!C224</f>
        <v>Природоохоронні заходи за рахунок цільових фондів</v>
      </c>
      <c r="E59" s="103">
        <f t="shared" si="9"/>
        <v>0</v>
      </c>
      <c r="F59" s="103"/>
      <c r="G59" s="103"/>
      <c r="H59" s="103"/>
      <c r="I59" s="103"/>
      <c r="J59" s="103">
        <f t="shared" si="12"/>
        <v>250000</v>
      </c>
      <c r="K59" s="103"/>
      <c r="L59" s="103">
        <v>250000</v>
      </c>
      <c r="M59" s="103"/>
      <c r="N59" s="103"/>
      <c r="O59" s="103"/>
      <c r="P59" s="103">
        <f t="shared" si="10"/>
        <v>250000</v>
      </c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</row>
    <row r="60" spans="1:527" s="22" customFormat="1" ht="26.25" customHeight="1" x14ac:dyDescent="0.25">
      <c r="A60" s="107" t="s">
        <v>256</v>
      </c>
      <c r="B60" s="42" t="str">
        <f>'дод 8'!A226</f>
        <v>8420</v>
      </c>
      <c r="C60" s="42" t="str">
        <f>'дод 8'!B226</f>
        <v>0830</v>
      </c>
      <c r="D60" s="36" t="str">
        <f>'дод 8'!C226</f>
        <v>Інші заходи у сфері засобів масової інформації</v>
      </c>
      <c r="E60" s="103">
        <f t="shared" si="9"/>
        <v>30000</v>
      </c>
      <c r="F60" s="103">
        <v>30000</v>
      </c>
      <c r="G60" s="103"/>
      <c r="H60" s="103"/>
      <c r="I60" s="103"/>
      <c r="J60" s="103">
        <f t="shared" si="12"/>
        <v>0</v>
      </c>
      <c r="K60" s="103"/>
      <c r="L60" s="103"/>
      <c r="M60" s="103"/>
      <c r="N60" s="103"/>
      <c r="O60" s="103"/>
      <c r="P60" s="103">
        <f t="shared" si="10"/>
        <v>30000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</row>
    <row r="61" spans="1:527" s="22" customFormat="1" ht="47.25" x14ac:dyDescent="0.25">
      <c r="A61" s="107" t="s">
        <v>383</v>
      </c>
      <c r="B61" s="42">
        <v>9800</v>
      </c>
      <c r="C61" s="107" t="s">
        <v>46</v>
      </c>
      <c r="D61" s="36" t="s">
        <v>369</v>
      </c>
      <c r="E61" s="103">
        <f t="shared" si="9"/>
        <v>1993799</v>
      </c>
      <c r="F61" s="103">
        <f>407799-134000+1720000</f>
        <v>1993799</v>
      </c>
      <c r="G61" s="103"/>
      <c r="H61" s="103"/>
      <c r="I61" s="103"/>
      <c r="J61" s="103">
        <f t="shared" si="12"/>
        <v>1483000</v>
      </c>
      <c r="K61" s="103">
        <f>134000+1349000</f>
        <v>1483000</v>
      </c>
      <c r="L61" s="103"/>
      <c r="M61" s="103"/>
      <c r="N61" s="103"/>
      <c r="O61" s="103">
        <f>134000+1349000</f>
        <v>1483000</v>
      </c>
      <c r="P61" s="103">
        <f t="shared" si="10"/>
        <v>3476799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</row>
    <row r="62" spans="1:527" s="27" customFormat="1" ht="36" customHeight="1" x14ac:dyDescent="0.25">
      <c r="A62" s="110" t="s">
        <v>167</v>
      </c>
      <c r="B62" s="39"/>
      <c r="C62" s="39"/>
      <c r="D62" s="111" t="s">
        <v>26</v>
      </c>
      <c r="E62" s="99">
        <f>E63</f>
        <v>1150935454.23</v>
      </c>
      <c r="F62" s="99">
        <f t="shared" ref="F62:J62" si="13">F63</f>
        <v>1150935454.23</v>
      </c>
      <c r="G62" s="99">
        <f t="shared" si="13"/>
        <v>779065830</v>
      </c>
      <c r="H62" s="99">
        <f t="shared" si="13"/>
        <v>61951847</v>
      </c>
      <c r="I62" s="99">
        <f t="shared" si="13"/>
        <v>0</v>
      </c>
      <c r="J62" s="99">
        <f t="shared" si="13"/>
        <v>99310130.180000007</v>
      </c>
      <c r="K62" s="99">
        <f t="shared" ref="K62" si="14">K63</f>
        <v>61164630.18</v>
      </c>
      <c r="L62" s="99">
        <f t="shared" ref="L62" si="15">L63</f>
        <v>37465600</v>
      </c>
      <c r="M62" s="99">
        <f t="shared" ref="M62" si="16">M63</f>
        <v>2268060</v>
      </c>
      <c r="N62" s="99">
        <f t="shared" ref="N62" si="17">N63</f>
        <v>139890</v>
      </c>
      <c r="O62" s="99">
        <f t="shared" ref="O62:P62" si="18">O63</f>
        <v>61844530.18</v>
      </c>
      <c r="P62" s="99">
        <f t="shared" si="18"/>
        <v>1250245584.4099998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</row>
    <row r="63" spans="1:527" s="34" customFormat="1" ht="38.25" customHeight="1" x14ac:dyDescent="0.25">
      <c r="A63" s="112" t="s">
        <v>168</v>
      </c>
      <c r="B63" s="78"/>
      <c r="C63" s="78"/>
      <c r="D63" s="81" t="s">
        <v>517</v>
      </c>
      <c r="E63" s="102">
        <f>E76+E77+E78+E79+E80+E83+E85+E88+E90+E91+E92+E93+E94+E96+E97+E98+E100+E101+E103+E105+E107+E108+E109+E111+E112+E114+E115+E116+E117+E119+E120</f>
        <v>1150935454.23</v>
      </c>
      <c r="F63" s="102">
        <f t="shared" ref="F63:P63" si="19">F76+F77+F78+F79+F80+F83+F85+F88+F90+F91+F92+F93+F94+F96+F97+F98+F100+F101+F103+F105+F107+F108+F109+F111+F112+F114+F115+F116+F117+F119+F120</f>
        <v>1150935454.23</v>
      </c>
      <c r="G63" s="102">
        <f t="shared" si="19"/>
        <v>779065830</v>
      </c>
      <c r="H63" s="102">
        <f t="shared" si="19"/>
        <v>61951847</v>
      </c>
      <c r="I63" s="102">
        <f t="shared" si="19"/>
        <v>0</v>
      </c>
      <c r="J63" s="102">
        <f t="shared" si="19"/>
        <v>99310130.180000007</v>
      </c>
      <c r="K63" s="102">
        <f t="shared" si="19"/>
        <v>61164630.18</v>
      </c>
      <c r="L63" s="102">
        <f t="shared" si="19"/>
        <v>37465600</v>
      </c>
      <c r="M63" s="102">
        <f t="shared" si="19"/>
        <v>2268060</v>
      </c>
      <c r="N63" s="102">
        <f t="shared" si="19"/>
        <v>139890</v>
      </c>
      <c r="O63" s="102">
        <f t="shared" si="19"/>
        <v>61844530.18</v>
      </c>
      <c r="P63" s="102">
        <f t="shared" si="19"/>
        <v>1250245584.4099998</v>
      </c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</row>
    <row r="64" spans="1:527" s="34" customFormat="1" ht="31.5" x14ac:dyDescent="0.25">
      <c r="A64" s="112"/>
      <c r="B64" s="78"/>
      <c r="C64" s="78"/>
      <c r="D64" s="81" t="s">
        <v>391</v>
      </c>
      <c r="E64" s="102">
        <f>E81+E84</f>
        <v>482448000</v>
      </c>
      <c r="F64" s="102">
        <f>F81+F84</f>
        <v>482448000</v>
      </c>
      <c r="G64" s="102">
        <f t="shared" ref="G64:P64" si="20">G81+G84</f>
        <v>396066000</v>
      </c>
      <c r="H64" s="102">
        <f t="shared" si="20"/>
        <v>0</v>
      </c>
      <c r="I64" s="102">
        <f t="shared" si="20"/>
        <v>0</v>
      </c>
      <c r="J64" s="102">
        <f t="shared" si="20"/>
        <v>0</v>
      </c>
      <c r="K64" s="102">
        <f t="shared" si="20"/>
        <v>0</v>
      </c>
      <c r="L64" s="102">
        <f t="shared" si="20"/>
        <v>0</v>
      </c>
      <c r="M64" s="102">
        <f t="shared" si="20"/>
        <v>0</v>
      </c>
      <c r="N64" s="102">
        <f t="shared" si="20"/>
        <v>0</v>
      </c>
      <c r="O64" s="102">
        <f t="shared" si="20"/>
        <v>0</v>
      </c>
      <c r="P64" s="102">
        <f t="shared" si="20"/>
        <v>482448000</v>
      </c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</row>
    <row r="65" spans="1:527" s="34" customFormat="1" ht="63" hidden="1" customHeight="1" x14ac:dyDescent="0.25">
      <c r="A65" s="112"/>
      <c r="B65" s="78"/>
      <c r="C65" s="78"/>
      <c r="D65" s="81" t="s">
        <v>390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</row>
    <row r="66" spans="1:527" s="34" customFormat="1" ht="47.25" x14ac:dyDescent="0.25">
      <c r="A66" s="112"/>
      <c r="B66" s="78"/>
      <c r="C66" s="78"/>
      <c r="D66" s="81" t="s">
        <v>561</v>
      </c>
      <c r="E66" s="102">
        <f>E86</f>
        <v>246000</v>
      </c>
      <c r="F66" s="102">
        <f t="shared" ref="F66:P66" si="21">F86</f>
        <v>246000</v>
      </c>
      <c r="G66" s="102">
        <f t="shared" si="21"/>
        <v>0</v>
      </c>
      <c r="H66" s="102">
        <f t="shared" si="21"/>
        <v>0</v>
      </c>
      <c r="I66" s="102">
        <f t="shared" si="21"/>
        <v>0</v>
      </c>
      <c r="J66" s="102">
        <f t="shared" si="21"/>
        <v>1754000</v>
      </c>
      <c r="K66" s="102">
        <f t="shared" si="21"/>
        <v>1754000</v>
      </c>
      <c r="L66" s="102">
        <f t="shared" si="21"/>
        <v>0</v>
      </c>
      <c r="M66" s="102">
        <f t="shared" si="21"/>
        <v>0</v>
      </c>
      <c r="N66" s="102">
        <f t="shared" si="21"/>
        <v>0</v>
      </c>
      <c r="O66" s="102">
        <f t="shared" si="21"/>
        <v>1754000</v>
      </c>
      <c r="P66" s="102">
        <f t="shared" si="21"/>
        <v>2000000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</row>
    <row r="67" spans="1:527" s="34" customFormat="1" ht="47.25" x14ac:dyDescent="0.25">
      <c r="A67" s="112"/>
      <c r="B67" s="78"/>
      <c r="C67" s="78"/>
      <c r="D67" s="81" t="s">
        <v>386</v>
      </c>
      <c r="E67" s="102">
        <f t="shared" ref="E67:P67" si="22">E82+E95</f>
        <v>3578416</v>
      </c>
      <c r="F67" s="102">
        <f t="shared" si="22"/>
        <v>3578416</v>
      </c>
      <c r="G67" s="102">
        <f t="shared" si="22"/>
        <v>1228720</v>
      </c>
      <c r="H67" s="102">
        <f t="shared" si="22"/>
        <v>0</v>
      </c>
      <c r="I67" s="102">
        <f t="shared" si="22"/>
        <v>0</v>
      </c>
      <c r="J67" s="102">
        <f t="shared" si="22"/>
        <v>0</v>
      </c>
      <c r="K67" s="102">
        <f t="shared" si="22"/>
        <v>0</v>
      </c>
      <c r="L67" s="102">
        <f t="shared" si="22"/>
        <v>0</v>
      </c>
      <c r="M67" s="102">
        <f t="shared" si="22"/>
        <v>0</v>
      </c>
      <c r="N67" s="102">
        <f t="shared" si="22"/>
        <v>0</v>
      </c>
      <c r="O67" s="102">
        <f t="shared" si="22"/>
        <v>0</v>
      </c>
      <c r="P67" s="102">
        <f t="shared" si="22"/>
        <v>3578416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</row>
    <row r="68" spans="1:527" s="34" customFormat="1" ht="45" hidden="1" customHeight="1" x14ac:dyDescent="0.25">
      <c r="A68" s="112"/>
      <c r="B68" s="78"/>
      <c r="C68" s="78"/>
      <c r="D68" s="81" t="s">
        <v>388</v>
      </c>
      <c r="E68" s="102" t="e">
        <f>#REF!+E92</f>
        <v>#REF!</v>
      </c>
      <c r="F68" s="102" t="e">
        <f>#REF!+F92</f>
        <v>#REF!</v>
      </c>
      <c r="G68" s="102" t="e">
        <f>#REF!+G92</f>
        <v>#REF!</v>
      </c>
      <c r="H68" s="102" t="e">
        <f>#REF!+H92</f>
        <v>#REF!</v>
      </c>
      <c r="I68" s="102" t="e">
        <f>#REF!+I92</f>
        <v>#REF!</v>
      </c>
      <c r="J68" s="102" t="e">
        <f>#REF!+J92</f>
        <v>#REF!</v>
      </c>
      <c r="K68" s="102" t="e">
        <f>#REF!+K92</f>
        <v>#REF!</v>
      </c>
      <c r="L68" s="102" t="e">
        <f>#REF!+L92</f>
        <v>#REF!</v>
      </c>
      <c r="M68" s="102" t="e">
        <f>#REF!+M92</f>
        <v>#REF!</v>
      </c>
      <c r="N68" s="102" t="e">
        <f>#REF!+N92</f>
        <v>#REF!</v>
      </c>
      <c r="O68" s="102" t="e">
        <f>#REF!+O92</f>
        <v>#REF!</v>
      </c>
      <c r="P68" s="102" t="e">
        <f>#REF!+P92</f>
        <v>#REF!</v>
      </c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</row>
    <row r="69" spans="1:527" s="34" customFormat="1" ht="63" x14ac:dyDescent="0.25">
      <c r="A69" s="112"/>
      <c r="B69" s="78"/>
      <c r="C69" s="78"/>
      <c r="D69" s="81" t="s">
        <v>385</v>
      </c>
      <c r="E69" s="102">
        <f>E104</f>
        <v>2612700</v>
      </c>
      <c r="F69" s="102">
        <f t="shared" ref="F69:P69" si="23">F104</f>
        <v>2612700</v>
      </c>
      <c r="G69" s="102">
        <f t="shared" si="23"/>
        <v>1459720</v>
      </c>
      <c r="H69" s="102">
        <f t="shared" si="23"/>
        <v>0</v>
      </c>
      <c r="I69" s="102">
        <f t="shared" si="23"/>
        <v>0</v>
      </c>
      <c r="J69" s="102">
        <f t="shared" si="23"/>
        <v>72000</v>
      </c>
      <c r="K69" s="102">
        <f t="shared" si="23"/>
        <v>72000</v>
      </c>
      <c r="L69" s="102">
        <f t="shared" si="23"/>
        <v>0</v>
      </c>
      <c r="M69" s="102">
        <f t="shared" si="23"/>
        <v>0</v>
      </c>
      <c r="N69" s="102">
        <f t="shared" si="23"/>
        <v>0</v>
      </c>
      <c r="O69" s="102">
        <f t="shared" si="23"/>
        <v>72000</v>
      </c>
      <c r="P69" s="102">
        <f t="shared" si="23"/>
        <v>2684700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</row>
    <row r="70" spans="1:527" s="34" customFormat="1" ht="80.25" customHeight="1" x14ac:dyDescent="0.25">
      <c r="A70" s="112"/>
      <c r="B70" s="163"/>
      <c r="C70" s="78"/>
      <c r="D70" s="81" t="s">
        <v>539</v>
      </c>
      <c r="E70" s="102">
        <f>E106</f>
        <v>1174231</v>
      </c>
      <c r="F70" s="102">
        <f t="shared" ref="F70:P70" si="24">F106</f>
        <v>1174231</v>
      </c>
      <c r="G70" s="102">
        <f t="shared" si="24"/>
        <v>962484</v>
      </c>
      <c r="H70" s="102">
        <f t="shared" si="24"/>
        <v>0</v>
      </c>
      <c r="I70" s="102">
        <f t="shared" si="24"/>
        <v>0</v>
      </c>
      <c r="J70" s="102">
        <f t="shared" si="24"/>
        <v>0</v>
      </c>
      <c r="K70" s="102">
        <f t="shared" si="24"/>
        <v>0</v>
      </c>
      <c r="L70" s="102">
        <f t="shared" si="24"/>
        <v>0</v>
      </c>
      <c r="M70" s="102">
        <f t="shared" si="24"/>
        <v>0</v>
      </c>
      <c r="N70" s="102">
        <f t="shared" si="24"/>
        <v>0</v>
      </c>
      <c r="O70" s="102">
        <f t="shared" si="24"/>
        <v>0</v>
      </c>
      <c r="P70" s="102">
        <f t="shared" si="24"/>
        <v>1174231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</row>
    <row r="71" spans="1:527" s="34" customFormat="1" ht="31.5" x14ac:dyDescent="0.25">
      <c r="A71" s="112"/>
      <c r="B71" s="78"/>
      <c r="C71" s="78"/>
      <c r="D71" s="81" t="s">
        <v>558</v>
      </c>
      <c r="E71" s="102">
        <f t="shared" ref="E71:P71" si="25">E87+E89+E118</f>
        <v>1402009.6000000001</v>
      </c>
      <c r="F71" s="102">
        <f t="shared" si="25"/>
        <v>1402009.6000000001</v>
      </c>
      <c r="G71" s="102">
        <f t="shared" si="25"/>
        <v>0</v>
      </c>
      <c r="H71" s="102">
        <f t="shared" si="25"/>
        <v>0</v>
      </c>
      <c r="I71" s="102">
        <f t="shared" si="25"/>
        <v>0</v>
      </c>
      <c r="J71" s="102">
        <f t="shared" si="25"/>
        <v>7695733.1799999997</v>
      </c>
      <c r="K71" s="102">
        <f t="shared" si="25"/>
        <v>7695733.1799999997</v>
      </c>
      <c r="L71" s="102">
        <f t="shared" si="25"/>
        <v>0</v>
      </c>
      <c r="M71" s="102">
        <f t="shared" si="25"/>
        <v>0</v>
      </c>
      <c r="N71" s="102">
        <f t="shared" si="25"/>
        <v>0</v>
      </c>
      <c r="O71" s="102">
        <f t="shared" si="25"/>
        <v>7695733.1799999997</v>
      </c>
      <c r="P71" s="102">
        <f t="shared" si="25"/>
        <v>9097742.7799999993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</row>
    <row r="72" spans="1:527" s="34" customFormat="1" ht="78.75" x14ac:dyDescent="0.25">
      <c r="A72" s="112"/>
      <c r="B72" s="78"/>
      <c r="C72" s="78"/>
      <c r="D72" s="81" t="s">
        <v>581</v>
      </c>
      <c r="E72" s="102">
        <f>E102</f>
        <v>5811208</v>
      </c>
      <c r="F72" s="102">
        <f t="shared" ref="F72:P72" si="26">F102</f>
        <v>5811208</v>
      </c>
      <c r="G72" s="102">
        <f t="shared" si="26"/>
        <v>0</v>
      </c>
      <c r="H72" s="102">
        <f t="shared" si="26"/>
        <v>0</v>
      </c>
      <c r="I72" s="102">
        <f t="shared" si="26"/>
        <v>0</v>
      </c>
      <c r="J72" s="102">
        <f t="shared" si="26"/>
        <v>1095855</v>
      </c>
      <c r="K72" s="102">
        <f t="shared" si="26"/>
        <v>1095855</v>
      </c>
      <c r="L72" s="102">
        <f t="shared" si="26"/>
        <v>0</v>
      </c>
      <c r="M72" s="102">
        <f t="shared" si="26"/>
        <v>0</v>
      </c>
      <c r="N72" s="102">
        <f t="shared" si="26"/>
        <v>0</v>
      </c>
      <c r="O72" s="102">
        <f t="shared" si="26"/>
        <v>1095855</v>
      </c>
      <c r="P72" s="102">
        <f t="shared" si="26"/>
        <v>6907063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</row>
    <row r="73" spans="1:527" s="34" customFormat="1" ht="63" x14ac:dyDescent="0.25">
      <c r="A73" s="100"/>
      <c r="B73" s="113"/>
      <c r="C73" s="114"/>
      <c r="D73" s="79" t="s">
        <v>432</v>
      </c>
      <c r="E73" s="102">
        <f>E99</f>
        <v>287772</v>
      </c>
      <c r="F73" s="102">
        <f t="shared" ref="F73:P73" si="27">F99</f>
        <v>287772</v>
      </c>
      <c r="G73" s="102">
        <f t="shared" si="27"/>
        <v>0</v>
      </c>
      <c r="H73" s="102">
        <f t="shared" si="27"/>
        <v>0</v>
      </c>
      <c r="I73" s="102">
        <f t="shared" si="27"/>
        <v>0</v>
      </c>
      <c r="J73" s="102">
        <f t="shared" si="27"/>
        <v>2859726</v>
      </c>
      <c r="K73" s="102">
        <f t="shared" si="27"/>
        <v>2859726</v>
      </c>
      <c r="L73" s="102">
        <f t="shared" si="27"/>
        <v>0</v>
      </c>
      <c r="M73" s="102">
        <f t="shared" si="27"/>
        <v>0</v>
      </c>
      <c r="N73" s="102">
        <f t="shared" si="27"/>
        <v>0</v>
      </c>
      <c r="O73" s="102">
        <f t="shared" si="27"/>
        <v>2859726</v>
      </c>
      <c r="P73" s="102">
        <f t="shared" si="27"/>
        <v>3147498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</row>
    <row r="74" spans="1:527" s="34" customFormat="1" ht="51" customHeight="1" x14ac:dyDescent="0.25">
      <c r="A74" s="112"/>
      <c r="B74" s="78"/>
      <c r="C74" s="78"/>
      <c r="D74" s="154" t="s">
        <v>572</v>
      </c>
      <c r="E74" s="102">
        <f>E113</f>
        <v>0</v>
      </c>
      <c r="F74" s="102">
        <f t="shared" ref="F74:P74" si="28">F113</f>
        <v>0</v>
      </c>
      <c r="G74" s="102">
        <f t="shared" si="28"/>
        <v>0</v>
      </c>
      <c r="H74" s="102">
        <f t="shared" si="28"/>
        <v>0</v>
      </c>
      <c r="I74" s="102">
        <f t="shared" si="28"/>
        <v>0</v>
      </c>
      <c r="J74" s="102">
        <f t="shared" si="28"/>
        <v>1224916</v>
      </c>
      <c r="K74" s="102">
        <f t="shared" si="28"/>
        <v>1224916</v>
      </c>
      <c r="L74" s="102">
        <f t="shared" si="28"/>
        <v>0</v>
      </c>
      <c r="M74" s="102">
        <f t="shared" si="28"/>
        <v>0</v>
      </c>
      <c r="N74" s="102">
        <f t="shared" si="28"/>
        <v>0</v>
      </c>
      <c r="O74" s="102">
        <f t="shared" si="28"/>
        <v>1224916</v>
      </c>
      <c r="P74" s="102">
        <f t="shared" si="28"/>
        <v>1224916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</row>
    <row r="75" spans="1:527" s="34" customFormat="1" ht="22.5" customHeight="1" x14ac:dyDescent="0.25">
      <c r="A75" s="112"/>
      <c r="B75" s="78"/>
      <c r="C75" s="78"/>
      <c r="D75" s="81" t="s">
        <v>397</v>
      </c>
      <c r="E75" s="102">
        <f>E110</f>
        <v>134064</v>
      </c>
      <c r="F75" s="102">
        <f t="shared" ref="F75:P75" si="29">F110</f>
        <v>134064</v>
      </c>
      <c r="G75" s="102">
        <f t="shared" si="29"/>
        <v>0</v>
      </c>
      <c r="H75" s="102">
        <f t="shared" si="29"/>
        <v>0</v>
      </c>
      <c r="I75" s="102">
        <f t="shared" si="29"/>
        <v>0</v>
      </c>
      <c r="J75" s="102">
        <f t="shared" si="29"/>
        <v>0</v>
      </c>
      <c r="K75" s="102">
        <f t="shared" si="29"/>
        <v>0</v>
      </c>
      <c r="L75" s="102">
        <f t="shared" si="29"/>
        <v>0</v>
      </c>
      <c r="M75" s="102">
        <f t="shared" si="29"/>
        <v>0</v>
      </c>
      <c r="N75" s="102">
        <f t="shared" si="29"/>
        <v>0</v>
      </c>
      <c r="O75" s="102">
        <f t="shared" si="29"/>
        <v>0</v>
      </c>
      <c r="P75" s="102">
        <f t="shared" si="29"/>
        <v>134064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  <c r="TF75" s="33"/>
      <c r="TG75" s="33"/>
    </row>
    <row r="76" spans="1:527" s="22" customFormat="1" ht="45.75" customHeight="1" x14ac:dyDescent="0.25">
      <c r="A76" s="60" t="s">
        <v>169</v>
      </c>
      <c r="B76" s="97" t="str">
        <f>'дод 8'!A19</f>
        <v>0160</v>
      </c>
      <c r="C76" s="97" t="str">
        <f>'дод 8'!B19</f>
        <v>0111</v>
      </c>
      <c r="D76" s="36" t="s">
        <v>503</v>
      </c>
      <c r="E76" s="103">
        <f t="shared" ref="E76:E120" si="30">F76+I76</f>
        <v>3864285</v>
      </c>
      <c r="F76" s="103">
        <f>3843500+20000+785</f>
        <v>3864285</v>
      </c>
      <c r="G76" s="103">
        <v>2976200</v>
      </c>
      <c r="H76" s="103">
        <f>42800+785</f>
        <v>43585</v>
      </c>
      <c r="I76" s="103"/>
      <c r="J76" s="103">
        <f>L76+O76</f>
        <v>0</v>
      </c>
      <c r="K76" s="103">
        <f>20000-20000</f>
        <v>0</v>
      </c>
      <c r="L76" s="103"/>
      <c r="M76" s="103"/>
      <c r="N76" s="103"/>
      <c r="O76" s="103">
        <f>20000-20000</f>
        <v>0</v>
      </c>
      <c r="P76" s="103">
        <f t="shared" ref="P76:P120" si="31">E76+J76</f>
        <v>3864285</v>
      </c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</row>
    <row r="77" spans="1:527" s="22" customFormat="1" ht="21.75" customHeight="1" x14ac:dyDescent="0.25">
      <c r="A77" s="60" t="s">
        <v>170</v>
      </c>
      <c r="B77" s="97" t="str">
        <f>'дод 8'!A35</f>
        <v>1010</v>
      </c>
      <c r="C77" s="97" t="str">
        <f>'дод 8'!B35</f>
        <v>0910</v>
      </c>
      <c r="D77" s="61" t="s">
        <v>512</v>
      </c>
      <c r="E77" s="103">
        <f t="shared" si="30"/>
        <v>295954544.63</v>
      </c>
      <c r="F77" s="103">
        <f>290084900+377000+133998.63+378900+619000+103450+204596+100000+22020-24778+60000+20200+170000+156751+100000+1000000+2448507</f>
        <v>295954544.63</v>
      </c>
      <c r="G77" s="103">
        <f>205054200</f>
        <v>205054200</v>
      </c>
      <c r="H77" s="103">
        <f>21914800+2448507</f>
        <v>24363307</v>
      </c>
      <c r="I77" s="103"/>
      <c r="J77" s="103">
        <f>L77+O77</f>
        <v>12341980</v>
      </c>
      <c r="K77" s="103">
        <f>218000+50000+102000+86000+38500+27980+29800+30000</f>
        <v>582280</v>
      </c>
      <c r="L77" s="103">
        <v>11759700</v>
      </c>
      <c r="M77" s="103"/>
      <c r="N77" s="103"/>
      <c r="O77" s="103">
        <f>218000+50000+102000+86000+38500+27980+29800+30000</f>
        <v>582280</v>
      </c>
      <c r="P77" s="103">
        <f t="shared" si="31"/>
        <v>308296524.63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</row>
    <row r="78" spans="1:527" s="22" customFormat="1" ht="37.5" customHeight="1" x14ac:dyDescent="0.25">
      <c r="A78" s="60" t="s">
        <v>479</v>
      </c>
      <c r="B78" s="60">
        <f>'дод 8'!A37</f>
        <v>1021</v>
      </c>
      <c r="C78" s="97" t="str">
        <f>'дод 8'!B37</f>
        <v>0921</v>
      </c>
      <c r="D78" s="61" t="s">
        <v>611</v>
      </c>
      <c r="E78" s="103">
        <f t="shared" si="30"/>
        <v>213215989</v>
      </c>
      <c r="F78" s="103">
        <f>207798800+170000+256650+380600+220200+130000+330000+525700+173300+23800+34000+200000+19200+10000+50000+357463+280000+79900+25000+163800+1938076+49500</f>
        <v>213215989</v>
      </c>
      <c r="G78" s="103">
        <f>119643500+19206</f>
        <v>119662706</v>
      </c>
      <c r="H78" s="103">
        <f>30342200+1938076</f>
        <v>32280276</v>
      </c>
      <c r="I78" s="103"/>
      <c r="J78" s="103">
        <f t="shared" ref="J78:J120" si="32">L78+O78</f>
        <v>26068836</v>
      </c>
      <c r="K78" s="103">
        <f>118000+77400+130000+50000+60650+30000+15000+80800+160000+17000+199186</f>
        <v>938036</v>
      </c>
      <c r="L78" s="103">
        <v>25130800</v>
      </c>
      <c r="M78" s="103">
        <v>2268060</v>
      </c>
      <c r="N78" s="103">
        <v>139890</v>
      </c>
      <c r="O78" s="103">
        <f>118000+77400+130000+50000+60650+30000+15000+80800+160000+17000+199186</f>
        <v>938036</v>
      </c>
      <c r="P78" s="103">
        <f t="shared" si="31"/>
        <v>239284825</v>
      </c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</row>
    <row r="79" spans="1:527" s="22" customFormat="1" ht="63" x14ac:dyDescent="0.25">
      <c r="A79" s="60" t="s">
        <v>481</v>
      </c>
      <c r="B79" s="97">
        <v>1022</v>
      </c>
      <c r="C79" s="60" t="s">
        <v>56</v>
      </c>
      <c r="D79" s="36" t="s">
        <v>482</v>
      </c>
      <c r="E79" s="103">
        <f t="shared" si="30"/>
        <v>14338277</v>
      </c>
      <c r="F79" s="103">
        <f>13632600+50000+159800+100000+17000+49800+26970+302107</f>
        <v>14338277</v>
      </c>
      <c r="G79" s="103">
        <v>8830500</v>
      </c>
      <c r="H79" s="103">
        <f>1210000+302107</f>
        <v>1512107</v>
      </c>
      <c r="I79" s="103"/>
      <c r="J79" s="103">
        <f t="shared" si="32"/>
        <v>153030</v>
      </c>
      <c r="K79" s="103">
        <f>250000-100000+30000-26970</f>
        <v>153030</v>
      </c>
      <c r="L79" s="103"/>
      <c r="M79" s="103"/>
      <c r="N79" s="103"/>
      <c r="O79" s="103">
        <f>250000-100000+30000-26970</f>
        <v>153030</v>
      </c>
      <c r="P79" s="103">
        <f t="shared" si="31"/>
        <v>14491307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</row>
    <row r="80" spans="1:527" s="22" customFormat="1" ht="31.5" x14ac:dyDescent="0.25">
      <c r="A80" s="60" t="s">
        <v>483</v>
      </c>
      <c r="B80" s="97">
        <v>1031</v>
      </c>
      <c r="C80" s="60" t="s">
        <v>52</v>
      </c>
      <c r="D80" s="61" t="s">
        <v>513</v>
      </c>
      <c r="E80" s="103">
        <f t="shared" si="30"/>
        <v>468962880</v>
      </c>
      <c r="F80" s="103">
        <v>468962880</v>
      </c>
      <c r="G80" s="103">
        <v>383296900</v>
      </c>
      <c r="H80" s="103"/>
      <c r="I80" s="103"/>
      <c r="J80" s="103">
        <f t="shared" si="32"/>
        <v>0</v>
      </c>
      <c r="K80" s="103"/>
      <c r="L80" s="103"/>
      <c r="M80" s="103"/>
      <c r="N80" s="103"/>
      <c r="O80" s="103"/>
      <c r="P80" s="103">
        <f t="shared" si="31"/>
        <v>468962880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</row>
    <row r="81" spans="1:527" s="24" customFormat="1" ht="31.5" x14ac:dyDescent="0.25">
      <c r="A81" s="88"/>
      <c r="B81" s="115"/>
      <c r="C81" s="115"/>
      <c r="D81" s="91" t="s">
        <v>391</v>
      </c>
      <c r="E81" s="105">
        <f t="shared" si="30"/>
        <v>466883500</v>
      </c>
      <c r="F81" s="105">
        <v>466883500</v>
      </c>
      <c r="G81" s="105">
        <v>383296900</v>
      </c>
      <c r="H81" s="105"/>
      <c r="I81" s="105"/>
      <c r="J81" s="105">
        <f t="shared" si="32"/>
        <v>0</v>
      </c>
      <c r="K81" s="105"/>
      <c r="L81" s="105"/>
      <c r="M81" s="105"/>
      <c r="N81" s="105"/>
      <c r="O81" s="105"/>
      <c r="P81" s="105">
        <f t="shared" si="31"/>
        <v>466883500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</row>
    <row r="82" spans="1:527" s="24" customFormat="1" ht="47.25" x14ac:dyDescent="0.25">
      <c r="A82" s="88"/>
      <c r="B82" s="115"/>
      <c r="C82" s="115"/>
      <c r="D82" s="91" t="s">
        <v>386</v>
      </c>
      <c r="E82" s="105">
        <f t="shared" si="30"/>
        <v>2079380</v>
      </c>
      <c r="F82" s="105">
        <v>2079380</v>
      </c>
      <c r="G82" s="105"/>
      <c r="H82" s="105"/>
      <c r="I82" s="105"/>
      <c r="J82" s="105">
        <f t="shared" si="32"/>
        <v>0</v>
      </c>
      <c r="K82" s="105"/>
      <c r="L82" s="105"/>
      <c r="M82" s="105"/>
      <c r="N82" s="105"/>
      <c r="O82" s="105"/>
      <c r="P82" s="105">
        <f t="shared" si="31"/>
        <v>2079380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  <c r="SO82" s="30"/>
      <c r="SP82" s="30"/>
      <c r="SQ82" s="30"/>
      <c r="SR82" s="30"/>
      <c r="SS82" s="30"/>
      <c r="ST82" s="30"/>
      <c r="SU82" s="30"/>
      <c r="SV82" s="30"/>
      <c r="SW82" s="30"/>
      <c r="SX82" s="30"/>
      <c r="SY82" s="30"/>
      <c r="SZ82" s="30"/>
      <c r="TA82" s="30"/>
      <c r="TB82" s="30"/>
      <c r="TC82" s="30"/>
      <c r="TD82" s="30"/>
      <c r="TE82" s="30"/>
      <c r="TF82" s="30"/>
      <c r="TG82" s="30"/>
    </row>
    <row r="83" spans="1:527" s="22" customFormat="1" ht="65.25" customHeight="1" x14ac:dyDescent="0.25">
      <c r="A83" s="60" t="s">
        <v>484</v>
      </c>
      <c r="B83" s="60" t="s">
        <v>485</v>
      </c>
      <c r="C83" s="60" t="s">
        <v>56</v>
      </c>
      <c r="D83" s="61" t="s">
        <v>514</v>
      </c>
      <c r="E83" s="103">
        <f t="shared" si="30"/>
        <v>15564500</v>
      </c>
      <c r="F83" s="103">
        <v>15564500</v>
      </c>
      <c r="G83" s="103">
        <v>12769100</v>
      </c>
      <c r="H83" s="103"/>
      <c r="I83" s="103"/>
      <c r="J83" s="103">
        <f t="shared" si="32"/>
        <v>0</v>
      </c>
      <c r="K83" s="103"/>
      <c r="L83" s="103"/>
      <c r="M83" s="103"/>
      <c r="N83" s="103"/>
      <c r="O83" s="103"/>
      <c r="P83" s="103">
        <f t="shared" si="31"/>
        <v>15564500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</row>
    <row r="84" spans="1:527" s="24" customFormat="1" ht="31.5" x14ac:dyDescent="0.25">
      <c r="A84" s="88"/>
      <c r="B84" s="115"/>
      <c r="C84" s="115"/>
      <c r="D84" s="91" t="s">
        <v>391</v>
      </c>
      <c r="E84" s="105">
        <f t="shared" ref="E84:E88" si="33">F84+I84</f>
        <v>15564500</v>
      </c>
      <c r="F84" s="105">
        <v>15564500</v>
      </c>
      <c r="G84" s="105">
        <v>12769100</v>
      </c>
      <c r="H84" s="105"/>
      <c r="I84" s="105"/>
      <c r="J84" s="105">
        <f t="shared" ref="J84" si="34">L84+O84</f>
        <v>0</v>
      </c>
      <c r="K84" s="105"/>
      <c r="L84" s="105"/>
      <c r="M84" s="105"/>
      <c r="N84" s="105"/>
      <c r="O84" s="105"/>
      <c r="P84" s="105">
        <f t="shared" ref="P84" si="35">E84+J84</f>
        <v>15564500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</row>
    <row r="85" spans="1:527" s="24" customFormat="1" ht="31.5" x14ac:dyDescent="0.25">
      <c r="A85" s="60" t="s">
        <v>545</v>
      </c>
      <c r="B85" s="97">
        <v>1061</v>
      </c>
      <c r="C85" s="60" t="s">
        <v>52</v>
      </c>
      <c r="D85" s="36" t="s">
        <v>513</v>
      </c>
      <c r="E85" s="103">
        <f t="shared" si="33"/>
        <v>915009.6</v>
      </c>
      <c r="F85" s="103">
        <f>664981.6+246000+9700-45200+39528</f>
        <v>915009.6</v>
      </c>
      <c r="G85" s="105"/>
      <c r="H85" s="105"/>
      <c r="I85" s="105"/>
      <c r="J85" s="103">
        <f t="shared" si="32"/>
        <v>6142733.1799999997</v>
      </c>
      <c r="K85" s="103">
        <f>377160+3253691+1754000+761910.18-9700+45200-39528</f>
        <v>6142733.1799999997</v>
      </c>
      <c r="L85" s="103"/>
      <c r="M85" s="103"/>
      <c r="N85" s="103"/>
      <c r="O85" s="103">
        <f>377160+3253691+1754000+761910.18-9700+45200-39528</f>
        <v>6142733.1799999997</v>
      </c>
      <c r="P85" s="103">
        <f t="shared" si="31"/>
        <v>7057742.7799999993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</row>
    <row r="86" spans="1:527" s="24" customFormat="1" ht="46.5" customHeight="1" x14ac:dyDescent="0.25">
      <c r="A86" s="88"/>
      <c r="B86" s="115"/>
      <c r="C86" s="88"/>
      <c r="D86" s="91" t="s">
        <v>561</v>
      </c>
      <c r="E86" s="105">
        <f>F86+I86</f>
        <v>246000</v>
      </c>
      <c r="F86" s="105">
        <v>246000</v>
      </c>
      <c r="G86" s="105"/>
      <c r="H86" s="105"/>
      <c r="I86" s="105"/>
      <c r="J86" s="105">
        <f>L86+O86</f>
        <v>1754000</v>
      </c>
      <c r="K86" s="105">
        <v>1754000</v>
      </c>
      <c r="L86" s="105"/>
      <c r="M86" s="105"/>
      <c r="N86" s="105"/>
      <c r="O86" s="105">
        <v>1754000</v>
      </c>
      <c r="P86" s="105">
        <f t="shared" si="31"/>
        <v>2000000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</row>
    <row r="87" spans="1:527" s="24" customFormat="1" ht="31.5" x14ac:dyDescent="0.25">
      <c r="A87" s="88"/>
      <c r="B87" s="115"/>
      <c r="C87" s="88"/>
      <c r="D87" s="91" t="s">
        <v>558</v>
      </c>
      <c r="E87" s="105">
        <f t="shared" ref="E87:E89" si="36">F87+I87</f>
        <v>669009.6</v>
      </c>
      <c r="F87" s="105">
        <f>664981.6+9700-45200+39528</f>
        <v>669009.6</v>
      </c>
      <c r="G87" s="105"/>
      <c r="H87" s="105"/>
      <c r="I87" s="105"/>
      <c r="J87" s="105">
        <f t="shared" ref="J87" si="37">L87+O87</f>
        <v>4388733.18</v>
      </c>
      <c r="K87" s="105">
        <f>377160+3253691+761910.18-9700+45200-39528</f>
        <v>4388733.18</v>
      </c>
      <c r="L87" s="105"/>
      <c r="M87" s="105"/>
      <c r="N87" s="105"/>
      <c r="O87" s="105">
        <f>377160+3253691+761910.18-9700+45200-39528</f>
        <v>4388733.18</v>
      </c>
      <c r="P87" s="105">
        <f t="shared" si="31"/>
        <v>5057742.7799999993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</row>
    <row r="88" spans="1:527" s="24" customFormat="1" ht="63" x14ac:dyDescent="0.25">
      <c r="A88" s="60" t="s">
        <v>552</v>
      </c>
      <c r="B88" s="97">
        <v>1062</v>
      </c>
      <c r="C88" s="60" t="s">
        <v>56</v>
      </c>
      <c r="D88" s="61" t="s">
        <v>514</v>
      </c>
      <c r="E88" s="103">
        <f t="shared" si="33"/>
        <v>40000</v>
      </c>
      <c r="F88" s="103">
        <v>40000</v>
      </c>
      <c r="G88" s="105"/>
      <c r="H88" s="105"/>
      <c r="I88" s="105"/>
      <c r="J88" s="103">
        <f>L88+O88</f>
        <v>0</v>
      </c>
      <c r="K88" s="105"/>
      <c r="L88" s="105"/>
      <c r="M88" s="105"/>
      <c r="N88" s="105"/>
      <c r="O88" s="105"/>
      <c r="P88" s="103">
        <f t="shared" si="31"/>
        <v>40000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</row>
    <row r="89" spans="1:527" s="24" customFormat="1" ht="31.5" x14ac:dyDescent="0.25">
      <c r="A89" s="88"/>
      <c r="B89" s="115"/>
      <c r="C89" s="88"/>
      <c r="D89" s="91" t="s">
        <v>558</v>
      </c>
      <c r="E89" s="105">
        <f t="shared" si="36"/>
        <v>40000</v>
      </c>
      <c r="F89" s="105">
        <v>40000</v>
      </c>
      <c r="G89" s="105"/>
      <c r="H89" s="105"/>
      <c r="I89" s="105"/>
      <c r="J89" s="105">
        <f>L89+O89</f>
        <v>0</v>
      </c>
      <c r="K89" s="105"/>
      <c r="L89" s="105"/>
      <c r="M89" s="105"/>
      <c r="N89" s="105"/>
      <c r="O89" s="105"/>
      <c r="P89" s="105">
        <f t="shared" si="31"/>
        <v>40000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</row>
    <row r="90" spans="1:527" s="22" customFormat="1" ht="47.25" x14ac:dyDescent="0.25">
      <c r="A90" s="60" t="s">
        <v>486</v>
      </c>
      <c r="B90" s="60" t="s">
        <v>55</v>
      </c>
      <c r="C90" s="60" t="s">
        <v>58</v>
      </c>
      <c r="D90" s="61" t="s">
        <v>367</v>
      </c>
      <c r="E90" s="103">
        <f t="shared" si="30"/>
        <v>35044945</v>
      </c>
      <c r="F90" s="103">
        <f>34328200+64500+200000+452245</f>
        <v>35044945</v>
      </c>
      <c r="G90" s="103">
        <v>25836800</v>
      </c>
      <c r="H90" s="103">
        <f>2353200+452245</f>
        <v>2805445</v>
      </c>
      <c r="I90" s="103"/>
      <c r="J90" s="103">
        <f t="shared" si="32"/>
        <v>112500</v>
      </c>
      <c r="K90" s="103">
        <v>112500</v>
      </c>
      <c r="L90" s="103"/>
      <c r="M90" s="103"/>
      <c r="N90" s="103"/>
      <c r="O90" s="103">
        <v>112500</v>
      </c>
      <c r="P90" s="103">
        <f t="shared" si="31"/>
        <v>35157445</v>
      </c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</row>
    <row r="91" spans="1:527" s="22" customFormat="1" ht="31.5" x14ac:dyDescent="0.25">
      <c r="A91" s="60" t="s">
        <v>487</v>
      </c>
      <c r="B91" s="60" t="s">
        <v>488</v>
      </c>
      <c r="C91" s="60" t="s">
        <v>59</v>
      </c>
      <c r="D91" s="36" t="s">
        <v>520</v>
      </c>
      <c r="E91" s="103">
        <f t="shared" si="30"/>
        <v>11387250</v>
      </c>
      <c r="F91" s="103">
        <f>11229130+100000+58120</f>
        <v>11387250</v>
      </c>
      <c r="G91" s="103">
        <v>8331500</v>
      </c>
      <c r="H91" s="103">
        <f>527130+58120</f>
        <v>585250</v>
      </c>
      <c r="I91" s="103"/>
      <c r="J91" s="103">
        <f t="shared" si="32"/>
        <v>0</v>
      </c>
      <c r="K91" s="103">
        <f>100000-100000</f>
        <v>0</v>
      </c>
      <c r="L91" s="103"/>
      <c r="M91" s="103"/>
      <c r="N91" s="103"/>
      <c r="O91" s="103">
        <f>100000-100000</f>
        <v>0</v>
      </c>
      <c r="P91" s="103">
        <f t="shared" si="31"/>
        <v>11387250</v>
      </c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</row>
    <row r="92" spans="1:527" s="22" customFormat="1" ht="18" customHeight="1" x14ac:dyDescent="0.25">
      <c r="A92" s="60" t="s">
        <v>489</v>
      </c>
      <c r="B92" s="60" t="s">
        <v>490</v>
      </c>
      <c r="C92" s="60" t="s">
        <v>59</v>
      </c>
      <c r="D92" s="36" t="s">
        <v>283</v>
      </c>
      <c r="E92" s="103">
        <f t="shared" si="30"/>
        <v>113000</v>
      </c>
      <c r="F92" s="103">
        <v>113000</v>
      </c>
      <c r="G92" s="103"/>
      <c r="H92" s="103"/>
      <c r="I92" s="103"/>
      <c r="J92" s="103">
        <f t="shared" ref="J92" si="38">L92+O92</f>
        <v>0</v>
      </c>
      <c r="K92" s="103"/>
      <c r="L92" s="103"/>
      <c r="M92" s="103"/>
      <c r="N92" s="103"/>
      <c r="O92" s="103"/>
      <c r="P92" s="103">
        <f t="shared" ref="P92" si="39">E92+J92</f>
        <v>113000</v>
      </c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</row>
    <row r="93" spans="1:527" s="22" customFormat="1" ht="31.5" x14ac:dyDescent="0.25">
      <c r="A93" s="60" t="s">
        <v>491</v>
      </c>
      <c r="B93" s="60" t="s">
        <v>492</v>
      </c>
      <c r="C93" s="60" t="s">
        <v>59</v>
      </c>
      <c r="D93" s="61" t="s">
        <v>493</v>
      </c>
      <c r="E93" s="103">
        <f t="shared" si="30"/>
        <v>445933</v>
      </c>
      <c r="F93" s="103">
        <f>431850+14083</f>
        <v>445933</v>
      </c>
      <c r="G93" s="103">
        <v>266200</v>
      </c>
      <c r="H93" s="103">
        <f>52650+14083</f>
        <v>66733</v>
      </c>
      <c r="I93" s="103"/>
      <c r="J93" s="103">
        <f t="shared" si="32"/>
        <v>0</v>
      </c>
      <c r="K93" s="103"/>
      <c r="L93" s="103"/>
      <c r="M93" s="103"/>
      <c r="N93" s="103"/>
      <c r="O93" s="103"/>
      <c r="P93" s="103">
        <f t="shared" si="31"/>
        <v>445933</v>
      </c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</row>
    <row r="94" spans="1:527" s="22" customFormat="1" ht="45.75" customHeight="1" x14ac:dyDescent="0.25">
      <c r="A94" s="60" t="s">
        <v>494</v>
      </c>
      <c r="B94" s="60" t="s">
        <v>495</v>
      </c>
      <c r="C94" s="60" t="str">
        <f>'дод 8'!B60</f>
        <v>0990</v>
      </c>
      <c r="D94" s="61" t="s">
        <v>515</v>
      </c>
      <c r="E94" s="103">
        <f t="shared" si="30"/>
        <v>1499036</v>
      </c>
      <c r="F94" s="103">
        <v>1499036</v>
      </c>
      <c r="G94" s="103">
        <v>1228720</v>
      </c>
      <c r="H94" s="103"/>
      <c r="I94" s="103"/>
      <c r="J94" s="103">
        <f t="shared" si="32"/>
        <v>0</v>
      </c>
      <c r="K94" s="103"/>
      <c r="L94" s="103"/>
      <c r="M94" s="103"/>
      <c r="N94" s="103"/>
      <c r="O94" s="103"/>
      <c r="P94" s="103">
        <f t="shared" si="31"/>
        <v>1499036</v>
      </c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</row>
    <row r="95" spans="1:527" s="24" customFormat="1" ht="45.75" customHeight="1" x14ac:dyDescent="0.25">
      <c r="A95" s="88"/>
      <c r="B95" s="88"/>
      <c r="C95" s="88"/>
      <c r="D95" s="91" t="s">
        <v>386</v>
      </c>
      <c r="E95" s="105">
        <f t="shared" si="30"/>
        <v>1499036</v>
      </c>
      <c r="F95" s="105">
        <v>1499036</v>
      </c>
      <c r="G95" s="105">
        <v>1228720</v>
      </c>
      <c r="H95" s="105"/>
      <c r="I95" s="105"/>
      <c r="J95" s="105">
        <f t="shared" si="32"/>
        <v>0</v>
      </c>
      <c r="K95" s="105"/>
      <c r="L95" s="105"/>
      <c r="M95" s="105"/>
      <c r="N95" s="105"/>
      <c r="O95" s="105"/>
      <c r="P95" s="105">
        <f t="shared" si="31"/>
        <v>1499036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</row>
    <row r="96" spans="1:527" s="22" customFormat="1" ht="36" customHeight="1" x14ac:dyDescent="0.25">
      <c r="A96" s="60" t="s">
        <v>496</v>
      </c>
      <c r="B96" s="60" t="s">
        <v>497</v>
      </c>
      <c r="C96" s="60" t="str">
        <f>'дод 8'!B61</f>
        <v>0990</v>
      </c>
      <c r="D96" s="61" t="s">
        <v>498</v>
      </c>
      <c r="E96" s="103">
        <f t="shared" si="30"/>
        <v>2521377</v>
      </c>
      <c r="F96" s="103">
        <f>2412770+100000+8607</f>
        <v>2521377</v>
      </c>
      <c r="G96" s="103">
        <v>1880000</v>
      </c>
      <c r="H96" s="103">
        <f>84370+8607</f>
        <v>92977</v>
      </c>
      <c r="I96" s="103"/>
      <c r="J96" s="103">
        <f t="shared" si="32"/>
        <v>50000</v>
      </c>
      <c r="K96" s="103">
        <v>50000</v>
      </c>
      <c r="L96" s="103"/>
      <c r="M96" s="103"/>
      <c r="N96" s="103"/>
      <c r="O96" s="103">
        <v>50000</v>
      </c>
      <c r="P96" s="103">
        <f t="shared" si="31"/>
        <v>2571377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</row>
    <row r="97" spans="1:527" s="22" customFormat="1" ht="66" customHeight="1" x14ac:dyDescent="0.25">
      <c r="A97" s="60" t="s">
        <v>588</v>
      </c>
      <c r="B97" s="60" t="s">
        <v>589</v>
      </c>
      <c r="C97" s="60" t="s">
        <v>59</v>
      </c>
      <c r="D97" s="61" t="s">
        <v>593</v>
      </c>
      <c r="E97" s="103">
        <f t="shared" si="30"/>
        <v>0</v>
      </c>
      <c r="F97" s="103"/>
      <c r="G97" s="103"/>
      <c r="H97" s="103"/>
      <c r="I97" s="103"/>
      <c r="J97" s="103">
        <f t="shared" si="32"/>
        <v>1049030</v>
      </c>
      <c r="K97" s="103">
        <v>1049030</v>
      </c>
      <c r="L97" s="103"/>
      <c r="M97" s="103"/>
      <c r="N97" s="103"/>
      <c r="O97" s="103">
        <v>1049030</v>
      </c>
      <c r="P97" s="103">
        <f t="shared" si="31"/>
        <v>1049030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  <c r="TF97" s="23"/>
      <c r="TG97" s="23"/>
    </row>
    <row r="98" spans="1:527" s="22" customFormat="1" ht="47.25" x14ac:dyDescent="0.25">
      <c r="A98" s="60" t="s">
        <v>575</v>
      </c>
      <c r="B98" s="60" t="s">
        <v>577</v>
      </c>
      <c r="C98" s="60" t="s">
        <v>59</v>
      </c>
      <c r="D98" s="61" t="s">
        <v>579</v>
      </c>
      <c r="E98" s="103">
        <f t="shared" si="30"/>
        <v>287772</v>
      </c>
      <c r="F98" s="103">
        <v>287772</v>
      </c>
      <c r="G98" s="103"/>
      <c r="H98" s="103"/>
      <c r="I98" s="103"/>
      <c r="J98" s="103">
        <f t="shared" si="32"/>
        <v>2859726</v>
      </c>
      <c r="K98" s="103">
        <v>2859726</v>
      </c>
      <c r="L98" s="103"/>
      <c r="M98" s="103"/>
      <c r="N98" s="103"/>
      <c r="O98" s="103">
        <v>2859726</v>
      </c>
      <c r="P98" s="103">
        <f t="shared" si="31"/>
        <v>3147498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</row>
    <row r="99" spans="1:527" s="24" customFormat="1" ht="67.5" customHeight="1" x14ac:dyDescent="0.25">
      <c r="A99" s="88"/>
      <c r="B99" s="88"/>
      <c r="C99" s="88"/>
      <c r="D99" s="91" t="s">
        <v>432</v>
      </c>
      <c r="E99" s="105">
        <f t="shared" si="30"/>
        <v>287772</v>
      </c>
      <c r="F99" s="105">
        <v>287772</v>
      </c>
      <c r="G99" s="105"/>
      <c r="H99" s="105"/>
      <c r="I99" s="105"/>
      <c r="J99" s="105">
        <f t="shared" si="32"/>
        <v>2859726</v>
      </c>
      <c r="K99" s="105">
        <v>2859726</v>
      </c>
      <c r="L99" s="105"/>
      <c r="M99" s="105"/>
      <c r="N99" s="105"/>
      <c r="O99" s="105">
        <v>2859726</v>
      </c>
      <c r="P99" s="105">
        <f t="shared" si="31"/>
        <v>3147498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</row>
    <row r="100" spans="1:527" s="22" customFormat="1" ht="78.75" x14ac:dyDescent="0.25">
      <c r="A100" s="60" t="s">
        <v>590</v>
      </c>
      <c r="B100" s="60" t="s">
        <v>591</v>
      </c>
      <c r="C100" s="60" t="s">
        <v>59</v>
      </c>
      <c r="D100" s="61" t="s">
        <v>592</v>
      </c>
      <c r="E100" s="103">
        <f t="shared" si="30"/>
        <v>1800286</v>
      </c>
      <c r="F100" s="103">
        <v>1800286</v>
      </c>
      <c r="G100" s="103"/>
      <c r="H100" s="103"/>
      <c r="I100" s="103"/>
      <c r="J100" s="103">
        <f t="shared" si="32"/>
        <v>417966</v>
      </c>
      <c r="K100" s="103">
        <v>417966</v>
      </c>
      <c r="L100" s="103"/>
      <c r="M100" s="103"/>
      <c r="N100" s="103"/>
      <c r="O100" s="103">
        <v>417966</v>
      </c>
      <c r="P100" s="103">
        <f t="shared" si="31"/>
        <v>2218252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  <c r="TF100" s="23"/>
      <c r="TG100" s="23"/>
    </row>
    <row r="101" spans="1:527" s="22" customFormat="1" ht="47.25" x14ac:dyDescent="0.25">
      <c r="A101" s="60" t="s">
        <v>576</v>
      </c>
      <c r="B101" s="60" t="s">
        <v>578</v>
      </c>
      <c r="C101" s="60" t="s">
        <v>59</v>
      </c>
      <c r="D101" s="61" t="s">
        <v>580</v>
      </c>
      <c r="E101" s="103">
        <f t="shared" si="30"/>
        <v>5811208</v>
      </c>
      <c r="F101" s="103">
        <v>5811208</v>
      </c>
      <c r="G101" s="103"/>
      <c r="H101" s="103"/>
      <c r="I101" s="103"/>
      <c r="J101" s="103">
        <f t="shared" si="32"/>
        <v>1095855</v>
      </c>
      <c r="K101" s="103">
        <v>1095855</v>
      </c>
      <c r="L101" s="103"/>
      <c r="M101" s="103"/>
      <c r="N101" s="103"/>
      <c r="O101" s="103">
        <v>1095855</v>
      </c>
      <c r="P101" s="103">
        <f t="shared" si="31"/>
        <v>6907063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  <c r="TF101" s="23"/>
      <c r="TG101" s="23"/>
    </row>
    <row r="102" spans="1:527" s="24" customFormat="1" ht="63" x14ac:dyDescent="0.25">
      <c r="A102" s="88"/>
      <c r="B102" s="88"/>
      <c r="C102" s="88"/>
      <c r="D102" s="91" t="s">
        <v>581</v>
      </c>
      <c r="E102" s="105">
        <f t="shared" si="30"/>
        <v>5811208</v>
      </c>
      <c r="F102" s="105">
        <v>5811208</v>
      </c>
      <c r="G102" s="105"/>
      <c r="H102" s="105"/>
      <c r="I102" s="105"/>
      <c r="J102" s="105">
        <f t="shared" si="32"/>
        <v>1095855</v>
      </c>
      <c r="K102" s="105">
        <v>1095855</v>
      </c>
      <c r="L102" s="105"/>
      <c r="M102" s="105"/>
      <c r="N102" s="105"/>
      <c r="O102" s="105">
        <v>1095855</v>
      </c>
      <c r="P102" s="105">
        <f t="shared" si="31"/>
        <v>6907063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</row>
    <row r="103" spans="1:527" s="22" customFormat="1" ht="65.25" customHeight="1" x14ac:dyDescent="0.25">
      <c r="A103" s="60" t="s">
        <v>499</v>
      </c>
      <c r="B103" s="60" t="s">
        <v>500</v>
      </c>
      <c r="C103" s="60" t="s">
        <v>59</v>
      </c>
      <c r="D103" s="98" t="s">
        <v>516</v>
      </c>
      <c r="E103" s="103">
        <f t="shared" si="30"/>
        <v>2612700</v>
      </c>
      <c r="F103" s="103">
        <f>1780860+805257+26583</f>
        <v>2612700</v>
      </c>
      <c r="G103" s="103">
        <v>1459720</v>
      </c>
      <c r="H103" s="103"/>
      <c r="I103" s="103"/>
      <c r="J103" s="103">
        <f t="shared" si="32"/>
        <v>72000</v>
      </c>
      <c r="K103" s="103">
        <f>903840-805257-26583</f>
        <v>72000</v>
      </c>
      <c r="L103" s="103"/>
      <c r="M103" s="103"/>
      <c r="N103" s="103"/>
      <c r="O103" s="103">
        <f>903840-805257-26583</f>
        <v>72000</v>
      </c>
      <c r="P103" s="103">
        <f t="shared" si="31"/>
        <v>2684700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  <c r="TF103" s="23"/>
      <c r="TG103" s="23"/>
    </row>
    <row r="104" spans="1:527" s="24" customFormat="1" ht="63" x14ac:dyDescent="0.25">
      <c r="A104" s="88"/>
      <c r="B104" s="115"/>
      <c r="C104" s="115"/>
      <c r="D104" s="91" t="s">
        <v>385</v>
      </c>
      <c r="E104" s="105">
        <f t="shared" si="30"/>
        <v>2612700</v>
      </c>
      <c r="F104" s="105">
        <f>1780860+805257+26583</f>
        <v>2612700</v>
      </c>
      <c r="G104" s="105">
        <v>1459720</v>
      </c>
      <c r="H104" s="105"/>
      <c r="I104" s="105"/>
      <c r="J104" s="105">
        <f t="shared" si="32"/>
        <v>72000</v>
      </c>
      <c r="K104" s="105">
        <f>903840-805257-26583</f>
        <v>72000</v>
      </c>
      <c r="L104" s="105"/>
      <c r="M104" s="105"/>
      <c r="N104" s="105"/>
      <c r="O104" s="105">
        <f>903840-805257-26583</f>
        <v>72000</v>
      </c>
      <c r="P104" s="105">
        <f t="shared" si="31"/>
        <v>2684700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</row>
    <row r="105" spans="1:527" s="24" customFormat="1" ht="78.75" x14ac:dyDescent="0.25">
      <c r="A105" s="60" t="s">
        <v>537</v>
      </c>
      <c r="B105" s="97">
        <v>1210</v>
      </c>
      <c r="C105" s="60" t="s">
        <v>59</v>
      </c>
      <c r="D105" s="36" t="s">
        <v>538</v>
      </c>
      <c r="E105" s="103">
        <f t="shared" si="30"/>
        <v>1174231</v>
      </c>
      <c r="F105" s="103">
        <v>1174231</v>
      </c>
      <c r="G105" s="103">
        <v>962484</v>
      </c>
      <c r="H105" s="105"/>
      <c r="I105" s="105"/>
      <c r="J105" s="103">
        <f t="shared" si="32"/>
        <v>0</v>
      </c>
      <c r="K105" s="105"/>
      <c r="L105" s="105"/>
      <c r="M105" s="105"/>
      <c r="N105" s="105"/>
      <c r="O105" s="105"/>
      <c r="P105" s="103">
        <f t="shared" si="31"/>
        <v>1174231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</row>
    <row r="106" spans="1:527" s="24" customFormat="1" ht="75.75" customHeight="1" x14ac:dyDescent="0.25">
      <c r="A106" s="88"/>
      <c r="B106" s="115"/>
      <c r="C106" s="115"/>
      <c r="D106" s="91" t="s">
        <v>539</v>
      </c>
      <c r="E106" s="105">
        <f t="shared" si="30"/>
        <v>1174231</v>
      </c>
      <c r="F106" s="105">
        <v>1174231</v>
      </c>
      <c r="G106" s="105">
        <v>962484</v>
      </c>
      <c r="H106" s="105"/>
      <c r="I106" s="105"/>
      <c r="J106" s="105">
        <f t="shared" si="32"/>
        <v>0</v>
      </c>
      <c r="K106" s="105"/>
      <c r="L106" s="105"/>
      <c r="M106" s="105"/>
      <c r="N106" s="105"/>
      <c r="O106" s="105"/>
      <c r="P106" s="105">
        <f t="shared" si="31"/>
        <v>1174231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</row>
    <row r="107" spans="1:527" s="24" customFormat="1" ht="64.5" customHeight="1" x14ac:dyDescent="0.25">
      <c r="A107" s="60" t="s">
        <v>501</v>
      </c>
      <c r="B107" s="97">
        <v>3140</v>
      </c>
      <c r="C107" s="97">
        <v>1040</v>
      </c>
      <c r="D107" s="6" t="s">
        <v>20</v>
      </c>
      <c r="E107" s="103">
        <f t="shared" si="30"/>
        <v>5500000</v>
      </c>
      <c r="F107" s="103">
        <f>3500000+2000000</f>
        <v>5500000</v>
      </c>
      <c r="G107" s="103"/>
      <c r="H107" s="103"/>
      <c r="I107" s="103"/>
      <c r="J107" s="103">
        <f t="shared" si="32"/>
        <v>0</v>
      </c>
      <c r="K107" s="105"/>
      <c r="L107" s="105"/>
      <c r="M107" s="105"/>
      <c r="N107" s="105"/>
      <c r="O107" s="105"/>
      <c r="P107" s="103">
        <f t="shared" si="31"/>
        <v>5500000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</row>
    <row r="108" spans="1:527" s="24" customFormat="1" ht="31.5" x14ac:dyDescent="0.25">
      <c r="A108" s="60" t="s">
        <v>502</v>
      </c>
      <c r="B108" s="97">
        <v>3242</v>
      </c>
      <c r="C108" s="97">
        <v>1090</v>
      </c>
      <c r="D108" s="36" t="s">
        <v>414</v>
      </c>
      <c r="E108" s="103">
        <f t="shared" si="30"/>
        <v>54300</v>
      </c>
      <c r="F108" s="103">
        <v>54300</v>
      </c>
      <c r="G108" s="103"/>
      <c r="H108" s="103"/>
      <c r="I108" s="103"/>
      <c r="J108" s="103">
        <f t="shared" si="32"/>
        <v>0</v>
      </c>
      <c r="K108" s="105"/>
      <c r="L108" s="105"/>
      <c r="M108" s="105"/>
      <c r="N108" s="105"/>
      <c r="O108" s="105"/>
      <c r="P108" s="103">
        <f t="shared" si="31"/>
        <v>54300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</row>
    <row r="109" spans="1:527" s="24" customFormat="1" ht="47.25" x14ac:dyDescent="0.25">
      <c r="A109" s="60" t="s">
        <v>504</v>
      </c>
      <c r="B109" s="97">
        <v>5031</v>
      </c>
      <c r="C109" s="60" t="s">
        <v>82</v>
      </c>
      <c r="D109" s="3" t="s">
        <v>584</v>
      </c>
      <c r="E109" s="103">
        <f t="shared" si="30"/>
        <v>8734331</v>
      </c>
      <c r="F109" s="103">
        <f>8590600+134064+9667</f>
        <v>8734331</v>
      </c>
      <c r="G109" s="103">
        <v>6510800</v>
      </c>
      <c r="H109" s="103">
        <f>192500+9667</f>
        <v>202167</v>
      </c>
      <c r="I109" s="103"/>
      <c r="J109" s="103">
        <f t="shared" si="32"/>
        <v>0</v>
      </c>
      <c r="K109" s="105"/>
      <c r="L109" s="105"/>
      <c r="M109" s="105"/>
      <c r="N109" s="105"/>
      <c r="O109" s="105"/>
      <c r="P109" s="103">
        <f t="shared" si="31"/>
        <v>8734331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</row>
    <row r="110" spans="1:527" s="24" customFormat="1" ht="23.25" customHeight="1" x14ac:dyDescent="0.25">
      <c r="A110" s="88"/>
      <c r="B110" s="115"/>
      <c r="C110" s="88"/>
      <c r="D110" s="91" t="s">
        <v>397</v>
      </c>
      <c r="E110" s="105">
        <f t="shared" si="30"/>
        <v>134064</v>
      </c>
      <c r="F110" s="105">
        <v>134064</v>
      </c>
      <c r="G110" s="105"/>
      <c r="H110" s="105"/>
      <c r="I110" s="105"/>
      <c r="J110" s="105">
        <f t="shared" si="32"/>
        <v>0</v>
      </c>
      <c r="K110" s="105"/>
      <c r="L110" s="105"/>
      <c r="M110" s="105"/>
      <c r="N110" s="105"/>
      <c r="O110" s="105"/>
      <c r="P110" s="105">
        <f t="shared" si="31"/>
        <v>134064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</row>
    <row r="111" spans="1:527" s="24" customFormat="1" ht="18.75" x14ac:dyDescent="0.25">
      <c r="A111" s="60" t="s">
        <v>505</v>
      </c>
      <c r="B111" s="97">
        <v>7321</v>
      </c>
      <c r="C111" s="60" t="s">
        <v>113</v>
      </c>
      <c r="D111" s="6" t="s">
        <v>565</v>
      </c>
      <c r="E111" s="103">
        <f t="shared" si="30"/>
        <v>0</v>
      </c>
      <c r="F111" s="103"/>
      <c r="G111" s="103"/>
      <c r="H111" s="103"/>
      <c r="I111" s="103"/>
      <c r="J111" s="103">
        <f t="shared" si="32"/>
        <v>29545419</v>
      </c>
      <c r="K111" s="103">
        <f>21660000+2000000+139385+600000+584918+112177+193520-969650+15000+146760+300000-380000-905000+49950-300000+517880+24778-160000-280000+50000-200000+230045+2472793+618634+1500000+1524229</f>
        <v>29545419</v>
      </c>
      <c r="L111" s="103"/>
      <c r="M111" s="103"/>
      <c r="N111" s="103"/>
      <c r="O111" s="103">
        <f>21660000+2000000+139385+600000+584918+112177+193520-969650+15000+146760+300000-380000-905000+49950-300000+517880+24778-160000-280000+50000-200000+230045+2472793+618634+1500000+1524229</f>
        <v>29545419</v>
      </c>
      <c r="P111" s="103">
        <f t="shared" si="31"/>
        <v>29545419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</row>
    <row r="112" spans="1:527" s="24" customFormat="1" ht="51" customHeight="1" x14ac:dyDescent="0.25">
      <c r="A112" s="60" t="s">
        <v>571</v>
      </c>
      <c r="B112" s="97">
        <v>7363</v>
      </c>
      <c r="C112" s="60" t="s">
        <v>84</v>
      </c>
      <c r="D112" s="6" t="s">
        <v>400</v>
      </c>
      <c r="E112" s="103">
        <f t="shared" si="30"/>
        <v>0</v>
      </c>
      <c r="F112" s="103"/>
      <c r="G112" s="103"/>
      <c r="H112" s="103"/>
      <c r="I112" s="103"/>
      <c r="J112" s="103">
        <f t="shared" si="32"/>
        <v>2383667</v>
      </c>
      <c r="K112" s="103">
        <f>2629959-1405043+1158751</f>
        <v>2383667</v>
      </c>
      <c r="L112" s="103"/>
      <c r="M112" s="103"/>
      <c r="N112" s="103"/>
      <c r="O112" s="103">
        <f>2629959-1405043+1158751</f>
        <v>2383667</v>
      </c>
      <c r="P112" s="103">
        <f t="shared" si="31"/>
        <v>2383667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</row>
    <row r="113" spans="1:527" s="24" customFormat="1" ht="47.25" x14ac:dyDescent="0.25">
      <c r="A113" s="88"/>
      <c r="B113" s="115"/>
      <c r="C113" s="88"/>
      <c r="D113" s="85" t="s">
        <v>585</v>
      </c>
      <c r="E113" s="105">
        <f t="shared" si="30"/>
        <v>0</v>
      </c>
      <c r="F113" s="105"/>
      <c r="G113" s="105"/>
      <c r="H113" s="105"/>
      <c r="I113" s="105"/>
      <c r="J113" s="105">
        <f t="shared" si="32"/>
        <v>1224916</v>
      </c>
      <c r="K113" s="105">
        <f>2629959-1405043</f>
        <v>1224916</v>
      </c>
      <c r="L113" s="105"/>
      <c r="M113" s="105"/>
      <c r="N113" s="105"/>
      <c r="O113" s="105">
        <f>2629959-1405043</f>
        <v>1224916</v>
      </c>
      <c r="P113" s="105">
        <f t="shared" si="31"/>
        <v>1224916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</row>
    <row r="114" spans="1:527" s="24" customFormat="1" ht="15.75" x14ac:dyDescent="0.25">
      <c r="A114" s="60" t="s">
        <v>506</v>
      </c>
      <c r="B114" s="97">
        <v>7640</v>
      </c>
      <c r="C114" s="60" t="s">
        <v>88</v>
      </c>
      <c r="D114" s="3" t="s">
        <v>424</v>
      </c>
      <c r="E114" s="103">
        <f t="shared" si="30"/>
        <v>691000</v>
      </c>
      <c r="F114" s="103">
        <f>551000+140000</f>
        <v>691000</v>
      </c>
      <c r="G114" s="103"/>
      <c r="H114" s="103"/>
      <c r="I114" s="103"/>
      <c r="J114" s="103">
        <f t="shared" si="32"/>
        <v>11198880</v>
      </c>
      <c r="K114" s="103">
        <f>13040000-139385-1660615-140000+53880+45000</f>
        <v>11198880</v>
      </c>
      <c r="L114" s="103"/>
      <c r="M114" s="103"/>
      <c r="N114" s="103"/>
      <c r="O114" s="103">
        <f>13040000-139385-1660615-140000+53880+45000</f>
        <v>11198880</v>
      </c>
      <c r="P114" s="103">
        <f t="shared" si="31"/>
        <v>11889880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  <c r="TF114" s="30"/>
      <c r="TG114" s="30"/>
    </row>
    <row r="115" spans="1:527" s="24" customFormat="1" ht="47.25" x14ac:dyDescent="0.25">
      <c r="A115" s="60" t="s">
        <v>509</v>
      </c>
      <c r="B115" s="97">
        <v>7700</v>
      </c>
      <c r="C115" s="60" t="s">
        <v>95</v>
      </c>
      <c r="D115" s="3" t="s">
        <v>364</v>
      </c>
      <c r="E115" s="103">
        <f t="shared" si="30"/>
        <v>0</v>
      </c>
      <c r="F115" s="103"/>
      <c r="G115" s="103"/>
      <c r="H115" s="103"/>
      <c r="I115" s="103"/>
      <c r="J115" s="103">
        <f t="shared" si="32"/>
        <v>630000</v>
      </c>
      <c r="K115" s="103"/>
      <c r="L115" s="103"/>
      <c r="M115" s="103"/>
      <c r="N115" s="103"/>
      <c r="O115" s="103">
        <v>630000</v>
      </c>
      <c r="P115" s="103">
        <f t="shared" si="31"/>
        <v>630000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</row>
    <row r="116" spans="1:527" s="24" customFormat="1" ht="37.5" customHeight="1" x14ac:dyDescent="0.25">
      <c r="A116" s="60" t="s">
        <v>507</v>
      </c>
      <c r="B116" s="97">
        <v>8340</v>
      </c>
      <c r="C116" s="60" t="s">
        <v>94</v>
      </c>
      <c r="D116" s="3" t="s">
        <v>10</v>
      </c>
      <c r="E116" s="103">
        <f t="shared" si="30"/>
        <v>0</v>
      </c>
      <c r="F116" s="103"/>
      <c r="G116" s="103"/>
      <c r="H116" s="103"/>
      <c r="I116" s="103"/>
      <c r="J116" s="103">
        <f t="shared" si="32"/>
        <v>625000</v>
      </c>
      <c r="K116" s="103"/>
      <c r="L116" s="103">
        <f>595000+30000-49900</f>
        <v>575100</v>
      </c>
      <c r="M116" s="103"/>
      <c r="N116" s="103"/>
      <c r="O116" s="103">
        <f>30000-30000+49900</f>
        <v>49900</v>
      </c>
      <c r="P116" s="103">
        <f t="shared" si="31"/>
        <v>625000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  <c r="TF116" s="30"/>
      <c r="TG116" s="30"/>
    </row>
    <row r="117" spans="1:527" s="24" customFormat="1" ht="47.25" x14ac:dyDescent="0.25">
      <c r="A117" s="60" t="s">
        <v>553</v>
      </c>
      <c r="B117" s="97">
        <v>9320</v>
      </c>
      <c r="C117" s="60" t="s">
        <v>46</v>
      </c>
      <c r="D117" s="6" t="s">
        <v>554</v>
      </c>
      <c r="E117" s="103">
        <f t="shared" si="30"/>
        <v>693000</v>
      </c>
      <c r="F117" s="103">
        <v>693000</v>
      </c>
      <c r="G117" s="103"/>
      <c r="H117" s="103"/>
      <c r="I117" s="103"/>
      <c r="J117" s="103">
        <f t="shared" si="32"/>
        <v>3307000</v>
      </c>
      <c r="K117" s="103">
        <v>3307000</v>
      </c>
      <c r="L117" s="103"/>
      <c r="M117" s="103"/>
      <c r="N117" s="103"/>
      <c r="O117" s="103">
        <v>3307000</v>
      </c>
      <c r="P117" s="103">
        <f t="shared" si="31"/>
        <v>4000000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</row>
    <row r="118" spans="1:527" s="24" customFormat="1" ht="31.5" x14ac:dyDescent="0.25">
      <c r="A118" s="88"/>
      <c r="B118" s="115"/>
      <c r="C118" s="88"/>
      <c r="D118" s="91" t="s">
        <v>547</v>
      </c>
      <c r="E118" s="105">
        <f t="shared" si="30"/>
        <v>693000</v>
      </c>
      <c r="F118" s="105">
        <v>693000</v>
      </c>
      <c r="G118" s="105"/>
      <c r="H118" s="105"/>
      <c r="I118" s="105"/>
      <c r="J118" s="105">
        <f t="shared" si="32"/>
        <v>3307000</v>
      </c>
      <c r="K118" s="105">
        <v>3307000</v>
      </c>
      <c r="L118" s="105"/>
      <c r="M118" s="105"/>
      <c r="N118" s="105"/>
      <c r="O118" s="105">
        <v>3307000</v>
      </c>
      <c r="P118" s="105">
        <f t="shared" si="31"/>
        <v>4000000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</row>
    <row r="119" spans="1:527" s="24" customFormat="1" ht="22.5" customHeight="1" x14ac:dyDescent="0.25">
      <c r="A119" s="60" t="s">
        <v>508</v>
      </c>
      <c r="B119" s="97">
        <v>9770</v>
      </c>
      <c r="C119" s="60" t="s">
        <v>46</v>
      </c>
      <c r="D119" s="6" t="s">
        <v>358</v>
      </c>
      <c r="E119" s="103">
        <f t="shared" ref="E119" si="40">F119+I119</f>
        <v>59660000</v>
      </c>
      <c r="F119" s="103">
        <f>59300000+10000+350000</f>
        <v>59660000</v>
      </c>
      <c r="G119" s="103"/>
      <c r="H119" s="103"/>
      <c r="I119" s="103"/>
      <c r="J119" s="103">
        <f t="shared" ref="J119" si="41">L119+O119</f>
        <v>1256508</v>
      </c>
      <c r="K119" s="103">
        <v>1256508</v>
      </c>
      <c r="L119" s="103"/>
      <c r="M119" s="103"/>
      <c r="N119" s="103"/>
      <c r="O119" s="103">
        <v>1256508</v>
      </c>
      <c r="P119" s="103">
        <f t="shared" ref="P119" si="42">E119+J119</f>
        <v>60916508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  <c r="TF119" s="30"/>
      <c r="TG119" s="30"/>
    </row>
    <row r="120" spans="1:527" s="24" customFormat="1" ht="48.75" customHeight="1" x14ac:dyDescent="0.25">
      <c r="A120" s="60" t="s">
        <v>542</v>
      </c>
      <c r="B120" s="97">
        <v>9800</v>
      </c>
      <c r="C120" s="60" t="s">
        <v>46</v>
      </c>
      <c r="D120" s="6" t="s">
        <v>369</v>
      </c>
      <c r="E120" s="103">
        <f t="shared" si="30"/>
        <v>49600</v>
      </c>
      <c r="F120" s="103">
        <v>49600</v>
      </c>
      <c r="G120" s="103"/>
      <c r="H120" s="103"/>
      <c r="I120" s="103"/>
      <c r="J120" s="103">
        <f t="shared" si="32"/>
        <v>0</v>
      </c>
      <c r="K120" s="103"/>
      <c r="L120" s="103"/>
      <c r="M120" s="103"/>
      <c r="N120" s="103"/>
      <c r="O120" s="103"/>
      <c r="P120" s="103">
        <f t="shared" si="31"/>
        <v>49600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  <c r="TF120" s="30"/>
      <c r="TG120" s="30"/>
    </row>
    <row r="121" spans="1:527" s="27" customFormat="1" ht="33.75" customHeight="1" x14ac:dyDescent="0.25">
      <c r="A121" s="114" t="s">
        <v>171</v>
      </c>
      <c r="B121" s="116"/>
      <c r="C121" s="116"/>
      <c r="D121" s="111" t="s">
        <v>466</v>
      </c>
      <c r="E121" s="99">
        <f>E122</f>
        <v>90758175.400000006</v>
      </c>
      <c r="F121" s="99">
        <f t="shared" ref="F121:P121" si="43">F122</f>
        <v>90758175.400000006</v>
      </c>
      <c r="G121" s="99">
        <f t="shared" si="43"/>
        <v>4343800</v>
      </c>
      <c r="H121" s="99">
        <f t="shared" si="43"/>
        <v>97368</v>
      </c>
      <c r="I121" s="99">
        <f t="shared" si="43"/>
        <v>0</v>
      </c>
      <c r="J121" s="99">
        <f t="shared" si="43"/>
        <v>131468090.53999999</v>
      </c>
      <c r="K121" s="99">
        <f t="shared" si="43"/>
        <v>131468090.53999999</v>
      </c>
      <c r="L121" s="99">
        <f t="shared" si="43"/>
        <v>0</v>
      </c>
      <c r="M121" s="99">
        <f t="shared" si="43"/>
        <v>0</v>
      </c>
      <c r="N121" s="99">
        <f t="shared" si="43"/>
        <v>0</v>
      </c>
      <c r="O121" s="99">
        <f t="shared" si="43"/>
        <v>131468090.53999999</v>
      </c>
      <c r="P121" s="99">
        <f t="shared" si="43"/>
        <v>222226265.94</v>
      </c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  <c r="JS121" s="32"/>
      <c r="JT121" s="32"/>
      <c r="JU121" s="32"/>
      <c r="JV121" s="32"/>
      <c r="JW121" s="32"/>
      <c r="JX121" s="32"/>
      <c r="JY121" s="32"/>
      <c r="JZ121" s="32"/>
      <c r="KA121" s="32"/>
      <c r="KB121" s="32"/>
      <c r="KC121" s="32"/>
      <c r="KD121" s="32"/>
      <c r="KE121" s="32"/>
      <c r="KF121" s="32"/>
      <c r="KG121" s="32"/>
      <c r="KH121" s="32"/>
      <c r="KI121" s="32"/>
      <c r="KJ121" s="32"/>
      <c r="KK121" s="32"/>
      <c r="KL121" s="32"/>
      <c r="KM121" s="32"/>
      <c r="KN121" s="32"/>
      <c r="KO121" s="32"/>
      <c r="KP121" s="32"/>
      <c r="KQ121" s="32"/>
      <c r="KR121" s="32"/>
      <c r="KS121" s="32"/>
      <c r="KT121" s="32"/>
      <c r="KU121" s="32"/>
      <c r="KV121" s="32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32"/>
      <c r="LI121" s="32"/>
      <c r="LJ121" s="32"/>
      <c r="LK121" s="32"/>
      <c r="LL121" s="32"/>
      <c r="LM121" s="32"/>
      <c r="LN121" s="32"/>
      <c r="LO121" s="32"/>
      <c r="LP121" s="32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32"/>
      <c r="MC121" s="32"/>
      <c r="MD121" s="32"/>
      <c r="ME121" s="32"/>
      <c r="MF121" s="32"/>
      <c r="MG121" s="32"/>
      <c r="MH121" s="32"/>
      <c r="MI121" s="32"/>
      <c r="MJ121" s="32"/>
      <c r="MK121" s="32"/>
      <c r="ML121" s="32"/>
      <c r="MM121" s="32"/>
      <c r="MN121" s="32"/>
      <c r="MO121" s="32"/>
      <c r="MP121" s="32"/>
      <c r="MQ121" s="32"/>
      <c r="MR121" s="32"/>
      <c r="MS121" s="32"/>
      <c r="MT121" s="32"/>
      <c r="MU121" s="32"/>
      <c r="MV121" s="32"/>
      <c r="MW121" s="32"/>
      <c r="MX121" s="32"/>
      <c r="MY121" s="32"/>
      <c r="MZ121" s="32"/>
      <c r="NA121" s="32"/>
      <c r="NB121" s="32"/>
      <c r="NC121" s="32"/>
      <c r="ND121" s="32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32"/>
      <c r="NQ121" s="32"/>
      <c r="NR121" s="32"/>
      <c r="NS121" s="32"/>
      <c r="NT121" s="32"/>
      <c r="NU121" s="32"/>
      <c r="NV121" s="32"/>
      <c r="NW121" s="32"/>
      <c r="NX121" s="32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32"/>
      <c r="OK121" s="32"/>
      <c r="OL121" s="32"/>
      <c r="OM121" s="32"/>
      <c r="ON121" s="32"/>
      <c r="OO121" s="32"/>
      <c r="OP121" s="32"/>
      <c r="OQ121" s="32"/>
      <c r="OR121" s="32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32"/>
      <c r="PE121" s="32"/>
      <c r="PF121" s="32"/>
      <c r="PG121" s="32"/>
      <c r="PH121" s="32"/>
      <c r="PI121" s="32"/>
      <c r="PJ121" s="32"/>
      <c r="PK121" s="32"/>
      <c r="PL121" s="32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32"/>
      <c r="PY121" s="32"/>
      <c r="PZ121" s="32"/>
      <c r="QA121" s="32"/>
      <c r="QB121" s="32"/>
      <c r="QC121" s="32"/>
      <c r="QD121" s="32"/>
      <c r="QE121" s="32"/>
      <c r="QF121" s="32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32"/>
      <c r="QS121" s="32"/>
      <c r="QT121" s="32"/>
      <c r="QU121" s="32"/>
      <c r="QV121" s="32"/>
      <c r="QW121" s="32"/>
      <c r="QX121" s="32"/>
      <c r="QY121" s="32"/>
      <c r="QZ121" s="32"/>
      <c r="RA121" s="32"/>
      <c r="RB121" s="32"/>
      <c r="RC121" s="32"/>
      <c r="RD121" s="32"/>
      <c r="RE121" s="32"/>
      <c r="RF121" s="32"/>
      <c r="RG121" s="32"/>
      <c r="RH121" s="32"/>
      <c r="RI121" s="32"/>
      <c r="RJ121" s="32"/>
      <c r="RK121" s="32"/>
      <c r="RL121" s="32"/>
      <c r="RM121" s="32"/>
      <c r="RN121" s="32"/>
      <c r="RO121" s="32"/>
      <c r="RP121" s="32"/>
      <c r="RQ121" s="32"/>
      <c r="RR121" s="32"/>
      <c r="RS121" s="32"/>
      <c r="RT121" s="32"/>
      <c r="RU121" s="32"/>
      <c r="RV121" s="32"/>
      <c r="RW121" s="32"/>
      <c r="RX121" s="32"/>
      <c r="RY121" s="32"/>
      <c r="RZ121" s="32"/>
      <c r="SA121" s="32"/>
      <c r="SB121" s="32"/>
      <c r="SC121" s="32"/>
      <c r="SD121" s="32"/>
      <c r="SE121" s="32"/>
      <c r="SF121" s="32"/>
      <c r="SG121" s="32"/>
      <c r="SH121" s="32"/>
      <c r="SI121" s="32"/>
      <c r="SJ121" s="32"/>
      <c r="SK121" s="32"/>
      <c r="SL121" s="32"/>
      <c r="SM121" s="32"/>
      <c r="SN121" s="32"/>
      <c r="SO121" s="32"/>
      <c r="SP121" s="32"/>
      <c r="SQ121" s="32"/>
      <c r="SR121" s="32"/>
      <c r="SS121" s="32"/>
      <c r="ST121" s="32"/>
      <c r="SU121" s="32"/>
      <c r="SV121" s="32"/>
      <c r="SW121" s="32"/>
      <c r="SX121" s="32"/>
      <c r="SY121" s="32"/>
      <c r="SZ121" s="32"/>
      <c r="TA121" s="32"/>
      <c r="TB121" s="32"/>
      <c r="TC121" s="32"/>
      <c r="TD121" s="32"/>
      <c r="TE121" s="32"/>
      <c r="TF121" s="32"/>
      <c r="TG121" s="32"/>
    </row>
    <row r="122" spans="1:527" s="34" customFormat="1" ht="30.75" customHeight="1" x14ac:dyDescent="0.25">
      <c r="A122" s="100" t="s">
        <v>172</v>
      </c>
      <c r="B122" s="113"/>
      <c r="C122" s="113"/>
      <c r="D122" s="81" t="s">
        <v>475</v>
      </c>
      <c r="E122" s="102">
        <f>E130+E131+E136+E138+E140+E142+E145+E146+E147+E148+E149+E151+E153+E154+E135</f>
        <v>90758175.400000006</v>
      </c>
      <c r="F122" s="102">
        <f t="shared" ref="F122:P122" si="44">F130+F131+F136+F138+F140+F142+F145+F146+F147+F148+F149+F151+F153+F154+F135</f>
        <v>90758175.400000006</v>
      </c>
      <c r="G122" s="102">
        <f t="shared" si="44"/>
        <v>4343800</v>
      </c>
      <c r="H122" s="102">
        <f t="shared" si="44"/>
        <v>97368</v>
      </c>
      <c r="I122" s="102">
        <f t="shared" si="44"/>
        <v>0</v>
      </c>
      <c r="J122" s="102">
        <f t="shared" si="44"/>
        <v>131468090.53999999</v>
      </c>
      <c r="K122" s="102">
        <f>K130+K131+K136+K138+K140+K142+K145+K146+K147+K148+K149+K151+K153+K154+K135</f>
        <v>131468090.53999999</v>
      </c>
      <c r="L122" s="102">
        <f t="shared" si="44"/>
        <v>0</v>
      </c>
      <c r="M122" s="102">
        <f t="shared" si="44"/>
        <v>0</v>
      </c>
      <c r="N122" s="102">
        <f t="shared" si="44"/>
        <v>0</v>
      </c>
      <c r="O122" s="102">
        <f t="shared" si="44"/>
        <v>131468090.53999999</v>
      </c>
      <c r="P122" s="102">
        <f t="shared" si="44"/>
        <v>222226265.94</v>
      </c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3"/>
      <c r="EX122" s="33"/>
      <c r="EY122" s="33"/>
      <c r="EZ122" s="33"/>
      <c r="FA122" s="33"/>
      <c r="FB122" s="33"/>
      <c r="FC122" s="33"/>
      <c r="FD122" s="33"/>
      <c r="FE122" s="33"/>
      <c r="FF122" s="33"/>
      <c r="FG122" s="33"/>
      <c r="FH122" s="33"/>
      <c r="FI122" s="33"/>
      <c r="FJ122" s="33"/>
      <c r="FK122" s="33"/>
      <c r="FL122" s="33"/>
      <c r="FM122" s="33"/>
      <c r="FN122" s="33"/>
      <c r="FO122" s="33"/>
      <c r="FP122" s="33"/>
      <c r="FQ122" s="33"/>
      <c r="FR122" s="33"/>
      <c r="FS122" s="33"/>
      <c r="FT122" s="33"/>
      <c r="FU122" s="33"/>
      <c r="FV122" s="33"/>
      <c r="FW122" s="33"/>
      <c r="FX122" s="33"/>
      <c r="FY122" s="33"/>
      <c r="FZ122" s="33"/>
      <c r="GA122" s="33"/>
      <c r="GB122" s="33"/>
      <c r="GC122" s="33"/>
      <c r="GD122" s="33"/>
      <c r="GE122" s="33"/>
      <c r="GF122" s="33"/>
      <c r="GG122" s="33"/>
      <c r="GH122" s="33"/>
      <c r="GI122" s="33"/>
      <c r="GJ122" s="33"/>
      <c r="GK122" s="33"/>
      <c r="GL122" s="33"/>
      <c r="GM122" s="33"/>
      <c r="GN122" s="33"/>
      <c r="GO122" s="33"/>
      <c r="GP122" s="33"/>
      <c r="GQ122" s="33"/>
      <c r="GR122" s="33"/>
      <c r="GS122" s="33"/>
      <c r="GT122" s="33"/>
      <c r="GU122" s="33"/>
      <c r="GV122" s="33"/>
      <c r="GW122" s="33"/>
      <c r="GX122" s="33"/>
      <c r="GY122" s="33"/>
      <c r="GZ122" s="33"/>
      <c r="HA122" s="33"/>
      <c r="HB122" s="33"/>
      <c r="HC122" s="33"/>
      <c r="HD122" s="33"/>
      <c r="HE122" s="33"/>
      <c r="HF122" s="33"/>
      <c r="HG122" s="33"/>
      <c r="HH122" s="33"/>
      <c r="HI122" s="33"/>
      <c r="HJ122" s="33"/>
      <c r="HK122" s="33"/>
      <c r="HL122" s="33"/>
      <c r="HM122" s="33"/>
      <c r="HN122" s="33"/>
      <c r="HO122" s="33"/>
      <c r="HP122" s="33"/>
      <c r="HQ122" s="33"/>
      <c r="HR122" s="33"/>
      <c r="HS122" s="33"/>
      <c r="HT122" s="33"/>
      <c r="HU122" s="33"/>
      <c r="HV122" s="33"/>
      <c r="HW122" s="33"/>
      <c r="HX122" s="33"/>
      <c r="HY122" s="33"/>
      <c r="HZ122" s="33"/>
      <c r="IA122" s="33"/>
      <c r="IB122" s="33"/>
      <c r="IC122" s="33"/>
      <c r="ID122" s="33"/>
      <c r="IE122" s="33"/>
      <c r="IF122" s="33"/>
      <c r="IG122" s="33"/>
      <c r="IH122" s="33"/>
      <c r="II122" s="33"/>
      <c r="IJ122" s="33"/>
      <c r="IK122" s="33"/>
      <c r="IL122" s="33"/>
      <c r="IM122" s="33"/>
      <c r="IN122" s="33"/>
      <c r="IO122" s="33"/>
      <c r="IP122" s="33"/>
      <c r="IQ122" s="33"/>
      <c r="IR122" s="33"/>
      <c r="IS122" s="33"/>
      <c r="IT122" s="33"/>
      <c r="IU122" s="33"/>
      <c r="IV122" s="33"/>
      <c r="IW122" s="33"/>
      <c r="IX122" s="33"/>
      <c r="IY122" s="33"/>
      <c r="IZ122" s="33"/>
      <c r="JA122" s="33"/>
      <c r="JB122" s="33"/>
      <c r="JC122" s="33"/>
      <c r="JD122" s="33"/>
      <c r="JE122" s="33"/>
      <c r="JF122" s="33"/>
      <c r="JG122" s="33"/>
      <c r="JH122" s="33"/>
      <c r="JI122" s="33"/>
      <c r="JJ122" s="33"/>
      <c r="JK122" s="33"/>
      <c r="JL122" s="33"/>
      <c r="JM122" s="33"/>
      <c r="JN122" s="33"/>
      <c r="JO122" s="33"/>
      <c r="JP122" s="33"/>
      <c r="JQ122" s="33"/>
      <c r="JR122" s="33"/>
      <c r="JS122" s="33"/>
      <c r="JT122" s="33"/>
      <c r="JU122" s="33"/>
      <c r="JV122" s="33"/>
      <c r="JW122" s="33"/>
      <c r="JX122" s="33"/>
      <c r="JY122" s="33"/>
      <c r="JZ122" s="33"/>
      <c r="KA122" s="33"/>
      <c r="KB122" s="33"/>
      <c r="KC122" s="33"/>
      <c r="KD122" s="33"/>
      <c r="KE122" s="33"/>
      <c r="KF122" s="33"/>
      <c r="KG122" s="33"/>
      <c r="KH122" s="33"/>
      <c r="KI122" s="33"/>
      <c r="KJ122" s="33"/>
      <c r="KK122" s="33"/>
      <c r="KL122" s="33"/>
      <c r="KM122" s="33"/>
      <c r="KN122" s="33"/>
      <c r="KO122" s="33"/>
      <c r="KP122" s="33"/>
      <c r="KQ122" s="33"/>
      <c r="KR122" s="33"/>
      <c r="KS122" s="33"/>
      <c r="KT122" s="33"/>
      <c r="KU122" s="33"/>
      <c r="KV122" s="33"/>
      <c r="KW122" s="33"/>
      <c r="KX122" s="33"/>
      <c r="KY122" s="33"/>
      <c r="KZ122" s="33"/>
      <c r="LA122" s="33"/>
      <c r="LB122" s="33"/>
      <c r="LC122" s="33"/>
      <c r="LD122" s="33"/>
      <c r="LE122" s="33"/>
      <c r="LF122" s="33"/>
      <c r="LG122" s="33"/>
      <c r="LH122" s="33"/>
      <c r="LI122" s="33"/>
      <c r="LJ122" s="33"/>
      <c r="LK122" s="33"/>
      <c r="LL122" s="33"/>
      <c r="LM122" s="33"/>
      <c r="LN122" s="33"/>
      <c r="LO122" s="33"/>
      <c r="LP122" s="33"/>
      <c r="LQ122" s="33"/>
      <c r="LR122" s="33"/>
      <c r="LS122" s="33"/>
      <c r="LT122" s="33"/>
      <c r="LU122" s="33"/>
      <c r="LV122" s="33"/>
      <c r="LW122" s="33"/>
      <c r="LX122" s="33"/>
      <c r="LY122" s="33"/>
      <c r="LZ122" s="33"/>
      <c r="MA122" s="33"/>
      <c r="MB122" s="33"/>
      <c r="MC122" s="33"/>
      <c r="MD122" s="33"/>
      <c r="ME122" s="33"/>
      <c r="MF122" s="33"/>
      <c r="MG122" s="33"/>
      <c r="MH122" s="33"/>
      <c r="MI122" s="33"/>
      <c r="MJ122" s="33"/>
      <c r="MK122" s="33"/>
      <c r="ML122" s="33"/>
      <c r="MM122" s="33"/>
      <c r="MN122" s="33"/>
      <c r="MO122" s="33"/>
      <c r="MP122" s="33"/>
      <c r="MQ122" s="33"/>
      <c r="MR122" s="33"/>
      <c r="MS122" s="33"/>
      <c r="MT122" s="33"/>
      <c r="MU122" s="33"/>
      <c r="MV122" s="33"/>
      <c r="MW122" s="33"/>
      <c r="MX122" s="33"/>
      <c r="MY122" s="33"/>
      <c r="MZ122" s="33"/>
      <c r="NA122" s="33"/>
      <c r="NB122" s="33"/>
      <c r="NC122" s="33"/>
      <c r="ND122" s="33"/>
      <c r="NE122" s="33"/>
      <c r="NF122" s="33"/>
      <c r="NG122" s="33"/>
      <c r="NH122" s="33"/>
      <c r="NI122" s="33"/>
      <c r="NJ122" s="33"/>
      <c r="NK122" s="33"/>
      <c r="NL122" s="33"/>
      <c r="NM122" s="33"/>
      <c r="NN122" s="33"/>
      <c r="NO122" s="33"/>
      <c r="NP122" s="33"/>
      <c r="NQ122" s="33"/>
      <c r="NR122" s="33"/>
      <c r="NS122" s="33"/>
      <c r="NT122" s="33"/>
      <c r="NU122" s="33"/>
      <c r="NV122" s="33"/>
      <c r="NW122" s="33"/>
      <c r="NX122" s="33"/>
      <c r="NY122" s="33"/>
      <c r="NZ122" s="33"/>
      <c r="OA122" s="33"/>
      <c r="OB122" s="33"/>
      <c r="OC122" s="33"/>
      <c r="OD122" s="33"/>
      <c r="OE122" s="33"/>
      <c r="OF122" s="33"/>
      <c r="OG122" s="33"/>
      <c r="OH122" s="33"/>
      <c r="OI122" s="33"/>
      <c r="OJ122" s="33"/>
      <c r="OK122" s="33"/>
      <c r="OL122" s="33"/>
      <c r="OM122" s="33"/>
      <c r="ON122" s="33"/>
      <c r="OO122" s="33"/>
      <c r="OP122" s="33"/>
      <c r="OQ122" s="33"/>
      <c r="OR122" s="33"/>
      <c r="OS122" s="33"/>
      <c r="OT122" s="33"/>
      <c r="OU122" s="33"/>
      <c r="OV122" s="33"/>
      <c r="OW122" s="33"/>
      <c r="OX122" s="33"/>
      <c r="OY122" s="33"/>
      <c r="OZ122" s="33"/>
      <c r="PA122" s="33"/>
      <c r="PB122" s="33"/>
      <c r="PC122" s="33"/>
      <c r="PD122" s="33"/>
      <c r="PE122" s="33"/>
      <c r="PF122" s="33"/>
      <c r="PG122" s="33"/>
      <c r="PH122" s="33"/>
      <c r="PI122" s="33"/>
      <c r="PJ122" s="33"/>
      <c r="PK122" s="33"/>
      <c r="PL122" s="33"/>
      <c r="PM122" s="33"/>
      <c r="PN122" s="33"/>
      <c r="PO122" s="33"/>
      <c r="PP122" s="33"/>
      <c r="PQ122" s="33"/>
      <c r="PR122" s="33"/>
      <c r="PS122" s="33"/>
      <c r="PT122" s="33"/>
      <c r="PU122" s="33"/>
      <c r="PV122" s="33"/>
      <c r="PW122" s="33"/>
      <c r="PX122" s="33"/>
      <c r="PY122" s="33"/>
      <c r="PZ122" s="33"/>
      <c r="QA122" s="33"/>
      <c r="QB122" s="33"/>
      <c r="QC122" s="33"/>
      <c r="QD122" s="33"/>
      <c r="QE122" s="33"/>
      <c r="QF122" s="33"/>
      <c r="QG122" s="33"/>
      <c r="QH122" s="33"/>
      <c r="QI122" s="33"/>
      <c r="QJ122" s="33"/>
      <c r="QK122" s="33"/>
      <c r="QL122" s="33"/>
      <c r="QM122" s="33"/>
      <c r="QN122" s="33"/>
      <c r="QO122" s="33"/>
      <c r="QP122" s="33"/>
      <c r="QQ122" s="33"/>
      <c r="QR122" s="33"/>
      <c r="QS122" s="33"/>
      <c r="QT122" s="33"/>
      <c r="QU122" s="33"/>
      <c r="QV122" s="33"/>
      <c r="QW122" s="33"/>
      <c r="QX122" s="33"/>
      <c r="QY122" s="33"/>
      <c r="QZ122" s="33"/>
      <c r="RA122" s="33"/>
      <c r="RB122" s="33"/>
      <c r="RC122" s="33"/>
      <c r="RD122" s="33"/>
      <c r="RE122" s="33"/>
      <c r="RF122" s="33"/>
      <c r="RG122" s="33"/>
      <c r="RH122" s="33"/>
      <c r="RI122" s="33"/>
      <c r="RJ122" s="33"/>
      <c r="RK122" s="33"/>
      <c r="RL122" s="33"/>
      <c r="RM122" s="33"/>
      <c r="RN122" s="33"/>
      <c r="RO122" s="33"/>
      <c r="RP122" s="33"/>
      <c r="RQ122" s="33"/>
      <c r="RR122" s="33"/>
      <c r="RS122" s="33"/>
      <c r="RT122" s="33"/>
      <c r="RU122" s="33"/>
      <c r="RV122" s="33"/>
      <c r="RW122" s="33"/>
      <c r="RX122" s="33"/>
      <c r="RY122" s="33"/>
      <c r="RZ122" s="33"/>
      <c r="SA122" s="33"/>
      <c r="SB122" s="33"/>
      <c r="SC122" s="33"/>
      <c r="SD122" s="33"/>
      <c r="SE122" s="33"/>
      <c r="SF122" s="33"/>
      <c r="SG122" s="33"/>
      <c r="SH122" s="33"/>
      <c r="SI122" s="33"/>
      <c r="SJ122" s="33"/>
      <c r="SK122" s="33"/>
      <c r="SL122" s="33"/>
      <c r="SM122" s="33"/>
      <c r="SN122" s="33"/>
      <c r="SO122" s="33"/>
      <c r="SP122" s="33"/>
      <c r="SQ122" s="33"/>
      <c r="SR122" s="33"/>
      <c r="SS122" s="33"/>
      <c r="ST122" s="33"/>
      <c r="SU122" s="33"/>
      <c r="SV122" s="33"/>
      <c r="SW122" s="33"/>
      <c r="SX122" s="33"/>
      <c r="SY122" s="33"/>
      <c r="SZ122" s="33"/>
      <c r="TA122" s="33"/>
      <c r="TB122" s="33"/>
      <c r="TC122" s="33"/>
      <c r="TD122" s="33"/>
      <c r="TE122" s="33"/>
      <c r="TF122" s="33"/>
      <c r="TG122" s="33"/>
    </row>
    <row r="123" spans="1:527" s="34" customFormat="1" ht="31.5" hidden="1" customHeight="1" x14ac:dyDescent="0.25">
      <c r="A123" s="100"/>
      <c r="B123" s="113"/>
      <c r="C123" s="113"/>
      <c r="D123" s="81" t="s">
        <v>392</v>
      </c>
      <c r="E123" s="102">
        <f>E132+E137+E139</f>
        <v>0</v>
      </c>
      <c r="F123" s="102">
        <f t="shared" ref="F123:P123" si="45">F132+F137+F139</f>
        <v>0</v>
      </c>
      <c r="G123" s="102">
        <f t="shared" si="45"/>
        <v>0</v>
      </c>
      <c r="H123" s="102">
        <f t="shared" si="45"/>
        <v>0</v>
      </c>
      <c r="I123" s="102">
        <f t="shared" si="45"/>
        <v>0</v>
      </c>
      <c r="J123" s="102">
        <f t="shared" si="45"/>
        <v>0</v>
      </c>
      <c r="K123" s="102">
        <f t="shared" si="45"/>
        <v>0</v>
      </c>
      <c r="L123" s="102">
        <f t="shared" si="45"/>
        <v>0</v>
      </c>
      <c r="M123" s="102">
        <f t="shared" si="45"/>
        <v>0</v>
      </c>
      <c r="N123" s="102">
        <f t="shared" si="45"/>
        <v>0</v>
      </c>
      <c r="O123" s="102">
        <f t="shared" si="45"/>
        <v>0</v>
      </c>
      <c r="P123" s="102">
        <f t="shared" si="45"/>
        <v>0</v>
      </c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  <c r="IB123" s="33"/>
      <c r="IC123" s="33"/>
      <c r="ID123" s="33"/>
      <c r="IE123" s="33"/>
      <c r="IF123" s="33"/>
      <c r="IG123" s="33"/>
      <c r="IH123" s="33"/>
      <c r="II123" s="33"/>
      <c r="IJ123" s="33"/>
      <c r="IK123" s="33"/>
      <c r="IL123" s="33"/>
      <c r="IM123" s="33"/>
      <c r="IN123" s="33"/>
      <c r="IO123" s="33"/>
      <c r="IP123" s="33"/>
      <c r="IQ123" s="33"/>
      <c r="IR123" s="33"/>
      <c r="IS123" s="33"/>
      <c r="IT123" s="33"/>
      <c r="IU123" s="33"/>
      <c r="IV123" s="33"/>
      <c r="IW123" s="33"/>
      <c r="IX123" s="33"/>
      <c r="IY123" s="33"/>
      <c r="IZ123" s="33"/>
      <c r="JA123" s="33"/>
      <c r="JB123" s="33"/>
      <c r="JC123" s="33"/>
      <c r="JD123" s="33"/>
      <c r="JE123" s="33"/>
      <c r="JF123" s="33"/>
      <c r="JG123" s="33"/>
      <c r="JH123" s="33"/>
      <c r="JI123" s="33"/>
      <c r="JJ123" s="33"/>
      <c r="JK123" s="33"/>
      <c r="JL123" s="33"/>
      <c r="JM123" s="33"/>
      <c r="JN123" s="33"/>
      <c r="JO123" s="33"/>
      <c r="JP123" s="33"/>
      <c r="JQ123" s="33"/>
      <c r="JR123" s="33"/>
      <c r="JS123" s="33"/>
      <c r="JT123" s="33"/>
      <c r="JU123" s="33"/>
      <c r="JV123" s="33"/>
      <c r="JW123" s="33"/>
      <c r="JX123" s="33"/>
      <c r="JY123" s="33"/>
      <c r="JZ123" s="33"/>
      <c r="KA123" s="33"/>
      <c r="KB123" s="33"/>
      <c r="KC123" s="33"/>
      <c r="KD123" s="33"/>
      <c r="KE123" s="33"/>
      <c r="KF123" s="33"/>
      <c r="KG123" s="33"/>
      <c r="KH123" s="33"/>
      <c r="KI123" s="33"/>
      <c r="KJ123" s="33"/>
      <c r="KK123" s="33"/>
      <c r="KL123" s="33"/>
      <c r="KM123" s="33"/>
      <c r="KN123" s="33"/>
      <c r="KO123" s="33"/>
      <c r="KP123" s="33"/>
      <c r="KQ123" s="33"/>
      <c r="KR123" s="33"/>
      <c r="KS123" s="33"/>
      <c r="KT123" s="33"/>
      <c r="KU123" s="33"/>
      <c r="KV123" s="33"/>
      <c r="KW123" s="33"/>
      <c r="KX123" s="33"/>
      <c r="KY123" s="33"/>
      <c r="KZ123" s="33"/>
      <c r="LA123" s="33"/>
      <c r="LB123" s="33"/>
      <c r="LC123" s="33"/>
      <c r="LD123" s="33"/>
      <c r="LE123" s="33"/>
      <c r="LF123" s="33"/>
      <c r="LG123" s="33"/>
      <c r="LH123" s="33"/>
      <c r="LI123" s="33"/>
      <c r="LJ123" s="33"/>
      <c r="LK123" s="33"/>
      <c r="LL123" s="33"/>
      <c r="LM123" s="33"/>
      <c r="LN123" s="33"/>
      <c r="LO123" s="33"/>
      <c r="LP123" s="33"/>
      <c r="LQ123" s="33"/>
      <c r="LR123" s="33"/>
      <c r="LS123" s="33"/>
      <c r="LT123" s="33"/>
      <c r="LU123" s="33"/>
      <c r="LV123" s="33"/>
      <c r="LW123" s="33"/>
      <c r="LX123" s="33"/>
      <c r="LY123" s="33"/>
      <c r="LZ123" s="33"/>
      <c r="MA123" s="33"/>
      <c r="MB123" s="33"/>
      <c r="MC123" s="33"/>
      <c r="MD123" s="33"/>
      <c r="ME123" s="33"/>
      <c r="MF123" s="33"/>
      <c r="MG123" s="33"/>
      <c r="MH123" s="33"/>
      <c r="MI123" s="33"/>
      <c r="MJ123" s="33"/>
      <c r="MK123" s="33"/>
      <c r="ML123" s="33"/>
      <c r="MM123" s="33"/>
      <c r="MN123" s="33"/>
      <c r="MO123" s="33"/>
      <c r="MP123" s="33"/>
      <c r="MQ123" s="33"/>
      <c r="MR123" s="33"/>
      <c r="MS123" s="33"/>
      <c r="MT123" s="33"/>
      <c r="MU123" s="33"/>
      <c r="MV123" s="33"/>
      <c r="MW123" s="33"/>
      <c r="MX123" s="33"/>
      <c r="MY123" s="33"/>
      <c r="MZ123" s="33"/>
      <c r="NA123" s="33"/>
      <c r="NB123" s="33"/>
      <c r="NC123" s="33"/>
      <c r="ND123" s="33"/>
      <c r="NE123" s="33"/>
      <c r="NF123" s="33"/>
      <c r="NG123" s="33"/>
      <c r="NH123" s="33"/>
      <c r="NI123" s="33"/>
      <c r="NJ123" s="33"/>
      <c r="NK123" s="33"/>
      <c r="NL123" s="33"/>
      <c r="NM123" s="33"/>
      <c r="NN123" s="33"/>
      <c r="NO123" s="33"/>
      <c r="NP123" s="33"/>
      <c r="NQ123" s="33"/>
      <c r="NR123" s="33"/>
      <c r="NS123" s="33"/>
      <c r="NT123" s="33"/>
      <c r="NU123" s="33"/>
      <c r="NV123" s="33"/>
      <c r="NW123" s="33"/>
      <c r="NX123" s="33"/>
      <c r="NY123" s="33"/>
      <c r="NZ123" s="33"/>
      <c r="OA123" s="33"/>
      <c r="OB123" s="33"/>
      <c r="OC123" s="33"/>
      <c r="OD123" s="33"/>
      <c r="OE123" s="33"/>
      <c r="OF123" s="33"/>
      <c r="OG123" s="33"/>
      <c r="OH123" s="33"/>
      <c r="OI123" s="33"/>
      <c r="OJ123" s="33"/>
      <c r="OK123" s="33"/>
      <c r="OL123" s="33"/>
      <c r="OM123" s="33"/>
      <c r="ON123" s="33"/>
      <c r="OO123" s="33"/>
      <c r="OP123" s="33"/>
      <c r="OQ123" s="33"/>
      <c r="OR123" s="33"/>
      <c r="OS123" s="33"/>
      <c r="OT123" s="33"/>
      <c r="OU123" s="33"/>
      <c r="OV123" s="33"/>
      <c r="OW123" s="33"/>
      <c r="OX123" s="33"/>
      <c r="OY123" s="33"/>
      <c r="OZ123" s="33"/>
      <c r="PA123" s="33"/>
      <c r="PB123" s="33"/>
      <c r="PC123" s="33"/>
      <c r="PD123" s="33"/>
      <c r="PE123" s="33"/>
      <c r="PF123" s="33"/>
      <c r="PG123" s="33"/>
      <c r="PH123" s="33"/>
      <c r="PI123" s="33"/>
      <c r="PJ123" s="33"/>
      <c r="PK123" s="33"/>
      <c r="PL123" s="33"/>
      <c r="PM123" s="33"/>
      <c r="PN123" s="33"/>
      <c r="PO123" s="33"/>
      <c r="PP123" s="33"/>
      <c r="PQ123" s="33"/>
      <c r="PR123" s="33"/>
      <c r="PS123" s="33"/>
      <c r="PT123" s="33"/>
      <c r="PU123" s="33"/>
      <c r="PV123" s="33"/>
      <c r="PW123" s="33"/>
      <c r="PX123" s="33"/>
      <c r="PY123" s="33"/>
      <c r="PZ123" s="33"/>
      <c r="QA123" s="33"/>
      <c r="QB123" s="33"/>
      <c r="QC123" s="33"/>
      <c r="QD123" s="33"/>
      <c r="QE123" s="33"/>
      <c r="QF123" s="33"/>
      <c r="QG123" s="33"/>
      <c r="QH123" s="33"/>
      <c r="QI123" s="33"/>
      <c r="QJ123" s="33"/>
      <c r="QK123" s="33"/>
      <c r="QL123" s="33"/>
      <c r="QM123" s="33"/>
      <c r="QN123" s="33"/>
      <c r="QO123" s="33"/>
      <c r="QP123" s="33"/>
      <c r="QQ123" s="33"/>
      <c r="QR123" s="33"/>
      <c r="QS123" s="33"/>
      <c r="QT123" s="33"/>
      <c r="QU123" s="33"/>
      <c r="QV123" s="33"/>
      <c r="QW123" s="33"/>
      <c r="QX123" s="33"/>
      <c r="QY123" s="33"/>
      <c r="QZ123" s="33"/>
      <c r="RA123" s="33"/>
      <c r="RB123" s="33"/>
      <c r="RC123" s="33"/>
      <c r="RD123" s="33"/>
      <c r="RE123" s="33"/>
      <c r="RF123" s="33"/>
      <c r="RG123" s="33"/>
      <c r="RH123" s="33"/>
      <c r="RI123" s="33"/>
      <c r="RJ123" s="33"/>
      <c r="RK123" s="33"/>
      <c r="RL123" s="33"/>
      <c r="RM123" s="33"/>
      <c r="RN123" s="33"/>
      <c r="RO123" s="33"/>
      <c r="RP123" s="33"/>
      <c r="RQ123" s="33"/>
      <c r="RR123" s="33"/>
      <c r="RS123" s="33"/>
      <c r="RT123" s="33"/>
      <c r="RU123" s="33"/>
      <c r="RV123" s="33"/>
      <c r="RW123" s="33"/>
      <c r="RX123" s="33"/>
      <c r="RY123" s="33"/>
      <c r="RZ123" s="33"/>
      <c r="SA123" s="33"/>
      <c r="SB123" s="33"/>
      <c r="SC123" s="33"/>
      <c r="SD123" s="33"/>
      <c r="SE123" s="33"/>
      <c r="SF123" s="33"/>
      <c r="SG123" s="33"/>
      <c r="SH123" s="33"/>
      <c r="SI123" s="33"/>
      <c r="SJ123" s="33"/>
      <c r="SK123" s="33"/>
      <c r="SL123" s="33"/>
      <c r="SM123" s="33"/>
      <c r="SN123" s="33"/>
      <c r="SO123" s="33"/>
      <c r="SP123" s="33"/>
      <c r="SQ123" s="33"/>
      <c r="SR123" s="33"/>
      <c r="SS123" s="33"/>
      <c r="ST123" s="33"/>
      <c r="SU123" s="33"/>
      <c r="SV123" s="33"/>
      <c r="SW123" s="33"/>
      <c r="SX123" s="33"/>
      <c r="SY123" s="33"/>
      <c r="SZ123" s="33"/>
      <c r="TA123" s="33"/>
      <c r="TB123" s="33"/>
      <c r="TC123" s="33"/>
      <c r="TD123" s="33"/>
      <c r="TE123" s="33"/>
      <c r="TF123" s="33"/>
      <c r="TG123" s="33"/>
    </row>
    <row r="124" spans="1:527" s="34" customFormat="1" ht="63" hidden="1" customHeight="1" x14ac:dyDescent="0.25">
      <c r="A124" s="100"/>
      <c r="B124" s="113"/>
      <c r="C124" s="113"/>
      <c r="D124" s="81" t="s">
        <v>390</v>
      </c>
      <c r="E124" s="102">
        <f>E150</f>
        <v>0</v>
      </c>
      <c r="F124" s="102">
        <f>F150</f>
        <v>0</v>
      </c>
      <c r="G124" s="102">
        <f t="shared" ref="G124:I124" si="46">G150</f>
        <v>0</v>
      </c>
      <c r="H124" s="102">
        <f t="shared" si="46"/>
        <v>0</v>
      </c>
      <c r="I124" s="102">
        <f t="shared" si="46"/>
        <v>0</v>
      </c>
      <c r="J124" s="102">
        <f>J150</f>
        <v>156000</v>
      </c>
      <c r="K124" s="102">
        <f t="shared" ref="K124:P124" si="47">K150</f>
        <v>156000</v>
      </c>
      <c r="L124" s="102">
        <f t="shared" si="47"/>
        <v>0</v>
      </c>
      <c r="M124" s="102">
        <f t="shared" si="47"/>
        <v>0</v>
      </c>
      <c r="N124" s="102">
        <f t="shared" si="47"/>
        <v>0</v>
      </c>
      <c r="O124" s="102">
        <f t="shared" si="47"/>
        <v>156000</v>
      </c>
      <c r="P124" s="102">
        <f t="shared" si="47"/>
        <v>156000</v>
      </c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  <c r="GO124" s="33"/>
      <c r="GP124" s="33"/>
      <c r="GQ124" s="33"/>
      <c r="GR124" s="33"/>
      <c r="GS124" s="33"/>
      <c r="GT124" s="33"/>
      <c r="GU124" s="33"/>
      <c r="GV124" s="33"/>
      <c r="GW124" s="33"/>
      <c r="GX124" s="33"/>
      <c r="GY124" s="33"/>
      <c r="GZ124" s="33"/>
      <c r="HA124" s="33"/>
      <c r="HB124" s="33"/>
      <c r="HC124" s="33"/>
      <c r="HD124" s="33"/>
      <c r="HE124" s="33"/>
      <c r="HF124" s="33"/>
      <c r="HG124" s="33"/>
      <c r="HH124" s="33"/>
      <c r="HI124" s="33"/>
      <c r="HJ124" s="33"/>
      <c r="HK124" s="33"/>
      <c r="HL124" s="33"/>
      <c r="HM124" s="33"/>
      <c r="HN124" s="33"/>
      <c r="HO124" s="33"/>
      <c r="HP124" s="33"/>
      <c r="HQ124" s="33"/>
      <c r="HR124" s="33"/>
      <c r="HS124" s="33"/>
      <c r="HT124" s="33"/>
      <c r="HU124" s="33"/>
      <c r="HV124" s="33"/>
      <c r="HW124" s="33"/>
      <c r="HX124" s="33"/>
      <c r="HY124" s="33"/>
      <c r="HZ124" s="33"/>
      <c r="IA124" s="33"/>
      <c r="IB124" s="33"/>
      <c r="IC124" s="33"/>
      <c r="ID124" s="33"/>
      <c r="IE124" s="33"/>
      <c r="IF124" s="33"/>
      <c r="IG124" s="33"/>
      <c r="IH124" s="33"/>
      <c r="II124" s="33"/>
      <c r="IJ124" s="33"/>
      <c r="IK124" s="33"/>
      <c r="IL124" s="33"/>
      <c r="IM124" s="33"/>
      <c r="IN124" s="33"/>
      <c r="IO124" s="33"/>
      <c r="IP124" s="33"/>
      <c r="IQ124" s="33"/>
      <c r="IR124" s="33"/>
      <c r="IS124" s="33"/>
      <c r="IT124" s="33"/>
      <c r="IU124" s="33"/>
      <c r="IV124" s="33"/>
      <c r="IW124" s="33"/>
      <c r="IX124" s="33"/>
      <c r="IY124" s="33"/>
      <c r="IZ124" s="33"/>
      <c r="JA124" s="33"/>
      <c r="JB124" s="33"/>
      <c r="JC124" s="33"/>
      <c r="JD124" s="33"/>
      <c r="JE124" s="33"/>
      <c r="JF124" s="33"/>
      <c r="JG124" s="33"/>
      <c r="JH124" s="33"/>
      <c r="JI124" s="33"/>
      <c r="JJ124" s="33"/>
      <c r="JK124" s="33"/>
      <c r="JL124" s="33"/>
      <c r="JM124" s="33"/>
      <c r="JN124" s="33"/>
      <c r="JO124" s="33"/>
      <c r="JP124" s="33"/>
      <c r="JQ124" s="33"/>
      <c r="JR124" s="33"/>
      <c r="JS124" s="33"/>
      <c r="JT124" s="33"/>
      <c r="JU124" s="33"/>
      <c r="JV124" s="33"/>
      <c r="JW124" s="33"/>
      <c r="JX124" s="33"/>
      <c r="JY124" s="33"/>
      <c r="JZ124" s="33"/>
      <c r="KA124" s="33"/>
      <c r="KB124" s="33"/>
      <c r="KC124" s="33"/>
      <c r="KD124" s="33"/>
      <c r="KE124" s="33"/>
      <c r="KF124" s="33"/>
      <c r="KG124" s="33"/>
      <c r="KH124" s="33"/>
      <c r="KI124" s="33"/>
      <c r="KJ124" s="33"/>
      <c r="KK124" s="33"/>
      <c r="KL124" s="33"/>
      <c r="KM124" s="33"/>
      <c r="KN124" s="33"/>
      <c r="KO124" s="33"/>
      <c r="KP124" s="33"/>
      <c r="KQ124" s="33"/>
      <c r="KR124" s="33"/>
      <c r="KS124" s="33"/>
      <c r="KT124" s="33"/>
      <c r="KU124" s="33"/>
      <c r="KV124" s="33"/>
      <c r="KW124" s="33"/>
      <c r="KX124" s="33"/>
      <c r="KY124" s="33"/>
      <c r="KZ124" s="33"/>
      <c r="LA124" s="33"/>
      <c r="LB124" s="33"/>
      <c r="LC124" s="33"/>
      <c r="LD124" s="33"/>
      <c r="LE124" s="33"/>
      <c r="LF124" s="33"/>
      <c r="LG124" s="33"/>
      <c r="LH124" s="33"/>
      <c r="LI124" s="33"/>
      <c r="LJ124" s="33"/>
      <c r="LK124" s="33"/>
      <c r="LL124" s="33"/>
      <c r="LM124" s="33"/>
      <c r="LN124" s="33"/>
      <c r="LO124" s="33"/>
      <c r="LP124" s="33"/>
      <c r="LQ124" s="33"/>
      <c r="LR124" s="33"/>
      <c r="LS124" s="33"/>
      <c r="LT124" s="33"/>
      <c r="LU124" s="33"/>
      <c r="LV124" s="33"/>
      <c r="LW124" s="33"/>
      <c r="LX124" s="33"/>
      <c r="LY124" s="33"/>
      <c r="LZ124" s="33"/>
      <c r="MA124" s="33"/>
      <c r="MB124" s="33"/>
      <c r="MC124" s="33"/>
      <c r="MD124" s="33"/>
      <c r="ME124" s="33"/>
      <c r="MF124" s="33"/>
      <c r="MG124" s="33"/>
      <c r="MH124" s="33"/>
      <c r="MI124" s="33"/>
      <c r="MJ124" s="33"/>
      <c r="MK124" s="33"/>
      <c r="ML124" s="33"/>
      <c r="MM124" s="33"/>
      <c r="MN124" s="33"/>
      <c r="MO124" s="33"/>
      <c r="MP124" s="33"/>
      <c r="MQ124" s="33"/>
      <c r="MR124" s="33"/>
      <c r="MS124" s="33"/>
      <c r="MT124" s="33"/>
      <c r="MU124" s="33"/>
      <c r="MV124" s="33"/>
      <c r="MW124" s="33"/>
      <c r="MX124" s="33"/>
      <c r="MY124" s="33"/>
      <c r="MZ124" s="33"/>
      <c r="NA124" s="33"/>
      <c r="NB124" s="33"/>
      <c r="NC124" s="33"/>
      <c r="ND124" s="33"/>
      <c r="NE124" s="33"/>
      <c r="NF124" s="33"/>
      <c r="NG124" s="33"/>
      <c r="NH124" s="33"/>
      <c r="NI124" s="33"/>
      <c r="NJ124" s="33"/>
      <c r="NK124" s="33"/>
      <c r="NL124" s="33"/>
      <c r="NM124" s="33"/>
      <c r="NN124" s="33"/>
      <c r="NO124" s="33"/>
      <c r="NP124" s="33"/>
      <c r="NQ124" s="33"/>
      <c r="NR124" s="33"/>
      <c r="NS124" s="33"/>
      <c r="NT124" s="33"/>
      <c r="NU124" s="33"/>
      <c r="NV124" s="33"/>
      <c r="NW124" s="33"/>
      <c r="NX124" s="33"/>
      <c r="NY124" s="33"/>
      <c r="NZ124" s="33"/>
      <c r="OA124" s="33"/>
      <c r="OB124" s="33"/>
      <c r="OC124" s="33"/>
      <c r="OD124" s="33"/>
      <c r="OE124" s="33"/>
      <c r="OF124" s="33"/>
      <c r="OG124" s="33"/>
      <c r="OH124" s="33"/>
      <c r="OI124" s="33"/>
      <c r="OJ124" s="33"/>
      <c r="OK124" s="33"/>
      <c r="OL124" s="33"/>
      <c r="OM124" s="33"/>
      <c r="ON124" s="33"/>
      <c r="OO124" s="33"/>
      <c r="OP124" s="33"/>
      <c r="OQ124" s="33"/>
      <c r="OR124" s="33"/>
      <c r="OS124" s="33"/>
      <c r="OT124" s="33"/>
      <c r="OU124" s="33"/>
      <c r="OV124" s="33"/>
      <c r="OW124" s="33"/>
      <c r="OX124" s="33"/>
      <c r="OY124" s="33"/>
      <c r="OZ124" s="33"/>
      <c r="PA124" s="33"/>
      <c r="PB124" s="33"/>
      <c r="PC124" s="33"/>
      <c r="PD124" s="33"/>
      <c r="PE124" s="33"/>
      <c r="PF124" s="33"/>
      <c r="PG124" s="33"/>
      <c r="PH124" s="33"/>
      <c r="PI124" s="33"/>
      <c r="PJ124" s="33"/>
      <c r="PK124" s="33"/>
      <c r="PL124" s="33"/>
      <c r="PM124" s="33"/>
      <c r="PN124" s="33"/>
      <c r="PO124" s="33"/>
      <c r="PP124" s="33"/>
      <c r="PQ124" s="33"/>
      <c r="PR124" s="33"/>
      <c r="PS124" s="33"/>
      <c r="PT124" s="33"/>
      <c r="PU124" s="33"/>
      <c r="PV124" s="33"/>
      <c r="PW124" s="33"/>
      <c r="PX124" s="33"/>
      <c r="PY124" s="33"/>
      <c r="PZ124" s="33"/>
      <c r="QA124" s="33"/>
      <c r="QB124" s="33"/>
      <c r="QC124" s="33"/>
      <c r="QD124" s="33"/>
      <c r="QE124" s="33"/>
      <c r="QF124" s="33"/>
      <c r="QG124" s="33"/>
      <c r="QH124" s="33"/>
      <c r="QI124" s="33"/>
      <c r="QJ124" s="33"/>
      <c r="QK124" s="33"/>
      <c r="QL124" s="33"/>
      <c r="QM124" s="33"/>
      <c r="QN124" s="33"/>
      <c r="QO124" s="33"/>
      <c r="QP124" s="33"/>
      <c r="QQ124" s="33"/>
      <c r="QR124" s="33"/>
      <c r="QS124" s="33"/>
      <c r="QT124" s="33"/>
      <c r="QU124" s="33"/>
      <c r="QV124" s="33"/>
      <c r="QW124" s="33"/>
      <c r="QX124" s="33"/>
      <c r="QY124" s="33"/>
      <c r="QZ124" s="33"/>
      <c r="RA124" s="33"/>
      <c r="RB124" s="33"/>
      <c r="RC124" s="33"/>
      <c r="RD124" s="33"/>
      <c r="RE124" s="33"/>
      <c r="RF124" s="33"/>
      <c r="RG124" s="33"/>
      <c r="RH124" s="33"/>
      <c r="RI124" s="33"/>
      <c r="RJ124" s="33"/>
      <c r="RK124" s="33"/>
      <c r="RL124" s="33"/>
      <c r="RM124" s="33"/>
      <c r="RN124" s="33"/>
      <c r="RO124" s="33"/>
      <c r="RP124" s="33"/>
      <c r="RQ124" s="33"/>
      <c r="RR124" s="33"/>
      <c r="RS124" s="33"/>
      <c r="RT124" s="33"/>
      <c r="RU124" s="33"/>
      <c r="RV124" s="33"/>
      <c r="RW124" s="33"/>
      <c r="RX124" s="33"/>
      <c r="RY124" s="33"/>
      <c r="RZ124" s="33"/>
      <c r="SA124" s="33"/>
      <c r="SB124" s="33"/>
      <c r="SC124" s="33"/>
      <c r="SD124" s="33"/>
      <c r="SE124" s="33"/>
      <c r="SF124" s="33"/>
      <c r="SG124" s="33"/>
      <c r="SH124" s="33"/>
      <c r="SI124" s="33"/>
      <c r="SJ124" s="33"/>
      <c r="SK124" s="33"/>
      <c r="SL124" s="33"/>
      <c r="SM124" s="33"/>
      <c r="SN124" s="33"/>
      <c r="SO124" s="33"/>
      <c r="SP124" s="33"/>
      <c r="SQ124" s="33"/>
      <c r="SR124" s="33"/>
      <c r="SS124" s="33"/>
      <c r="ST124" s="33"/>
      <c r="SU124" s="33"/>
      <c r="SV124" s="33"/>
      <c r="SW124" s="33"/>
      <c r="SX124" s="33"/>
      <c r="SY124" s="33"/>
      <c r="SZ124" s="33"/>
      <c r="TA124" s="33"/>
      <c r="TB124" s="33"/>
      <c r="TC124" s="33"/>
      <c r="TD124" s="33"/>
      <c r="TE124" s="33"/>
      <c r="TF124" s="33"/>
      <c r="TG124" s="33"/>
    </row>
    <row r="125" spans="1:527" s="34" customFormat="1" ht="47.25" hidden="1" customHeight="1" x14ac:dyDescent="0.25">
      <c r="A125" s="100"/>
      <c r="B125" s="113"/>
      <c r="C125" s="113"/>
      <c r="D125" s="81" t="s">
        <v>393</v>
      </c>
      <c r="E125" s="102">
        <f>E133+E143</f>
        <v>0</v>
      </c>
      <c r="F125" s="102">
        <f t="shared" ref="F125:P125" si="48">F133+F143</f>
        <v>0</v>
      </c>
      <c r="G125" s="102">
        <f t="shared" si="48"/>
        <v>0</v>
      </c>
      <c r="H125" s="102">
        <f t="shared" si="48"/>
        <v>0</v>
      </c>
      <c r="I125" s="102">
        <f t="shared" si="48"/>
        <v>0</v>
      </c>
      <c r="J125" s="102">
        <f t="shared" si="48"/>
        <v>0</v>
      </c>
      <c r="K125" s="102">
        <f t="shared" si="48"/>
        <v>0</v>
      </c>
      <c r="L125" s="102">
        <f t="shared" si="48"/>
        <v>0</v>
      </c>
      <c r="M125" s="102">
        <f t="shared" si="48"/>
        <v>0</v>
      </c>
      <c r="N125" s="102">
        <f t="shared" si="48"/>
        <v>0</v>
      </c>
      <c r="O125" s="102">
        <f t="shared" si="48"/>
        <v>0</v>
      </c>
      <c r="P125" s="102">
        <f t="shared" si="48"/>
        <v>0</v>
      </c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</row>
    <row r="126" spans="1:527" s="34" customFormat="1" ht="15.75" hidden="1" customHeight="1" x14ac:dyDescent="0.25">
      <c r="A126" s="100"/>
      <c r="B126" s="113"/>
      <c r="C126" s="113"/>
      <c r="D126" s="81" t="s">
        <v>395</v>
      </c>
      <c r="E126" s="102">
        <f>E134</f>
        <v>0</v>
      </c>
      <c r="F126" s="102">
        <f t="shared" ref="F126:P126" si="49">F134</f>
        <v>0</v>
      </c>
      <c r="G126" s="102">
        <f t="shared" si="49"/>
        <v>0</v>
      </c>
      <c r="H126" s="102">
        <f t="shared" si="49"/>
        <v>0</v>
      </c>
      <c r="I126" s="102">
        <f t="shared" si="49"/>
        <v>0</v>
      </c>
      <c r="J126" s="102">
        <f t="shared" si="49"/>
        <v>0</v>
      </c>
      <c r="K126" s="102">
        <f t="shared" si="49"/>
        <v>0</v>
      </c>
      <c r="L126" s="102">
        <f t="shared" si="49"/>
        <v>0</v>
      </c>
      <c r="M126" s="102">
        <f t="shared" si="49"/>
        <v>0</v>
      </c>
      <c r="N126" s="102">
        <f t="shared" si="49"/>
        <v>0</v>
      </c>
      <c r="O126" s="102">
        <f t="shared" si="49"/>
        <v>0</v>
      </c>
      <c r="P126" s="102">
        <f t="shared" si="49"/>
        <v>0</v>
      </c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  <c r="DK126" s="33"/>
      <c r="DL126" s="33"/>
      <c r="DM126" s="33"/>
      <c r="DN126" s="33"/>
      <c r="DO126" s="33"/>
      <c r="DP126" s="33"/>
      <c r="DQ126" s="33"/>
      <c r="DR126" s="33"/>
      <c r="DS126" s="33"/>
      <c r="DT126" s="33"/>
      <c r="DU126" s="33"/>
      <c r="DV126" s="33"/>
      <c r="DW126" s="33"/>
      <c r="DX126" s="33"/>
      <c r="DY126" s="33"/>
      <c r="DZ126" s="33"/>
      <c r="EA126" s="33"/>
      <c r="EB126" s="33"/>
      <c r="EC126" s="33"/>
      <c r="ED126" s="33"/>
      <c r="EE126" s="33"/>
      <c r="EF126" s="33"/>
      <c r="EG126" s="33"/>
      <c r="EH126" s="33"/>
      <c r="EI126" s="33"/>
      <c r="EJ126" s="33"/>
      <c r="EK126" s="33"/>
      <c r="EL126" s="33"/>
      <c r="EM126" s="33"/>
      <c r="EN126" s="33"/>
      <c r="EO126" s="33"/>
      <c r="EP126" s="33"/>
      <c r="EQ126" s="33"/>
      <c r="ER126" s="33"/>
      <c r="ES126" s="33"/>
      <c r="ET126" s="33"/>
      <c r="EU126" s="33"/>
      <c r="EV126" s="33"/>
      <c r="EW126" s="33"/>
      <c r="EX126" s="33"/>
      <c r="EY126" s="33"/>
      <c r="EZ126" s="33"/>
      <c r="FA126" s="33"/>
      <c r="FB126" s="33"/>
      <c r="FC126" s="33"/>
      <c r="FD126" s="33"/>
      <c r="FE126" s="33"/>
      <c r="FF126" s="33"/>
      <c r="FG126" s="33"/>
      <c r="FH126" s="33"/>
      <c r="FI126" s="33"/>
      <c r="FJ126" s="33"/>
      <c r="FK126" s="33"/>
      <c r="FL126" s="33"/>
      <c r="FM126" s="33"/>
      <c r="FN126" s="33"/>
      <c r="FO126" s="33"/>
      <c r="FP126" s="33"/>
      <c r="FQ126" s="33"/>
      <c r="FR126" s="33"/>
      <c r="FS126" s="33"/>
      <c r="FT126" s="33"/>
      <c r="FU126" s="33"/>
      <c r="FV126" s="33"/>
      <c r="FW126" s="33"/>
      <c r="FX126" s="33"/>
      <c r="FY126" s="33"/>
      <c r="FZ126" s="33"/>
      <c r="GA126" s="33"/>
      <c r="GB126" s="33"/>
      <c r="GC126" s="33"/>
      <c r="GD126" s="33"/>
      <c r="GE126" s="33"/>
      <c r="GF126" s="33"/>
      <c r="GG126" s="33"/>
      <c r="GH126" s="33"/>
      <c r="GI126" s="33"/>
      <c r="GJ126" s="33"/>
      <c r="GK126" s="33"/>
      <c r="GL126" s="33"/>
      <c r="GM126" s="33"/>
      <c r="GN126" s="33"/>
      <c r="GO126" s="33"/>
      <c r="GP126" s="33"/>
      <c r="GQ126" s="33"/>
      <c r="GR126" s="33"/>
      <c r="GS126" s="33"/>
      <c r="GT126" s="33"/>
      <c r="GU126" s="33"/>
      <c r="GV126" s="33"/>
      <c r="GW126" s="33"/>
      <c r="GX126" s="33"/>
      <c r="GY126" s="33"/>
      <c r="GZ126" s="33"/>
      <c r="HA126" s="33"/>
      <c r="HB126" s="33"/>
      <c r="HC126" s="33"/>
      <c r="HD126" s="33"/>
      <c r="HE126" s="33"/>
      <c r="HF126" s="33"/>
      <c r="HG126" s="33"/>
      <c r="HH126" s="33"/>
      <c r="HI126" s="33"/>
      <c r="HJ126" s="33"/>
      <c r="HK126" s="33"/>
      <c r="HL126" s="33"/>
      <c r="HM126" s="33"/>
      <c r="HN126" s="33"/>
      <c r="HO126" s="33"/>
      <c r="HP126" s="33"/>
      <c r="HQ126" s="33"/>
      <c r="HR126" s="33"/>
      <c r="HS126" s="33"/>
      <c r="HT126" s="33"/>
      <c r="HU126" s="33"/>
      <c r="HV126" s="33"/>
      <c r="HW126" s="33"/>
      <c r="HX126" s="33"/>
      <c r="HY126" s="33"/>
      <c r="HZ126" s="33"/>
      <c r="IA126" s="33"/>
      <c r="IB126" s="33"/>
      <c r="IC126" s="33"/>
      <c r="ID126" s="33"/>
      <c r="IE126" s="33"/>
      <c r="IF126" s="33"/>
      <c r="IG126" s="33"/>
      <c r="IH126" s="33"/>
      <c r="II126" s="33"/>
      <c r="IJ126" s="33"/>
      <c r="IK126" s="33"/>
      <c r="IL126" s="33"/>
      <c r="IM126" s="33"/>
      <c r="IN126" s="33"/>
      <c r="IO126" s="33"/>
      <c r="IP126" s="33"/>
      <c r="IQ126" s="33"/>
      <c r="IR126" s="33"/>
      <c r="IS126" s="33"/>
      <c r="IT126" s="33"/>
      <c r="IU126" s="33"/>
      <c r="IV126" s="33"/>
      <c r="IW126" s="33"/>
      <c r="IX126" s="33"/>
      <c r="IY126" s="33"/>
      <c r="IZ126" s="33"/>
      <c r="JA126" s="33"/>
      <c r="JB126" s="33"/>
      <c r="JC126" s="33"/>
      <c r="JD126" s="33"/>
      <c r="JE126" s="33"/>
      <c r="JF126" s="33"/>
      <c r="JG126" s="33"/>
      <c r="JH126" s="33"/>
      <c r="JI126" s="33"/>
      <c r="JJ126" s="33"/>
      <c r="JK126" s="33"/>
      <c r="JL126" s="33"/>
      <c r="JM126" s="33"/>
      <c r="JN126" s="33"/>
      <c r="JO126" s="33"/>
      <c r="JP126" s="33"/>
      <c r="JQ126" s="33"/>
      <c r="JR126" s="33"/>
      <c r="JS126" s="33"/>
      <c r="JT126" s="33"/>
      <c r="JU126" s="33"/>
      <c r="JV126" s="33"/>
      <c r="JW126" s="33"/>
      <c r="JX126" s="33"/>
      <c r="JY126" s="33"/>
      <c r="JZ126" s="33"/>
      <c r="KA126" s="33"/>
      <c r="KB126" s="33"/>
      <c r="KC126" s="33"/>
      <c r="KD126" s="33"/>
      <c r="KE126" s="33"/>
      <c r="KF126" s="33"/>
      <c r="KG126" s="33"/>
      <c r="KH126" s="33"/>
      <c r="KI126" s="33"/>
      <c r="KJ126" s="33"/>
      <c r="KK126" s="33"/>
      <c r="KL126" s="33"/>
      <c r="KM126" s="33"/>
      <c r="KN126" s="33"/>
      <c r="KO126" s="33"/>
      <c r="KP126" s="33"/>
      <c r="KQ126" s="33"/>
      <c r="KR126" s="33"/>
      <c r="KS126" s="33"/>
      <c r="KT126" s="33"/>
      <c r="KU126" s="33"/>
      <c r="KV126" s="33"/>
      <c r="KW126" s="33"/>
      <c r="KX126" s="33"/>
      <c r="KY126" s="33"/>
      <c r="KZ126" s="33"/>
      <c r="LA126" s="33"/>
      <c r="LB126" s="33"/>
      <c r="LC126" s="33"/>
      <c r="LD126" s="33"/>
      <c r="LE126" s="33"/>
      <c r="LF126" s="33"/>
      <c r="LG126" s="33"/>
      <c r="LH126" s="33"/>
      <c r="LI126" s="33"/>
      <c r="LJ126" s="33"/>
      <c r="LK126" s="33"/>
      <c r="LL126" s="33"/>
      <c r="LM126" s="33"/>
      <c r="LN126" s="33"/>
      <c r="LO126" s="33"/>
      <c r="LP126" s="33"/>
      <c r="LQ126" s="33"/>
      <c r="LR126" s="33"/>
      <c r="LS126" s="33"/>
      <c r="LT126" s="33"/>
      <c r="LU126" s="33"/>
      <c r="LV126" s="33"/>
      <c r="LW126" s="33"/>
      <c r="LX126" s="33"/>
      <c r="LY126" s="33"/>
      <c r="LZ126" s="33"/>
      <c r="MA126" s="33"/>
      <c r="MB126" s="33"/>
      <c r="MC126" s="33"/>
      <c r="MD126" s="33"/>
      <c r="ME126" s="33"/>
      <c r="MF126" s="33"/>
      <c r="MG126" s="33"/>
      <c r="MH126" s="33"/>
      <c r="MI126" s="33"/>
      <c r="MJ126" s="33"/>
      <c r="MK126" s="33"/>
      <c r="ML126" s="33"/>
      <c r="MM126" s="33"/>
      <c r="MN126" s="33"/>
      <c r="MO126" s="33"/>
      <c r="MP126" s="33"/>
      <c r="MQ126" s="33"/>
      <c r="MR126" s="33"/>
      <c r="MS126" s="33"/>
      <c r="MT126" s="33"/>
      <c r="MU126" s="33"/>
      <c r="MV126" s="33"/>
      <c r="MW126" s="33"/>
      <c r="MX126" s="33"/>
      <c r="MY126" s="33"/>
      <c r="MZ126" s="33"/>
      <c r="NA126" s="33"/>
      <c r="NB126" s="33"/>
      <c r="NC126" s="33"/>
      <c r="ND126" s="33"/>
      <c r="NE126" s="33"/>
      <c r="NF126" s="33"/>
      <c r="NG126" s="33"/>
      <c r="NH126" s="33"/>
      <c r="NI126" s="33"/>
      <c r="NJ126" s="33"/>
      <c r="NK126" s="33"/>
      <c r="NL126" s="33"/>
      <c r="NM126" s="33"/>
      <c r="NN126" s="33"/>
      <c r="NO126" s="33"/>
      <c r="NP126" s="33"/>
      <c r="NQ126" s="33"/>
      <c r="NR126" s="33"/>
      <c r="NS126" s="33"/>
      <c r="NT126" s="33"/>
      <c r="NU126" s="33"/>
      <c r="NV126" s="33"/>
      <c r="NW126" s="33"/>
      <c r="NX126" s="33"/>
      <c r="NY126" s="33"/>
      <c r="NZ126" s="33"/>
      <c r="OA126" s="33"/>
      <c r="OB126" s="33"/>
      <c r="OC126" s="33"/>
      <c r="OD126" s="33"/>
      <c r="OE126" s="33"/>
      <c r="OF126" s="33"/>
      <c r="OG126" s="33"/>
      <c r="OH126" s="33"/>
      <c r="OI126" s="33"/>
      <c r="OJ126" s="33"/>
      <c r="OK126" s="33"/>
      <c r="OL126" s="33"/>
      <c r="OM126" s="33"/>
      <c r="ON126" s="33"/>
      <c r="OO126" s="33"/>
      <c r="OP126" s="33"/>
      <c r="OQ126" s="33"/>
      <c r="OR126" s="33"/>
      <c r="OS126" s="33"/>
      <c r="OT126" s="33"/>
      <c r="OU126" s="33"/>
      <c r="OV126" s="33"/>
      <c r="OW126" s="33"/>
      <c r="OX126" s="33"/>
      <c r="OY126" s="33"/>
      <c r="OZ126" s="33"/>
      <c r="PA126" s="33"/>
      <c r="PB126" s="33"/>
      <c r="PC126" s="33"/>
      <c r="PD126" s="33"/>
      <c r="PE126" s="33"/>
      <c r="PF126" s="33"/>
      <c r="PG126" s="33"/>
      <c r="PH126" s="33"/>
      <c r="PI126" s="33"/>
      <c r="PJ126" s="33"/>
      <c r="PK126" s="33"/>
      <c r="PL126" s="33"/>
      <c r="PM126" s="33"/>
      <c r="PN126" s="33"/>
      <c r="PO126" s="33"/>
      <c r="PP126" s="33"/>
      <c r="PQ126" s="33"/>
      <c r="PR126" s="33"/>
      <c r="PS126" s="33"/>
      <c r="PT126" s="33"/>
      <c r="PU126" s="33"/>
      <c r="PV126" s="33"/>
      <c r="PW126" s="33"/>
      <c r="PX126" s="33"/>
      <c r="PY126" s="33"/>
      <c r="PZ126" s="33"/>
      <c r="QA126" s="33"/>
      <c r="QB126" s="33"/>
      <c r="QC126" s="33"/>
      <c r="QD126" s="33"/>
      <c r="QE126" s="33"/>
      <c r="QF126" s="33"/>
      <c r="QG126" s="33"/>
      <c r="QH126" s="33"/>
      <c r="QI126" s="33"/>
      <c r="QJ126" s="33"/>
      <c r="QK126" s="33"/>
      <c r="QL126" s="33"/>
      <c r="QM126" s="33"/>
      <c r="QN126" s="33"/>
      <c r="QO126" s="33"/>
      <c r="QP126" s="33"/>
      <c r="QQ126" s="33"/>
      <c r="QR126" s="33"/>
      <c r="QS126" s="33"/>
      <c r="QT126" s="33"/>
      <c r="QU126" s="33"/>
      <c r="QV126" s="33"/>
      <c r="QW126" s="33"/>
      <c r="QX126" s="33"/>
      <c r="QY126" s="33"/>
      <c r="QZ126" s="33"/>
      <c r="RA126" s="33"/>
      <c r="RB126" s="33"/>
      <c r="RC126" s="33"/>
      <c r="RD126" s="33"/>
      <c r="RE126" s="33"/>
      <c r="RF126" s="33"/>
      <c r="RG126" s="33"/>
      <c r="RH126" s="33"/>
      <c r="RI126" s="33"/>
      <c r="RJ126" s="33"/>
      <c r="RK126" s="33"/>
      <c r="RL126" s="33"/>
      <c r="RM126" s="33"/>
      <c r="RN126" s="33"/>
      <c r="RO126" s="33"/>
      <c r="RP126" s="33"/>
      <c r="RQ126" s="33"/>
      <c r="RR126" s="33"/>
      <c r="RS126" s="33"/>
      <c r="RT126" s="33"/>
      <c r="RU126" s="33"/>
      <c r="RV126" s="33"/>
      <c r="RW126" s="33"/>
      <c r="RX126" s="33"/>
      <c r="RY126" s="33"/>
      <c r="RZ126" s="33"/>
      <c r="SA126" s="33"/>
      <c r="SB126" s="33"/>
      <c r="SC126" s="33"/>
      <c r="SD126" s="33"/>
      <c r="SE126" s="33"/>
      <c r="SF126" s="33"/>
      <c r="SG126" s="33"/>
      <c r="SH126" s="33"/>
      <c r="SI126" s="33"/>
      <c r="SJ126" s="33"/>
      <c r="SK126" s="33"/>
      <c r="SL126" s="33"/>
      <c r="SM126" s="33"/>
      <c r="SN126" s="33"/>
      <c r="SO126" s="33"/>
      <c r="SP126" s="33"/>
      <c r="SQ126" s="33"/>
      <c r="SR126" s="33"/>
      <c r="SS126" s="33"/>
      <c r="ST126" s="33"/>
      <c r="SU126" s="33"/>
      <c r="SV126" s="33"/>
      <c r="SW126" s="33"/>
      <c r="SX126" s="33"/>
      <c r="SY126" s="33"/>
      <c r="SZ126" s="33"/>
      <c r="TA126" s="33"/>
      <c r="TB126" s="33"/>
      <c r="TC126" s="33"/>
      <c r="TD126" s="33"/>
      <c r="TE126" s="33"/>
      <c r="TF126" s="33"/>
      <c r="TG126" s="33"/>
    </row>
    <row r="127" spans="1:527" s="34" customFormat="1" ht="63" x14ac:dyDescent="0.25">
      <c r="A127" s="100"/>
      <c r="B127" s="113"/>
      <c r="C127" s="113"/>
      <c r="D127" s="81" t="s">
        <v>394</v>
      </c>
      <c r="E127" s="102">
        <f>E141+E144</f>
        <v>11403700</v>
      </c>
      <c r="F127" s="102">
        <f t="shared" ref="F127:P127" si="50">F141+F144</f>
        <v>11403700</v>
      </c>
      <c r="G127" s="102">
        <f t="shared" si="50"/>
        <v>0</v>
      </c>
      <c r="H127" s="102">
        <f t="shared" si="50"/>
        <v>0</v>
      </c>
      <c r="I127" s="102">
        <f t="shared" si="50"/>
        <v>0</v>
      </c>
      <c r="J127" s="102">
        <f t="shared" si="50"/>
        <v>0</v>
      </c>
      <c r="K127" s="102">
        <f>K141+K144</f>
        <v>0</v>
      </c>
      <c r="L127" s="102">
        <f t="shared" si="50"/>
        <v>0</v>
      </c>
      <c r="M127" s="102">
        <f t="shared" si="50"/>
        <v>0</v>
      </c>
      <c r="N127" s="102">
        <f t="shared" si="50"/>
        <v>0</v>
      </c>
      <c r="O127" s="102">
        <f t="shared" si="50"/>
        <v>0</v>
      </c>
      <c r="P127" s="102">
        <f t="shared" si="50"/>
        <v>11403700</v>
      </c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</row>
    <row r="128" spans="1:527" s="34" customFormat="1" ht="49.5" customHeight="1" x14ac:dyDescent="0.25">
      <c r="A128" s="100"/>
      <c r="B128" s="113"/>
      <c r="C128" s="113"/>
      <c r="D128" s="81" t="s">
        <v>572</v>
      </c>
      <c r="E128" s="102">
        <f>E150</f>
        <v>0</v>
      </c>
      <c r="F128" s="102">
        <f t="shared" ref="F128:P128" si="51">F150</f>
        <v>0</v>
      </c>
      <c r="G128" s="102">
        <f t="shared" si="51"/>
        <v>0</v>
      </c>
      <c r="H128" s="102">
        <f t="shared" si="51"/>
        <v>0</v>
      </c>
      <c r="I128" s="102">
        <f t="shared" si="51"/>
        <v>0</v>
      </c>
      <c r="J128" s="102">
        <f t="shared" si="51"/>
        <v>156000</v>
      </c>
      <c r="K128" s="102">
        <f t="shared" si="51"/>
        <v>156000</v>
      </c>
      <c r="L128" s="102">
        <f t="shared" si="51"/>
        <v>0</v>
      </c>
      <c r="M128" s="102">
        <f t="shared" si="51"/>
        <v>0</v>
      </c>
      <c r="N128" s="102">
        <f t="shared" si="51"/>
        <v>0</v>
      </c>
      <c r="O128" s="102">
        <f t="shared" si="51"/>
        <v>156000</v>
      </c>
      <c r="P128" s="102">
        <f t="shared" si="51"/>
        <v>156000</v>
      </c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</row>
    <row r="129" spans="1:527" s="34" customFormat="1" ht="15.75" x14ac:dyDescent="0.25">
      <c r="A129" s="100"/>
      <c r="B129" s="113"/>
      <c r="C129" s="113"/>
      <c r="D129" s="87" t="s">
        <v>421</v>
      </c>
      <c r="E129" s="102">
        <f>E152</f>
        <v>0</v>
      </c>
      <c r="F129" s="102">
        <f t="shared" ref="F129:P129" si="52">F152</f>
        <v>0</v>
      </c>
      <c r="G129" s="102">
        <f t="shared" si="52"/>
        <v>0</v>
      </c>
      <c r="H129" s="102">
        <f t="shared" si="52"/>
        <v>0</v>
      </c>
      <c r="I129" s="102">
        <f t="shared" si="52"/>
        <v>0</v>
      </c>
      <c r="J129" s="102">
        <f t="shared" si="52"/>
        <v>4662070.12</v>
      </c>
      <c r="K129" s="102">
        <f t="shared" si="52"/>
        <v>4662070.12</v>
      </c>
      <c r="L129" s="102">
        <f t="shared" si="52"/>
        <v>0</v>
      </c>
      <c r="M129" s="102">
        <f t="shared" si="52"/>
        <v>0</v>
      </c>
      <c r="N129" s="102">
        <f t="shared" si="52"/>
        <v>0</v>
      </c>
      <c r="O129" s="102">
        <f t="shared" si="52"/>
        <v>4662070.12</v>
      </c>
      <c r="P129" s="102">
        <f t="shared" si="52"/>
        <v>4662070.12</v>
      </c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</row>
    <row r="130" spans="1:527" s="22" customFormat="1" ht="48" customHeight="1" x14ac:dyDescent="0.25">
      <c r="A130" s="60" t="s">
        <v>173</v>
      </c>
      <c r="B130" s="97" t="str">
        <f>'дод 8'!A19</f>
        <v>0160</v>
      </c>
      <c r="C130" s="97" t="str">
        <f>'дод 8'!B19</f>
        <v>0111</v>
      </c>
      <c r="D130" s="36" t="s">
        <v>503</v>
      </c>
      <c r="E130" s="103">
        <f t="shared" ref="E130:E154" si="53">F130+I130</f>
        <v>2555884</v>
      </c>
      <c r="F130" s="103">
        <f>2547700+2500+5684</f>
        <v>2555884</v>
      </c>
      <c r="G130" s="103">
        <v>1956200</v>
      </c>
      <c r="H130" s="103">
        <f>29900+5684</f>
        <v>35584</v>
      </c>
      <c r="I130" s="103"/>
      <c r="J130" s="103">
        <f>L130+O130</f>
        <v>600000</v>
      </c>
      <c r="K130" s="103">
        <v>600000</v>
      </c>
      <c r="L130" s="103"/>
      <c r="M130" s="103"/>
      <c r="N130" s="103"/>
      <c r="O130" s="103">
        <v>600000</v>
      </c>
      <c r="P130" s="103">
        <f t="shared" ref="P130:P154" si="54">E130+J130</f>
        <v>3155884</v>
      </c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</row>
    <row r="131" spans="1:527" s="22" customFormat="1" ht="33" customHeight="1" x14ac:dyDescent="0.25">
      <c r="A131" s="60" t="s">
        <v>174</v>
      </c>
      <c r="B131" s="97" t="str">
        <f>'дод 8'!A79</f>
        <v>2010</v>
      </c>
      <c r="C131" s="97" t="str">
        <f>'дод 8'!B79</f>
        <v>0731</v>
      </c>
      <c r="D131" s="6" t="s">
        <v>467</v>
      </c>
      <c r="E131" s="103">
        <f t="shared" si="53"/>
        <v>39300311.399999999</v>
      </c>
      <c r="F131" s="103">
        <f>34393521+55800+234000+7000-234000+813950+4030040.4</f>
        <v>39300311.399999999</v>
      </c>
      <c r="G131" s="103"/>
      <c r="H131" s="103"/>
      <c r="I131" s="117"/>
      <c r="J131" s="103">
        <f t="shared" ref="J131:J154" si="55">L131+O131</f>
        <v>38830682.82</v>
      </c>
      <c r="K131" s="103">
        <f>38610682.82-175339+175339+220000</f>
        <v>38830682.82</v>
      </c>
      <c r="L131" s="103"/>
      <c r="M131" s="103"/>
      <c r="N131" s="103"/>
      <c r="O131" s="103">
        <f>38610682.82-175339+175339+220000</f>
        <v>38830682.82</v>
      </c>
      <c r="P131" s="103">
        <f t="shared" si="54"/>
        <v>78130994.219999999</v>
      </c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  <c r="MJ131" s="23"/>
      <c r="MK131" s="23"/>
      <c r="ML131" s="23"/>
      <c r="MM131" s="23"/>
      <c r="MN131" s="23"/>
      <c r="MO131" s="23"/>
      <c r="MP131" s="23"/>
      <c r="MQ131" s="23"/>
      <c r="MR131" s="23"/>
      <c r="MS131" s="23"/>
      <c r="MT131" s="23"/>
      <c r="MU131" s="23"/>
      <c r="MV131" s="23"/>
      <c r="MW131" s="23"/>
      <c r="MX131" s="23"/>
      <c r="MY131" s="23"/>
      <c r="MZ131" s="23"/>
      <c r="NA131" s="23"/>
      <c r="NB131" s="23"/>
      <c r="NC131" s="23"/>
      <c r="ND131" s="23"/>
      <c r="NE131" s="23"/>
      <c r="NF131" s="23"/>
      <c r="NG131" s="23"/>
      <c r="NH131" s="23"/>
      <c r="NI131" s="23"/>
      <c r="NJ131" s="23"/>
      <c r="NK131" s="23"/>
      <c r="NL131" s="23"/>
      <c r="NM131" s="23"/>
      <c r="NN131" s="23"/>
      <c r="NO131" s="23"/>
      <c r="NP131" s="23"/>
      <c r="NQ131" s="23"/>
      <c r="NR131" s="23"/>
      <c r="NS131" s="23"/>
      <c r="NT131" s="23"/>
      <c r="NU131" s="23"/>
      <c r="NV131" s="23"/>
      <c r="NW131" s="23"/>
      <c r="NX131" s="23"/>
      <c r="NY131" s="23"/>
      <c r="NZ131" s="23"/>
      <c r="OA131" s="23"/>
      <c r="OB131" s="23"/>
      <c r="OC131" s="23"/>
      <c r="OD131" s="23"/>
      <c r="OE131" s="23"/>
      <c r="OF131" s="23"/>
      <c r="OG131" s="23"/>
      <c r="OH131" s="23"/>
      <c r="OI131" s="23"/>
      <c r="OJ131" s="23"/>
      <c r="OK131" s="23"/>
      <c r="OL131" s="23"/>
      <c r="OM131" s="23"/>
      <c r="ON131" s="23"/>
      <c r="OO131" s="23"/>
      <c r="OP131" s="23"/>
      <c r="OQ131" s="23"/>
      <c r="OR131" s="23"/>
      <c r="OS131" s="23"/>
      <c r="OT131" s="23"/>
      <c r="OU131" s="23"/>
      <c r="OV131" s="23"/>
      <c r="OW131" s="23"/>
      <c r="OX131" s="23"/>
      <c r="OY131" s="23"/>
      <c r="OZ131" s="23"/>
      <c r="PA131" s="23"/>
      <c r="PB131" s="23"/>
      <c r="PC131" s="23"/>
      <c r="PD131" s="23"/>
      <c r="PE131" s="23"/>
      <c r="PF131" s="23"/>
      <c r="PG131" s="23"/>
      <c r="PH131" s="23"/>
      <c r="PI131" s="23"/>
      <c r="PJ131" s="23"/>
      <c r="PK131" s="23"/>
      <c r="PL131" s="23"/>
      <c r="PM131" s="23"/>
      <c r="PN131" s="23"/>
      <c r="PO131" s="23"/>
      <c r="PP131" s="23"/>
      <c r="PQ131" s="23"/>
      <c r="PR131" s="23"/>
      <c r="PS131" s="23"/>
      <c r="PT131" s="23"/>
      <c r="PU131" s="23"/>
      <c r="PV131" s="23"/>
      <c r="PW131" s="23"/>
      <c r="PX131" s="23"/>
      <c r="PY131" s="23"/>
      <c r="PZ131" s="23"/>
      <c r="QA131" s="23"/>
      <c r="QB131" s="23"/>
      <c r="QC131" s="23"/>
      <c r="QD131" s="23"/>
      <c r="QE131" s="23"/>
      <c r="QF131" s="23"/>
      <c r="QG131" s="23"/>
      <c r="QH131" s="23"/>
      <c r="QI131" s="23"/>
      <c r="QJ131" s="23"/>
      <c r="QK131" s="23"/>
      <c r="QL131" s="23"/>
      <c r="QM131" s="23"/>
      <c r="QN131" s="23"/>
      <c r="QO131" s="23"/>
      <c r="QP131" s="23"/>
      <c r="QQ131" s="23"/>
      <c r="QR131" s="23"/>
      <c r="QS131" s="23"/>
      <c r="QT131" s="23"/>
      <c r="QU131" s="23"/>
      <c r="QV131" s="23"/>
      <c r="QW131" s="23"/>
      <c r="QX131" s="23"/>
      <c r="QY131" s="23"/>
      <c r="QZ131" s="23"/>
      <c r="RA131" s="23"/>
      <c r="RB131" s="23"/>
      <c r="RC131" s="23"/>
      <c r="RD131" s="23"/>
      <c r="RE131" s="23"/>
      <c r="RF131" s="23"/>
      <c r="RG131" s="23"/>
      <c r="RH131" s="23"/>
      <c r="RI131" s="23"/>
      <c r="RJ131" s="23"/>
      <c r="RK131" s="23"/>
      <c r="RL131" s="23"/>
      <c r="RM131" s="23"/>
      <c r="RN131" s="23"/>
      <c r="RO131" s="23"/>
      <c r="RP131" s="23"/>
      <c r="RQ131" s="23"/>
      <c r="RR131" s="23"/>
      <c r="RS131" s="23"/>
      <c r="RT131" s="23"/>
      <c r="RU131" s="23"/>
      <c r="RV131" s="23"/>
      <c r="RW131" s="23"/>
      <c r="RX131" s="23"/>
      <c r="RY131" s="23"/>
      <c r="RZ131" s="23"/>
      <c r="SA131" s="23"/>
      <c r="SB131" s="23"/>
      <c r="SC131" s="23"/>
      <c r="SD131" s="23"/>
      <c r="SE131" s="23"/>
      <c r="SF131" s="23"/>
      <c r="SG131" s="23"/>
      <c r="SH131" s="23"/>
      <c r="SI131" s="23"/>
      <c r="SJ131" s="23"/>
      <c r="SK131" s="23"/>
      <c r="SL131" s="23"/>
      <c r="SM131" s="23"/>
      <c r="SN131" s="23"/>
      <c r="SO131" s="23"/>
      <c r="SP131" s="23"/>
      <c r="SQ131" s="23"/>
      <c r="SR131" s="23"/>
      <c r="SS131" s="23"/>
      <c r="ST131" s="23"/>
      <c r="SU131" s="23"/>
      <c r="SV131" s="23"/>
      <c r="SW131" s="23"/>
      <c r="SX131" s="23"/>
      <c r="SY131" s="23"/>
      <c r="SZ131" s="23"/>
      <c r="TA131" s="23"/>
      <c r="TB131" s="23"/>
      <c r="TC131" s="23"/>
      <c r="TD131" s="23"/>
      <c r="TE131" s="23"/>
      <c r="TF131" s="23"/>
      <c r="TG131" s="23"/>
    </row>
    <row r="132" spans="1:527" s="24" customFormat="1" ht="30" hidden="1" customHeight="1" x14ac:dyDescent="0.25">
      <c r="A132" s="88"/>
      <c r="B132" s="115"/>
      <c r="C132" s="115"/>
      <c r="D132" s="91" t="s">
        <v>392</v>
      </c>
      <c r="E132" s="105">
        <f t="shared" si="53"/>
        <v>0</v>
      </c>
      <c r="F132" s="105"/>
      <c r="G132" s="105"/>
      <c r="H132" s="105"/>
      <c r="I132" s="118"/>
      <c r="J132" s="105">
        <f t="shared" si="55"/>
        <v>0</v>
      </c>
      <c r="K132" s="105"/>
      <c r="L132" s="105"/>
      <c r="M132" s="105"/>
      <c r="N132" s="105"/>
      <c r="O132" s="105"/>
      <c r="P132" s="105">
        <f t="shared" si="54"/>
        <v>0</v>
      </c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  <c r="ID132" s="30"/>
      <c r="IE132" s="30"/>
      <c r="IF132" s="30"/>
      <c r="IG132" s="30"/>
      <c r="IH132" s="30"/>
      <c r="II132" s="30"/>
      <c r="IJ132" s="30"/>
      <c r="IK132" s="30"/>
      <c r="IL132" s="30"/>
      <c r="IM132" s="30"/>
      <c r="IN132" s="30"/>
      <c r="IO132" s="30"/>
      <c r="IP132" s="30"/>
      <c r="IQ132" s="30"/>
      <c r="IR132" s="30"/>
      <c r="IS132" s="30"/>
      <c r="IT132" s="30"/>
      <c r="IU132" s="30"/>
      <c r="IV132" s="30"/>
      <c r="IW132" s="30"/>
      <c r="IX132" s="30"/>
      <c r="IY132" s="30"/>
      <c r="IZ132" s="30"/>
      <c r="JA132" s="30"/>
      <c r="JB132" s="30"/>
      <c r="JC132" s="30"/>
      <c r="JD132" s="30"/>
      <c r="JE132" s="30"/>
      <c r="JF132" s="30"/>
      <c r="JG132" s="30"/>
      <c r="JH132" s="30"/>
      <c r="JI132" s="30"/>
      <c r="JJ132" s="30"/>
      <c r="JK132" s="30"/>
      <c r="JL132" s="30"/>
      <c r="JM132" s="30"/>
      <c r="JN132" s="30"/>
      <c r="JO132" s="30"/>
      <c r="JP132" s="30"/>
      <c r="JQ132" s="30"/>
      <c r="JR132" s="30"/>
      <c r="JS132" s="30"/>
      <c r="JT132" s="30"/>
      <c r="JU132" s="30"/>
      <c r="JV132" s="30"/>
      <c r="JW132" s="30"/>
      <c r="JX132" s="30"/>
      <c r="JY132" s="30"/>
      <c r="JZ132" s="30"/>
      <c r="KA132" s="30"/>
      <c r="KB132" s="30"/>
      <c r="KC132" s="30"/>
      <c r="KD132" s="30"/>
      <c r="KE132" s="30"/>
      <c r="KF132" s="30"/>
      <c r="KG132" s="30"/>
      <c r="KH132" s="30"/>
      <c r="KI132" s="30"/>
      <c r="KJ132" s="30"/>
      <c r="KK132" s="30"/>
      <c r="KL132" s="30"/>
      <c r="KM132" s="30"/>
      <c r="KN132" s="30"/>
      <c r="KO132" s="30"/>
      <c r="KP132" s="30"/>
      <c r="KQ132" s="30"/>
      <c r="KR132" s="30"/>
      <c r="KS132" s="30"/>
      <c r="KT132" s="30"/>
      <c r="KU132" s="30"/>
      <c r="KV132" s="30"/>
      <c r="KW132" s="30"/>
      <c r="KX132" s="30"/>
      <c r="KY132" s="30"/>
      <c r="KZ132" s="30"/>
      <c r="LA132" s="30"/>
      <c r="LB132" s="30"/>
      <c r="LC132" s="30"/>
      <c r="LD132" s="30"/>
      <c r="LE132" s="30"/>
      <c r="LF132" s="30"/>
      <c r="LG132" s="30"/>
      <c r="LH132" s="30"/>
      <c r="LI132" s="30"/>
      <c r="LJ132" s="30"/>
      <c r="LK132" s="30"/>
      <c r="LL132" s="30"/>
      <c r="LM132" s="30"/>
      <c r="LN132" s="30"/>
      <c r="LO132" s="30"/>
      <c r="LP132" s="30"/>
      <c r="LQ132" s="30"/>
      <c r="LR132" s="30"/>
      <c r="LS132" s="30"/>
      <c r="LT132" s="30"/>
      <c r="LU132" s="30"/>
      <c r="LV132" s="30"/>
      <c r="LW132" s="30"/>
      <c r="LX132" s="30"/>
      <c r="LY132" s="30"/>
      <c r="LZ132" s="30"/>
      <c r="MA132" s="30"/>
      <c r="MB132" s="30"/>
      <c r="MC132" s="30"/>
      <c r="MD132" s="30"/>
      <c r="ME132" s="30"/>
      <c r="MF132" s="30"/>
      <c r="MG132" s="30"/>
      <c r="MH132" s="30"/>
      <c r="MI132" s="30"/>
      <c r="MJ132" s="30"/>
      <c r="MK132" s="30"/>
      <c r="ML132" s="30"/>
      <c r="MM132" s="30"/>
      <c r="MN132" s="30"/>
      <c r="MO132" s="30"/>
      <c r="MP132" s="30"/>
      <c r="MQ132" s="30"/>
      <c r="MR132" s="30"/>
      <c r="MS132" s="30"/>
      <c r="MT132" s="30"/>
      <c r="MU132" s="30"/>
      <c r="MV132" s="30"/>
      <c r="MW132" s="30"/>
      <c r="MX132" s="30"/>
      <c r="MY132" s="30"/>
      <c r="MZ132" s="30"/>
      <c r="NA132" s="30"/>
      <c r="NB132" s="30"/>
      <c r="NC132" s="30"/>
      <c r="ND132" s="30"/>
      <c r="NE132" s="30"/>
      <c r="NF132" s="30"/>
      <c r="NG132" s="30"/>
      <c r="NH132" s="30"/>
      <c r="NI132" s="30"/>
      <c r="NJ132" s="30"/>
      <c r="NK132" s="30"/>
      <c r="NL132" s="30"/>
      <c r="NM132" s="30"/>
      <c r="NN132" s="30"/>
      <c r="NO132" s="30"/>
      <c r="NP132" s="30"/>
      <c r="NQ132" s="30"/>
      <c r="NR132" s="30"/>
      <c r="NS132" s="30"/>
      <c r="NT132" s="30"/>
      <c r="NU132" s="30"/>
      <c r="NV132" s="30"/>
      <c r="NW132" s="30"/>
      <c r="NX132" s="30"/>
      <c r="NY132" s="30"/>
      <c r="NZ132" s="30"/>
      <c r="OA132" s="30"/>
      <c r="OB132" s="30"/>
      <c r="OC132" s="30"/>
      <c r="OD132" s="30"/>
      <c r="OE132" s="30"/>
      <c r="OF132" s="30"/>
      <c r="OG132" s="30"/>
      <c r="OH132" s="30"/>
      <c r="OI132" s="30"/>
      <c r="OJ132" s="30"/>
      <c r="OK132" s="30"/>
      <c r="OL132" s="30"/>
      <c r="OM132" s="30"/>
      <c r="ON132" s="30"/>
      <c r="OO132" s="30"/>
      <c r="OP132" s="30"/>
      <c r="OQ132" s="30"/>
      <c r="OR132" s="30"/>
      <c r="OS132" s="30"/>
      <c r="OT132" s="30"/>
      <c r="OU132" s="30"/>
      <c r="OV132" s="30"/>
      <c r="OW132" s="30"/>
      <c r="OX132" s="30"/>
      <c r="OY132" s="30"/>
      <c r="OZ132" s="30"/>
      <c r="PA132" s="30"/>
      <c r="PB132" s="30"/>
      <c r="PC132" s="30"/>
      <c r="PD132" s="30"/>
      <c r="PE132" s="30"/>
      <c r="PF132" s="30"/>
      <c r="PG132" s="30"/>
      <c r="PH132" s="30"/>
      <c r="PI132" s="30"/>
      <c r="PJ132" s="30"/>
      <c r="PK132" s="30"/>
      <c r="PL132" s="30"/>
      <c r="PM132" s="30"/>
      <c r="PN132" s="30"/>
      <c r="PO132" s="30"/>
      <c r="PP132" s="30"/>
      <c r="PQ132" s="30"/>
      <c r="PR132" s="30"/>
      <c r="PS132" s="30"/>
      <c r="PT132" s="30"/>
      <c r="PU132" s="30"/>
      <c r="PV132" s="30"/>
      <c r="PW132" s="30"/>
      <c r="PX132" s="30"/>
      <c r="PY132" s="30"/>
      <c r="PZ132" s="30"/>
      <c r="QA132" s="30"/>
      <c r="QB132" s="30"/>
      <c r="QC132" s="30"/>
      <c r="QD132" s="30"/>
      <c r="QE132" s="30"/>
      <c r="QF132" s="30"/>
      <c r="QG132" s="30"/>
      <c r="QH132" s="30"/>
      <c r="QI132" s="30"/>
      <c r="QJ132" s="30"/>
      <c r="QK132" s="30"/>
      <c r="QL132" s="30"/>
      <c r="QM132" s="30"/>
      <c r="QN132" s="30"/>
      <c r="QO132" s="30"/>
      <c r="QP132" s="30"/>
      <c r="QQ132" s="30"/>
      <c r="QR132" s="30"/>
      <c r="QS132" s="30"/>
      <c r="QT132" s="30"/>
      <c r="QU132" s="30"/>
      <c r="QV132" s="30"/>
      <c r="QW132" s="30"/>
      <c r="QX132" s="30"/>
      <c r="QY132" s="30"/>
      <c r="QZ132" s="30"/>
      <c r="RA132" s="30"/>
      <c r="RB132" s="30"/>
      <c r="RC132" s="30"/>
      <c r="RD132" s="30"/>
      <c r="RE132" s="30"/>
      <c r="RF132" s="30"/>
      <c r="RG132" s="30"/>
      <c r="RH132" s="30"/>
      <c r="RI132" s="30"/>
      <c r="RJ132" s="30"/>
      <c r="RK132" s="30"/>
      <c r="RL132" s="30"/>
      <c r="RM132" s="30"/>
      <c r="RN132" s="30"/>
      <c r="RO132" s="30"/>
      <c r="RP132" s="30"/>
      <c r="RQ132" s="30"/>
      <c r="RR132" s="30"/>
      <c r="RS132" s="30"/>
      <c r="RT132" s="30"/>
      <c r="RU132" s="30"/>
      <c r="RV132" s="30"/>
      <c r="RW132" s="30"/>
      <c r="RX132" s="30"/>
      <c r="RY132" s="30"/>
      <c r="RZ132" s="30"/>
      <c r="SA132" s="30"/>
      <c r="SB132" s="30"/>
      <c r="SC132" s="30"/>
      <c r="SD132" s="30"/>
      <c r="SE132" s="30"/>
      <c r="SF132" s="30"/>
      <c r="SG132" s="30"/>
      <c r="SH132" s="30"/>
      <c r="SI132" s="30"/>
      <c r="SJ132" s="30"/>
      <c r="SK132" s="30"/>
      <c r="SL132" s="30"/>
      <c r="SM132" s="30"/>
      <c r="SN132" s="30"/>
      <c r="SO132" s="30"/>
      <c r="SP132" s="30"/>
      <c r="SQ132" s="30"/>
      <c r="SR132" s="30"/>
      <c r="SS132" s="30"/>
      <c r="ST132" s="30"/>
      <c r="SU132" s="30"/>
      <c r="SV132" s="30"/>
      <c r="SW132" s="30"/>
      <c r="SX132" s="30"/>
      <c r="SY132" s="30"/>
      <c r="SZ132" s="30"/>
      <c r="TA132" s="30"/>
      <c r="TB132" s="30"/>
      <c r="TC132" s="30"/>
      <c r="TD132" s="30"/>
      <c r="TE132" s="30"/>
      <c r="TF132" s="30"/>
      <c r="TG132" s="30"/>
    </row>
    <row r="133" spans="1:527" s="24" customFormat="1" ht="45" hidden="1" customHeight="1" x14ac:dyDescent="0.25">
      <c r="A133" s="88"/>
      <c r="B133" s="115"/>
      <c r="C133" s="115"/>
      <c r="D133" s="91" t="s">
        <v>393</v>
      </c>
      <c r="E133" s="105">
        <f t="shared" si="53"/>
        <v>0</v>
      </c>
      <c r="F133" s="105"/>
      <c r="G133" s="105"/>
      <c r="H133" s="105"/>
      <c r="I133" s="105"/>
      <c r="J133" s="105">
        <f t="shared" si="55"/>
        <v>0</v>
      </c>
      <c r="K133" s="105"/>
      <c r="L133" s="105"/>
      <c r="M133" s="105"/>
      <c r="N133" s="105"/>
      <c r="O133" s="105"/>
      <c r="P133" s="105">
        <f t="shared" si="54"/>
        <v>0</v>
      </c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</row>
    <row r="134" spans="1:527" s="24" customFormat="1" ht="15" hidden="1" customHeight="1" x14ac:dyDescent="0.25">
      <c r="A134" s="88"/>
      <c r="B134" s="115"/>
      <c r="C134" s="115"/>
      <c r="D134" s="91" t="s">
        <v>395</v>
      </c>
      <c r="E134" s="105">
        <f t="shared" si="53"/>
        <v>0</v>
      </c>
      <c r="F134" s="105"/>
      <c r="G134" s="105"/>
      <c r="H134" s="105"/>
      <c r="I134" s="118"/>
      <c r="J134" s="105">
        <f t="shared" si="55"/>
        <v>0</v>
      </c>
      <c r="K134" s="105"/>
      <c r="L134" s="105"/>
      <c r="M134" s="105"/>
      <c r="N134" s="105"/>
      <c r="O134" s="105"/>
      <c r="P134" s="105">
        <f t="shared" si="54"/>
        <v>0</v>
      </c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  <c r="IN134" s="30"/>
      <c r="IO134" s="30"/>
      <c r="IP134" s="30"/>
      <c r="IQ134" s="30"/>
      <c r="IR134" s="30"/>
      <c r="IS134" s="30"/>
      <c r="IT134" s="30"/>
      <c r="IU134" s="30"/>
      <c r="IV134" s="30"/>
      <c r="IW134" s="30"/>
      <c r="IX134" s="30"/>
      <c r="IY134" s="30"/>
      <c r="IZ134" s="30"/>
      <c r="JA134" s="30"/>
      <c r="JB134" s="30"/>
      <c r="JC134" s="30"/>
      <c r="JD134" s="30"/>
      <c r="JE134" s="30"/>
      <c r="JF134" s="30"/>
      <c r="JG134" s="30"/>
      <c r="JH134" s="30"/>
      <c r="JI134" s="30"/>
      <c r="JJ134" s="30"/>
      <c r="JK134" s="30"/>
      <c r="JL134" s="30"/>
      <c r="JM134" s="30"/>
      <c r="JN134" s="30"/>
      <c r="JO134" s="30"/>
      <c r="JP134" s="30"/>
      <c r="JQ134" s="30"/>
      <c r="JR134" s="30"/>
      <c r="JS134" s="30"/>
      <c r="JT134" s="30"/>
      <c r="JU134" s="30"/>
      <c r="JV134" s="30"/>
      <c r="JW134" s="30"/>
      <c r="JX134" s="30"/>
      <c r="JY134" s="30"/>
      <c r="JZ134" s="30"/>
      <c r="KA134" s="30"/>
      <c r="KB134" s="30"/>
      <c r="KC134" s="30"/>
      <c r="KD134" s="30"/>
      <c r="KE134" s="30"/>
      <c r="KF134" s="30"/>
      <c r="KG134" s="30"/>
      <c r="KH134" s="30"/>
      <c r="KI134" s="30"/>
      <c r="KJ134" s="30"/>
      <c r="KK134" s="30"/>
      <c r="KL134" s="30"/>
      <c r="KM134" s="30"/>
      <c r="KN134" s="30"/>
      <c r="KO134" s="30"/>
      <c r="KP134" s="30"/>
      <c r="KQ134" s="30"/>
      <c r="KR134" s="30"/>
      <c r="KS134" s="30"/>
      <c r="KT134" s="30"/>
      <c r="KU134" s="30"/>
      <c r="KV134" s="30"/>
      <c r="KW134" s="30"/>
      <c r="KX134" s="30"/>
      <c r="KY134" s="30"/>
      <c r="KZ134" s="30"/>
      <c r="LA134" s="30"/>
      <c r="LB134" s="30"/>
      <c r="LC134" s="30"/>
      <c r="LD134" s="30"/>
      <c r="LE134" s="30"/>
      <c r="LF134" s="30"/>
      <c r="LG134" s="30"/>
      <c r="LH134" s="30"/>
      <c r="LI134" s="30"/>
      <c r="LJ134" s="30"/>
      <c r="LK134" s="30"/>
      <c r="LL134" s="30"/>
      <c r="LM134" s="30"/>
      <c r="LN134" s="30"/>
      <c r="LO134" s="30"/>
      <c r="LP134" s="30"/>
      <c r="LQ134" s="30"/>
      <c r="LR134" s="30"/>
      <c r="LS134" s="30"/>
      <c r="LT134" s="30"/>
      <c r="LU134" s="30"/>
      <c r="LV134" s="30"/>
      <c r="LW134" s="30"/>
      <c r="LX134" s="30"/>
      <c r="LY134" s="30"/>
      <c r="LZ134" s="30"/>
      <c r="MA134" s="30"/>
      <c r="MB134" s="30"/>
      <c r="MC134" s="30"/>
      <c r="MD134" s="30"/>
      <c r="ME134" s="30"/>
      <c r="MF134" s="30"/>
      <c r="MG134" s="30"/>
      <c r="MH134" s="30"/>
      <c r="MI134" s="30"/>
      <c r="MJ134" s="30"/>
      <c r="MK134" s="30"/>
      <c r="ML134" s="30"/>
      <c r="MM134" s="30"/>
      <c r="MN134" s="30"/>
      <c r="MO134" s="30"/>
      <c r="MP134" s="30"/>
      <c r="MQ134" s="30"/>
      <c r="MR134" s="30"/>
      <c r="MS134" s="30"/>
      <c r="MT134" s="30"/>
      <c r="MU134" s="30"/>
      <c r="MV134" s="30"/>
      <c r="MW134" s="30"/>
      <c r="MX134" s="30"/>
      <c r="MY134" s="30"/>
      <c r="MZ134" s="30"/>
      <c r="NA134" s="30"/>
      <c r="NB134" s="30"/>
      <c r="NC134" s="30"/>
      <c r="ND134" s="30"/>
      <c r="NE134" s="30"/>
      <c r="NF134" s="30"/>
      <c r="NG134" s="30"/>
      <c r="NH134" s="30"/>
      <c r="NI134" s="30"/>
      <c r="NJ134" s="30"/>
      <c r="NK134" s="30"/>
      <c r="NL134" s="30"/>
      <c r="NM134" s="30"/>
      <c r="NN134" s="30"/>
      <c r="NO134" s="30"/>
      <c r="NP134" s="30"/>
      <c r="NQ134" s="30"/>
      <c r="NR134" s="30"/>
      <c r="NS134" s="30"/>
      <c r="NT134" s="30"/>
      <c r="NU134" s="30"/>
      <c r="NV134" s="30"/>
      <c r="NW134" s="30"/>
      <c r="NX134" s="30"/>
      <c r="NY134" s="30"/>
      <c r="NZ134" s="30"/>
      <c r="OA134" s="30"/>
      <c r="OB134" s="30"/>
      <c r="OC134" s="30"/>
      <c r="OD134" s="30"/>
      <c r="OE134" s="30"/>
      <c r="OF134" s="30"/>
      <c r="OG134" s="30"/>
      <c r="OH134" s="30"/>
      <c r="OI134" s="30"/>
      <c r="OJ134" s="30"/>
      <c r="OK134" s="30"/>
      <c r="OL134" s="30"/>
      <c r="OM134" s="30"/>
      <c r="ON134" s="30"/>
      <c r="OO134" s="30"/>
      <c r="OP134" s="30"/>
      <c r="OQ134" s="30"/>
      <c r="OR134" s="30"/>
      <c r="OS134" s="30"/>
      <c r="OT134" s="30"/>
      <c r="OU134" s="30"/>
      <c r="OV134" s="30"/>
      <c r="OW134" s="30"/>
      <c r="OX134" s="30"/>
      <c r="OY134" s="30"/>
      <c r="OZ134" s="30"/>
      <c r="PA134" s="30"/>
      <c r="PB134" s="30"/>
      <c r="PC134" s="30"/>
      <c r="PD134" s="30"/>
      <c r="PE134" s="30"/>
      <c r="PF134" s="30"/>
      <c r="PG134" s="30"/>
      <c r="PH134" s="30"/>
      <c r="PI134" s="30"/>
      <c r="PJ134" s="30"/>
      <c r="PK134" s="30"/>
      <c r="PL134" s="30"/>
      <c r="PM134" s="30"/>
      <c r="PN134" s="30"/>
      <c r="PO134" s="30"/>
      <c r="PP134" s="30"/>
      <c r="PQ134" s="30"/>
      <c r="PR134" s="30"/>
      <c r="PS134" s="30"/>
      <c r="PT134" s="30"/>
      <c r="PU134" s="30"/>
      <c r="PV134" s="30"/>
      <c r="PW134" s="30"/>
      <c r="PX134" s="30"/>
      <c r="PY134" s="30"/>
      <c r="PZ134" s="30"/>
      <c r="QA134" s="30"/>
      <c r="QB134" s="30"/>
      <c r="QC134" s="30"/>
      <c r="QD134" s="30"/>
      <c r="QE134" s="30"/>
      <c r="QF134" s="30"/>
      <c r="QG134" s="30"/>
      <c r="QH134" s="30"/>
      <c r="QI134" s="30"/>
      <c r="QJ134" s="30"/>
      <c r="QK134" s="30"/>
      <c r="QL134" s="30"/>
      <c r="QM134" s="30"/>
      <c r="QN134" s="30"/>
      <c r="QO134" s="30"/>
      <c r="QP134" s="30"/>
      <c r="QQ134" s="30"/>
      <c r="QR134" s="30"/>
      <c r="QS134" s="30"/>
      <c r="QT134" s="30"/>
      <c r="QU134" s="30"/>
      <c r="QV134" s="30"/>
      <c r="QW134" s="30"/>
      <c r="QX134" s="30"/>
      <c r="QY134" s="30"/>
      <c r="QZ134" s="30"/>
      <c r="RA134" s="30"/>
      <c r="RB134" s="30"/>
      <c r="RC134" s="30"/>
      <c r="RD134" s="30"/>
      <c r="RE134" s="30"/>
      <c r="RF134" s="30"/>
      <c r="RG134" s="30"/>
      <c r="RH134" s="30"/>
      <c r="RI134" s="30"/>
      <c r="RJ134" s="30"/>
      <c r="RK134" s="30"/>
      <c r="RL134" s="30"/>
      <c r="RM134" s="30"/>
      <c r="RN134" s="30"/>
      <c r="RO134" s="30"/>
      <c r="RP134" s="30"/>
      <c r="RQ134" s="30"/>
      <c r="RR134" s="30"/>
      <c r="RS134" s="30"/>
      <c r="RT134" s="30"/>
      <c r="RU134" s="30"/>
      <c r="RV134" s="30"/>
      <c r="RW134" s="30"/>
      <c r="RX134" s="30"/>
      <c r="RY134" s="30"/>
      <c r="RZ134" s="30"/>
      <c r="SA134" s="30"/>
      <c r="SB134" s="30"/>
      <c r="SC134" s="30"/>
      <c r="SD134" s="30"/>
      <c r="SE134" s="30"/>
      <c r="SF134" s="30"/>
      <c r="SG134" s="30"/>
      <c r="SH134" s="30"/>
      <c r="SI134" s="30"/>
      <c r="SJ134" s="30"/>
      <c r="SK134" s="30"/>
      <c r="SL134" s="30"/>
      <c r="SM134" s="30"/>
      <c r="SN134" s="30"/>
      <c r="SO134" s="30"/>
      <c r="SP134" s="30"/>
      <c r="SQ134" s="30"/>
      <c r="SR134" s="30"/>
      <c r="SS134" s="30"/>
      <c r="ST134" s="30"/>
      <c r="SU134" s="30"/>
      <c r="SV134" s="30"/>
      <c r="SW134" s="30"/>
      <c r="SX134" s="30"/>
      <c r="SY134" s="30"/>
      <c r="SZ134" s="30"/>
      <c r="TA134" s="30"/>
      <c r="TB134" s="30"/>
      <c r="TC134" s="30"/>
      <c r="TD134" s="30"/>
      <c r="TE134" s="30"/>
      <c r="TF134" s="30"/>
      <c r="TG134" s="30"/>
    </row>
    <row r="135" spans="1:527" s="22" customFormat="1" ht="31.5" x14ac:dyDescent="0.25">
      <c r="A135" s="60" t="s">
        <v>450</v>
      </c>
      <c r="B135" s="97">
        <v>2020</v>
      </c>
      <c r="C135" s="60" t="s">
        <v>451</v>
      </c>
      <c r="D135" s="61" t="str">
        <f>'дод 8'!C83</f>
        <v xml:space="preserve"> Спеціалізована стаціонарна медична допомога населенню</v>
      </c>
      <c r="E135" s="103">
        <f t="shared" si="53"/>
        <v>90000</v>
      </c>
      <c r="F135" s="103">
        <v>90000</v>
      </c>
      <c r="G135" s="117"/>
      <c r="H135" s="117"/>
      <c r="I135" s="117"/>
      <c r="J135" s="103">
        <f t="shared" si="55"/>
        <v>0</v>
      </c>
      <c r="K135" s="103"/>
      <c r="L135" s="103"/>
      <c r="M135" s="103"/>
      <c r="N135" s="103"/>
      <c r="O135" s="103"/>
      <c r="P135" s="103">
        <f t="shared" si="54"/>
        <v>90000</v>
      </c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</row>
    <row r="136" spans="1:527" s="22" customFormat="1" ht="36.75" customHeight="1" x14ac:dyDescent="0.25">
      <c r="A136" s="60" t="s">
        <v>179</v>
      </c>
      <c r="B136" s="97" t="str">
        <f>'дод 8'!A84</f>
        <v>2030</v>
      </c>
      <c r="C136" s="97" t="str">
        <f>'дод 8'!B84</f>
        <v>0733</v>
      </c>
      <c r="D136" s="61" t="s">
        <v>468</v>
      </c>
      <c r="E136" s="103">
        <f t="shared" si="53"/>
        <v>3742159</v>
      </c>
      <c r="F136" s="103">
        <f>3317600+424559</f>
        <v>3742159</v>
      </c>
      <c r="G136" s="119"/>
      <c r="H136" s="119"/>
      <c r="I136" s="117"/>
      <c r="J136" s="103">
        <f t="shared" si="55"/>
        <v>5100000</v>
      </c>
      <c r="K136" s="103">
        <v>5100000</v>
      </c>
      <c r="L136" s="103"/>
      <c r="M136" s="103"/>
      <c r="N136" s="103"/>
      <c r="O136" s="103">
        <v>5100000</v>
      </c>
      <c r="P136" s="103">
        <f t="shared" si="54"/>
        <v>8842159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</row>
    <row r="137" spans="1:527" s="24" customFormat="1" ht="30" hidden="1" customHeight="1" x14ac:dyDescent="0.25">
      <c r="A137" s="88"/>
      <c r="B137" s="115"/>
      <c r="C137" s="115"/>
      <c r="D137" s="91" t="s">
        <v>392</v>
      </c>
      <c r="E137" s="105">
        <f t="shared" si="53"/>
        <v>0</v>
      </c>
      <c r="F137" s="105"/>
      <c r="G137" s="118"/>
      <c r="H137" s="118"/>
      <c r="I137" s="118"/>
      <c r="J137" s="105"/>
      <c r="K137" s="105"/>
      <c r="L137" s="105"/>
      <c r="M137" s="105"/>
      <c r="N137" s="105"/>
      <c r="O137" s="105"/>
      <c r="P137" s="105">
        <f t="shared" si="54"/>
        <v>0</v>
      </c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  <c r="ID137" s="30"/>
      <c r="IE137" s="30"/>
      <c r="IF137" s="30"/>
      <c r="IG137" s="30"/>
      <c r="IH137" s="30"/>
      <c r="II137" s="30"/>
      <c r="IJ137" s="30"/>
      <c r="IK137" s="30"/>
      <c r="IL137" s="30"/>
      <c r="IM137" s="30"/>
      <c r="IN137" s="30"/>
      <c r="IO137" s="30"/>
      <c r="IP137" s="30"/>
      <c r="IQ137" s="30"/>
      <c r="IR137" s="30"/>
      <c r="IS137" s="30"/>
      <c r="IT137" s="30"/>
      <c r="IU137" s="30"/>
      <c r="IV137" s="30"/>
      <c r="IW137" s="30"/>
      <c r="IX137" s="30"/>
      <c r="IY137" s="30"/>
      <c r="IZ137" s="30"/>
      <c r="JA137" s="30"/>
      <c r="JB137" s="30"/>
      <c r="JC137" s="30"/>
      <c r="JD137" s="30"/>
      <c r="JE137" s="30"/>
      <c r="JF137" s="30"/>
      <c r="JG137" s="30"/>
      <c r="JH137" s="30"/>
      <c r="JI137" s="30"/>
      <c r="JJ137" s="30"/>
      <c r="JK137" s="30"/>
      <c r="JL137" s="30"/>
      <c r="JM137" s="30"/>
      <c r="JN137" s="30"/>
      <c r="JO137" s="30"/>
      <c r="JP137" s="30"/>
      <c r="JQ137" s="30"/>
      <c r="JR137" s="30"/>
      <c r="JS137" s="30"/>
      <c r="JT137" s="30"/>
      <c r="JU137" s="30"/>
      <c r="JV137" s="30"/>
      <c r="JW137" s="30"/>
      <c r="JX137" s="30"/>
      <c r="JY137" s="30"/>
      <c r="JZ137" s="30"/>
      <c r="KA137" s="30"/>
      <c r="KB137" s="30"/>
      <c r="KC137" s="30"/>
      <c r="KD137" s="30"/>
      <c r="KE137" s="30"/>
      <c r="KF137" s="30"/>
      <c r="KG137" s="30"/>
      <c r="KH137" s="30"/>
      <c r="KI137" s="30"/>
      <c r="KJ137" s="30"/>
      <c r="KK137" s="30"/>
      <c r="KL137" s="30"/>
      <c r="KM137" s="30"/>
      <c r="KN137" s="30"/>
      <c r="KO137" s="30"/>
      <c r="KP137" s="30"/>
      <c r="KQ137" s="30"/>
      <c r="KR137" s="30"/>
      <c r="KS137" s="30"/>
      <c r="KT137" s="30"/>
      <c r="KU137" s="30"/>
      <c r="KV137" s="30"/>
      <c r="KW137" s="30"/>
      <c r="KX137" s="30"/>
      <c r="KY137" s="30"/>
      <c r="KZ137" s="30"/>
      <c r="LA137" s="30"/>
      <c r="LB137" s="30"/>
      <c r="LC137" s="30"/>
      <c r="LD137" s="30"/>
      <c r="LE137" s="30"/>
      <c r="LF137" s="30"/>
      <c r="LG137" s="30"/>
      <c r="LH137" s="30"/>
      <c r="LI137" s="30"/>
      <c r="LJ137" s="30"/>
      <c r="LK137" s="30"/>
      <c r="LL137" s="30"/>
      <c r="LM137" s="30"/>
      <c r="LN137" s="30"/>
      <c r="LO137" s="30"/>
      <c r="LP137" s="30"/>
      <c r="LQ137" s="30"/>
      <c r="LR137" s="30"/>
      <c r="LS137" s="30"/>
      <c r="LT137" s="30"/>
      <c r="LU137" s="30"/>
      <c r="LV137" s="30"/>
      <c r="LW137" s="30"/>
      <c r="LX137" s="30"/>
      <c r="LY137" s="30"/>
      <c r="LZ137" s="30"/>
      <c r="MA137" s="30"/>
      <c r="MB137" s="30"/>
      <c r="MC137" s="30"/>
      <c r="MD137" s="30"/>
      <c r="ME137" s="30"/>
      <c r="MF137" s="30"/>
      <c r="MG137" s="30"/>
      <c r="MH137" s="30"/>
      <c r="MI137" s="30"/>
      <c r="MJ137" s="30"/>
      <c r="MK137" s="30"/>
      <c r="ML137" s="30"/>
      <c r="MM137" s="30"/>
      <c r="MN137" s="30"/>
      <c r="MO137" s="30"/>
      <c r="MP137" s="30"/>
      <c r="MQ137" s="30"/>
      <c r="MR137" s="30"/>
      <c r="MS137" s="30"/>
      <c r="MT137" s="30"/>
      <c r="MU137" s="30"/>
      <c r="MV137" s="30"/>
      <c r="MW137" s="30"/>
      <c r="MX137" s="30"/>
      <c r="MY137" s="30"/>
      <c r="MZ137" s="30"/>
      <c r="NA137" s="30"/>
      <c r="NB137" s="30"/>
      <c r="NC137" s="30"/>
      <c r="ND137" s="30"/>
      <c r="NE137" s="30"/>
      <c r="NF137" s="30"/>
      <c r="NG137" s="30"/>
      <c r="NH137" s="30"/>
      <c r="NI137" s="30"/>
      <c r="NJ137" s="30"/>
      <c r="NK137" s="30"/>
      <c r="NL137" s="30"/>
      <c r="NM137" s="30"/>
      <c r="NN137" s="30"/>
      <c r="NO137" s="30"/>
      <c r="NP137" s="30"/>
      <c r="NQ137" s="30"/>
      <c r="NR137" s="30"/>
      <c r="NS137" s="30"/>
      <c r="NT137" s="30"/>
      <c r="NU137" s="30"/>
      <c r="NV137" s="30"/>
      <c r="NW137" s="30"/>
      <c r="NX137" s="30"/>
      <c r="NY137" s="30"/>
      <c r="NZ137" s="30"/>
      <c r="OA137" s="30"/>
      <c r="OB137" s="30"/>
      <c r="OC137" s="30"/>
      <c r="OD137" s="30"/>
      <c r="OE137" s="30"/>
      <c r="OF137" s="30"/>
      <c r="OG137" s="30"/>
      <c r="OH137" s="30"/>
      <c r="OI137" s="30"/>
      <c r="OJ137" s="30"/>
      <c r="OK137" s="30"/>
      <c r="OL137" s="30"/>
      <c r="OM137" s="30"/>
      <c r="ON137" s="30"/>
      <c r="OO137" s="30"/>
      <c r="OP137" s="30"/>
      <c r="OQ137" s="30"/>
      <c r="OR137" s="30"/>
      <c r="OS137" s="30"/>
      <c r="OT137" s="30"/>
      <c r="OU137" s="30"/>
      <c r="OV137" s="30"/>
      <c r="OW137" s="30"/>
      <c r="OX137" s="30"/>
      <c r="OY137" s="30"/>
      <c r="OZ137" s="30"/>
      <c r="PA137" s="30"/>
      <c r="PB137" s="30"/>
      <c r="PC137" s="30"/>
      <c r="PD137" s="30"/>
      <c r="PE137" s="30"/>
      <c r="PF137" s="30"/>
      <c r="PG137" s="30"/>
      <c r="PH137" s="30"/>
      <c r="PI137" s="30"/>
      <c r="PJ137" s="30"/>
      <c r="PK137" s="30"/>
      <c r="PL137" s="30"/>
      <c r="PM137" s="30"/>
      <c r="PN137" s="30"/>
      <c r="PO137" s="30"/>
      <c r="PP137" s="30"/>
      <c r="PQ137" s="30"/>
      <c r="PR137" s="30"/>
      <c r="PS137" s="30"/>
      <c r="PT137" s="30"/>
      <c r="PU137" s="30"/>
      <c r="PV137" s="30"/>
      <c r="PW137" s="30"/>
      <c r="PX137" s="30"/>
      <c r="PY137" s="30"/>
      <c r="PZ137" s="30"/>
      <c r="QA137" s="30"/>
      <c r="QB137" s="30"/>
      <c r="QC137" s="30"/>
      <c r="QD137" s="30"/>
      <c r="QE137" s="30"/>
      <c r="QF137" s="30"/>
      <c r="QG137" s="30"/>
      <c r="QH137" s="30"/>
      <c r="QI137" s="30"/>
      <c r="QJ137" s="30"/>
      <c r="QK137" s="30"/>
      <c r="QL137" s="30"/>
      <c r="QM137" s="30"/>
      <c r="QN137" s="30"/>
      <c r="QO137" s="30"/>
      <c r="QP137" s="30"/>
      <c r="QQ137" s="30"/>
      <c r="QR137" s="30"/>
      <c r="QS137" s="30"/>
      <c r="QT137" s="30"/>
      <c r="QU137" s="30"/>
      <c r="QV137" s="30"/>
      <c r="QW137" s="30"/>
      <c r="QX137" s="30"/>
      <c r="QY137" s="30"/>
      <c r="QZ137" s="30"/>
      <c r="RA137" s="30"/>
      <c r="RB137" s="30"/>
      <c r="RC137" s="30"/>
      <c r="RD137" s="30"/>
      <c r="RE137" s="30"/>
      <c r="RF137" s="30"/>
      <c r="RG137" s="30"/>
      <c r="RH137" s="30"/>
      <c r="RI137" s="30"/>
      <c r="RJ137" s="30"/>
      <c r="RK137" s="30"/>
      <c r="RL137" s="30"/>
      <c r="RM137" s="30"/>
      <c r="RN137" s="30"/>
      <c r="RO137" s="30"/>
      <c r="RP137" s="30"/>
      <c r="RQ137" s="30"/>
      <c r="RR137" s="30"/>
      <c r="RS137" s="30"/>
      <c r="RT137" s="30"/>
      <c r="RU137" s="30"/>
      <c r="RV137" s="30"/>
      <c r="RW137" s="30"/>
      <c r="RX137" s="30"/>
      <c r="RY137" s="30"/>
      <c r="RZ137" s="30"/>
      <c r="SA137" s="30"/>
      <c r="SB137" s="30"/>
      <c r="SC137" s="30"/>
      <c r="SD137" s="30"/>
      <c r="SE137" s="30"/>
      <c r="SF137" s="30"/>
      <c r="SG137" s="30"/>
      <c r="SH137" s="30"/>
      <c r="SI137" s="30"/>
      <c r="SJ137" s="30"/>
      <c r="SK137" s="30"/>
      <c r="SL137" s="30"/>
      <c r="SM137" s="30"/>
      <c r="SN137" s="30"/>
      <c r="SO137" s="30"/>
      <c r="SP137" s="30"/>
      <c r="SQ137" s="30"/>
      <c r="SR137" s="30"/>
      <c r="SS137" s="30"/>
      <c r="ST137" s="30"/>
      <c r="SU137" s="30"/>
      <c r="SV137" s="30"/>
      <c r="SW137" s="30"/>
      <c r="SX137" s="30"/>
      <c r="SY137" s="30"/>
      <c r="SZ137" s="30"/>
      <c r="TA137" s="30"/>
      <c r="TB137" s="30"/>
      <c r="TC137" s="30"/>
      <c r="TD137" s="30"/>
      <c r="TE137" s="30"/>
      <c r="TF137" s="30"/>
      <c r="TG137" s="30"/>
    </row>
    <row r="138" spans="1:527" s="22" customFormat="1" ht="24" customHeight="1" x14ac:dyDescent="0.25">
      <c r="A138" s="60" t="s">
        <v>178</v>
      </c>
      <c r="B138" s="97" t="str">
        <f>'дод 8'!A86</f>
        <v>2100</v>
      </c>
      <c r="C138" s="97" t="str">
        <f>'дод 8'!B86</f>
        <v>0722</v>
      </c>
      <c r="D138" s="61" t="str">
        <f>'дод 8'!C86</f>
        <v>Стоматологічна допомога населенню</v>
      </c>
      <c r="E138" s="103">
        <f t="shared" si="53"/>
        <v>7683806</v>
      </c>
      <c r="F138" s="103">
        <f>7602100+81706</f>
        <v>7683806</v>
      </c>
      <c r="G138" s="119"/>
      <c r="H138" s="119"/>
      <c r="I138" s="117"/>
      <c r="J138" s="103">
        <f t="shared" si="55"/>
        <v>0</v>
      </c>
      <c r="K138" s="103"/>
      <c r="L138" s="103"/>
      <c r="M138" s="103"/>
      <c r="N138" s="103"/>
      <c r="O138" s="103"/>
      <c r="P138" s="103">
        <f t="shared" si="54"/>
        <v>7683806</v>
      </c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</row>
    <row r="139" spans="1:527" s="24" customFormat="1" ht="30" hidden="1" customHeight="1" x14ac:dyDescent="0.25">
      <c r="A139" s="88"/>
      <c r="B139" s="115"/>
      <c r="C139" s="115"/>
      <c r="D139" s="91" t="s">
        <v>392</v>
      </c>
      <c r="E139" s="105">
        <f t="shared" si="53"/>
        <v>0</v>
      </c>
      <c r="F139" s="105"/>
      <c r="G139" s="118"/>
      <c r="H139" s="118"/>
      <c r="I139" s="118"/>
      <c r="J139" s="105">
        <f t="shared" si="55"/>
        <v>0</v>
      </c>
      <c r="K139" s="105"/>
      <c r="L139" s="105"/>
      <c r="M139" s="105"/>
      <c r="N139" s="105"/>
      <c r="O139" s="105"/>
      <c r="P139" s="105">
        <f t="shared" si="54"/>
        <v>0</v>
      </c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  <c r="SO139" s="30"/>
      <c r="SP139" s="30"/>
      <c r="SQ139" s="30"/>
      <c r="SR139" s="30"/>
      <c r="SS139" s="30"/>
      <c r="ST139" s="30"/>
      <c r="SU139" s="30"/>
      <c r="SV139" s="30"/>
      <c r="SW139" s="30"/>
      <c r="SX139" s="30"/>
      <c r="SY139" s="30"/>
      <c r="SZ139" s="30"/>
      <c r="TA139" s="30"/>
      <c r="TB139" s="30"/>
      <c r="TC139" s="30"/>
      <c r="TD139" s="30"/>
      <c r="TE139" s="30"/>
      <c r="TF139" s="30"/>
      <c r="TG139" s="30"/>
    </row>
    <row r="140" spans="1:527" s="22" customFormat="1" ht="48" customHeight="1" x14ac:dyDescent="0.25">
      <c r="A140" s="60" t="s">
        <v>177</v>
      </c>
      <c r="B140" s="97" t="str">
        <f>'дод 8'!A88</f>
        <v>2111</v>
      </c>
      <c r="C140" s="97" t="str">
        <f>'дод 8'!B88</f>
        <v>0726</v>
      </c>
      <c r="D140" s="61" t="str">
        <f>'дод 8'!C88</f>
        <v>Первинна медична допомога населенню, що надається центрами первинної медичної (медико-санітарної) допомоги</v>
      </c>
      <c r="E140" s="103">
        <f t="shared" si="53"/>
        <v>2944631</v>
      </c>
      <c r="F140" s="103">
        <f>2736000-55800+264431</f>
        <v>2944631</v>
      </c>
      <c r="G140" s="117"/>
      <c r="H140" s="119"/>
      <c r="I140" s="117"/>
      <c r="J140" s="103">
        <f t="shared" si="55"/>
        <v>0</v>
      </c>
      <c r="K140" s="103"/>
      <c r="L140" s="103"/>
      <c r="M140" s="103"/>
      <c r="N140" s="103"/>
      <c r="O140" s="103"/>
      <c r="P140" s="103">
        <f t="shared" si="54"/>
        <v>2944631</v>
      </c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</row>
    <row r="141" spans="1:527" s="24" customFormat="1" ht="63" hidden="1" customHeight="1" x14ac:dyDescent="0.25">
      <c r="A141" s="88"/>
      <c r="B141" s="115"/>
      <c r="C141" s="115"/>
      <c r="D141" s="89" t="s">
        <v>394</v>
      </c>
      <c r="E141" s="105">
        <f t="shared" si="53"/>
        <v>0</v>
      </c>
      <c r="F141" s="105"/>
      <c r="G141" s="118"/>
      <c r="H141" s="118"/>
      <c r="I141" s="118"/>
      <c r="J141" s="105">
        <f t="shared" si="55"/>
        <v>0</v>
      </c>
      <c r="K141" s="105"/>
      <c r="L141" s="105"/>
      <c r="M141" s="105"/>
      <c r="N141" s="105"/>
      <c r="O141" s="105"/>
      <c r="P141" s="105">
        <f t="shared" si="54"/>
        <v>0</v>
      </c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  <c r="SQ141" s="30"/>
      <c r="SR141" s="30"/>
      <c r="SS141" s="30"/>
      <c r="ST141" s="30"/>
      <c r="SU141" s="30"/>
      <c r="SV141" s="30"/>
      <c r="SW141" s="30"/>
      <c r="SX141" s="30"/>
      <c r="SY141" s="30"/>
      <c r="SZ141" s="30"/>
      <c r="TA141" s="30"/>
      <c r="TB141" s="30"/>
      <c r="TC141" s="30"/>
      <c r="TD141" s="30"/>
      <c r="TE141" s="30"/>
      <c r="TF141" s="30"/>
      <c r="TG141" s="30"/>
    </row>
    <row r="142" spans="1:527" s="22" customFormat="1" ht="31.5" x14ac:dyDescent="0.25">
      <c r="A142" s="60" t="s">
        <v>176</v>
      </c>
      <c r="B142" s="97">
        <f>'дод 8'!A90</f>
        <v>2144</v>
      </c>
      <c r="C142" s="97" t="str">
        <f>'дод 8'!B90</f>
        <v>0763</v>
      </c>
      <c r="D142" s="129" t="str">
        <f>'дод 8'!C90</f>
        <v>Централізовані заходи з лікування хворих на цукровий та нецукровий діабет, у т.ч. за рахунок:</v>
      </c>
      <c r="E142" s="103">
        <f t="shared" si="53"/>
        <v>11403700</v>
      </c>
      <c r="F142" s="103">
        <f>7670800+3732900</f>
        <v>11403700</v>
      </c>
      <c r="G142" s="117"/>
      <c r="H142" s="117"/>
      <c r="I142" s="117"/>
      <c r="J142" s="103">
        <f t="shared" si="55"/>
        <v>0</v>
      </c>
      <c r="K142" s="103"/>
      <c r="L142" s="103"/>
      <c r="M142" s="103"/>
      <c r="N142" s="103"/>
      <c r="O142" s="103"/>
      <c r="P142" s="103">
        <f t="shared" si="54"/>
        <v>11403700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</row>
    <row r="143" spans="1:527" s="24" customFormat="1" ht="47.25" hidden="1" customHeight="1" x14ac:dyDescent="0.25">
      <c r="A143" s="88"/>
      <c r="B143" s="115"/>
      <c r="C143" s="115"/>
      <c r="D143" s="130" t="s">
        <v>393</v>
      </c>
      <c r="E143" s="105">
        <f t="shared" si="53"/>
        <v>0</v>
      </c>
      <c r="F143" s="105"/>
      <c r="G143" s="105"/>
      <c r="H143" s="105"/>
      <c r="I143" s="105"/>
      <c r="J143" s="105">
        <f t="shared" si="55"/>
        <v>0</v>
      </c>
      <c r="K143" s="105"/>
      <c r="L143" s="105"/>
      <c r="M143" s="105"/>
      <c r="N143" s="105"/>
      <c r="O143" s="105"/>
      <c r="P143" s="105">
        <f t="shared" si="54"/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  <c r="TF143" s="30"/>
      <c r="TG143" s="30"/>
    </row>
    <row r="144" spans="1:527" s="24" customFormat="1" ht="63" x14ac:dyDescent="0.25">
      <c r="A144" s="88"/>
      <c r="B144" s="115"/>
      <c r="C144" s="115"/>
      <c r="D144" s="130" t="s">
        <v>394</v>
      </c>
      <c r="E144" s="105">
        <f t="shared" si="53"/>
        <v>11403700</v>
      </c>
      <c r="F144" s="105">
        <f>7670800+3732900</f>
        <v>11403700</v>
      </c>
      <c r="G144" s="118"/>
      <c r="H144" s="118"/>
      <c r="I144" s="118"/>
      <c r="J144" s="105">
        <f t="shared" si="55"/>
        <v>0</v>
      </c>
      <c r="K144" s="105"/>
      <c r="L144" s="105"/>
      <c r="M144" s="105"/>
      <c r="N144" s="105"/>
      <c r="O144" s="105"/>
      <c r="P144" s="105">
        <f t="shared" si="54"/>
        <v>11403700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</row>
    <row r="145" spans="1:527" s="22" customFormat="1" ht="30" customHeight="1" x14ac:dyDescent="0.25">
      <c r="A145" s="60" t="s">
        <v>327</v>
      </c>
      <c r="B145" s="42" t="str">
        <f>'дод 8'!A93</f>
        <v>2151</v>
      </c>
      <c r="C145" s="42" t="str">
        <f>'дод 8'!B93</f>
        <v>0763</v>
      </c>
      <c r="D145" s="61" t="str">
        <f>'дод 8'!C93</f>
        <v>Забезпечення діяльності інших закладів у сфері охорони здоров’я</v>
      </c>
      <c r="E145" s="103">
        <f t="shared" si="53"/>
        <v>3062384</v>
      </c>
      <c r="F145" s="103">
        <f>3049300+13084</f>
        <v>3062384</v>
      </c>
      <c r="G145" s="119">
        <v>2387600</v>
      </c>
      <c r="H145" s="119">
        <f>48700+13084</f>
        <v>61784</v>
      </c>
      <c r="I145" s="117"/>
      <c r="J145" s="103">
        <f t="shared" si="55"/>
        <v>0</v>
      </c>
      <c r="K145" s="103"/>
      <c r="L145" s="103"/>
      <c r="M145" s="103"/>
      <c r="N145" s="103"/>
      <c r="O145" s="103"/>
      <c r="P145" s="103">
        <f t="shared" si="54"/>
        <v>3062384</v>
      </c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</row>
    <row r="146" spans="1:527" s="22" customFormat="1" ht="24.75" customHeight="1" x14ac:dyDescent="0.25">
      <c r="A146" s="60" t="s">
        <v>328</v>
      </c>
      <c r="B146" s="42" t="str">
        <f>'дод 8'!A94</f>
        <v>2152</v>
      </c>
      <c r="C146" s="42" t="str">
        <f>'дод 8'!B94</f>
        <v>0763</v>
      </c>
      <c r="D146" s="36" t="str">
        <f>'дод 8'!C94</f>
        <v>Інші програми та заходи у сфері охорони здоров’я</v>
      </c>
      <c r="E146" s="103">
        <f>F146+I146</f>
        <v>19853800</v>
      </c>
      <c r="F146" s="103">
        <f>19783800+70000</f>
        <v>19853800</v>
      </c>
      <c r="G146" s="103"/>
      <c r="H146" s="103"/>
      <c r="I146" s="103"/>
      <c r="J146" s="103">
        <f t="shared" si="55"/>
        <v>23031354</v>
      </c>
      <c r="K146" s="103">
        <f>19737500+2000000+793854+500000</f>
        <v>23031354</v>
      </c>
      <c r="L146" s="103"/>
      <c r="M146" s="103"/>
      <c r="N146" s="103"/>
      <c r="O146" s="103">
        <f>19737500+2000000+793854+500000</f>
        <v>23031354</v>
      </c>
      <c r="P146" s="103">
        <f t="shared" si="54"/>
        <v>42885154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</row>
    <row r="147" spans="1:527" s="22" customFormat="1" ht="24.75" customHeight="1" x14ac:dyDescent="0.25">
      <c r="A147" s="60" t="s">
        <v>418</v>
      </c>
      <c r="B147" s="42">
        <v>7322</v>
      </c>
      <c r="C147" s="107" t="s">
        <v>113</v>
      </c>
      <c r="D147" s="6" t="s">
        <v>566</v>
      </c>
      <c r="E147" s="103">
        <f>F147+I147</f>
        <v>0</v>
      </c>
      <c r="F147" s="103"/>
      <c r="G147" s="103"/>
      <c r="H147" s="103"/>
      <c r="I147" s="103"/>
      <c r="J147" s="103">
        <f t="shared" si="55"/>
        <v>30933372</v>
      </c>
      <c r="K147" s="103">
        <f>20000000+378711+1600000+3000000+1000000+1024661+1150000-58661+200000+180000+58661+2400000+2201745.9-2201745.9</f>
        <v>30933372</v>
      </c>
      <c r="L147" s="103"/>
      <c r="M147" s="103"/>
      <c r="N147" s="103"/>
      <c r="O147" s="103">
        <f>20000000+378711+1600000+3000000+1000000+1024661+1150000-58661+200000+180000+58661+2400000+2201745.9-2201745.9</f>
        <v>30933372</v>
      </c>
      <c r="P147" s="103">
        <f t="shared" si="54"/>
        <v>30933372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</row>
    <row r="148" spans="1:527" s="22" customFormat="1" ht="47.25" x14ac:dyDescent="0.25">
      <c r="A148" s="60" t="s">
        <v>375</v>
      </c>
      <c r="B148" s="42">
        <f>'дод 8'!A179</f>
        <v>7361</v>
      </c>
      <c r="C148" s="42" t="str">
        <f>'дод 8'!B179</f>
        <v>0490</v>
      </c>
      <c r="D148" s="36" t="str">
        <f>'дод 8'!C179</f>
        <v>Співфінансування інвестиційних проектів, що реалізуються за рахунок коштів державного фонду регіонального розвитку</v>
      </c>
      <c r="E148" s="103">
        <f t="shared" si="53"/>
        <v>0</v>
      </c>
      <c r="F148" s="103"/>
      <c r="G148" s="103"/>
      <c r="H148" s="103"/>
      <c r="I148" s="103"/>
      <c r="J148" s="103">
        <f t="shared" si="55"/>
        <v>4289000</v>
      </c>
      <c r="K148" s="103">
        <f>2289000+2000000</f>
        <v>4289000</v>
      </c>
      <c r="L148" s="103"/>
      <c r="M148" s="103"/>
      <c r="N148" s="103"/>
      <c r="O148" s="103">
        <f>2289000+2000000</f>
        <v>4289000</v>
      </c>
      <c r="P148" s="103">
        <f t="shared" si="54"/>
        <v>4289000</v>
      </c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  <c r="SQ148" s="23"/>
      <c r="SR148" s="23"/>
      <c r="SS148" s="23"/>
      <c r="ST148" s="23"/>
      <c r="SU148" s="23"/>
      <c r="SV148" s="23"/>
      <c r="SW148" s="23"/>
      <c r="SX148" s="23"/>
      <c r="SY148" s="23"/>
      <c r="SZ148" s="23"/>
      <c r="TA148" s="23"/>
      <c r="TB148" s="23"/>
      <c r="TC148" s="23"/>
      <c r="TD148" s="23"/>
      <c r="TE148" s="23"/>
      <c r="TF148" s="23"/>
      <c r="TG148" s="23"/>
    </row>
    <row r="149" spans="1:527" s="22" customFormat="1" ht="47.25" x14ac:dyDescent="0.25">
      <c r="A149" s="60" t="s">
        <v>425</v>
      </c>
      <c r="B149" s="42">
        <v>7363</v>
      </c>
      <c r="C149" s="107" t="s">
        <v>84</v>
      </c>
      <c r="D149" s="61" t="s">
        <v>400</v>
      </c>
      <c r="E149" s="103">
        <f t="shared" si="53"/>
        <v>0</v>
      </c>
      <c r="F149" s="103"/>
      <c r="G149" s="103"/>
      <c r="H149" s="103"/>
      <c r="I149" s="103"/>
      <c r="J149" s="103">
        <f t="shared" si="55"/>
        <v>156000</v>
      </c>
      <c r="K149" s="103">
        <v>156000</v>
      </c>
      <c r="L149" s="103"/>
      <c r="M149" s="103"/>
      <c r="N149" s="103"/>
      <c r="O149" s="103">
        <v>156000</v>
      </c>
      <c r="P149" s="103">
        <f t="shared" si="54"/>
        <v>156000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</row>
    <row r="150" spans="1:527" s="22" customFormat="1" ht="47.25" x14ac:dyDescent="0.25">
      <c r="A150" s="60"/>
      <c r="B150" s="42"/>
      <c r="C150" s="42"/>
      <c r="D150" s="91" t="s">
        <v>572</v>
      </c>
      <c r="E150" s="105">
        <f t="shared" si="53"/>
        <v>0</v>
      </c>
      <c r="F150" s="105"/>
      <c r="G150" s="105"/>
      <c r="H150" s="105"/>
      <c r="I150" s="105"/>
      <c r="J150" s="105">
        <f t="shared" si="55"/>
        <v>156000</v>
      </c>
      <c r="K150" s="105">
        <v>156000</v>
      </c>
      <c r="L150" s="105"/>
      <c r="M150" s="105"/>
      <c r="N150" s="105"/>
      <c r="O150" s="105">
        <v>156000</v>
      </c>
      <c r="P150" s="105">
        <f t="shared" si="54"/>
        <v>156000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  <c r="TF150" s="23"/>
      <c r="TG150" s="23"/>
    </row>
    <row r="151" spans="1:527" s="22" customFormat="1" ht="18.75" customHeight="1" x14ac:dyDescent="0.25">
      <c r="A151" s="60" t="s">
        <v>175</v>
      </c>
      <c r="B151" s="97" t="str">
        <f>'дод 8'!A202</f>
        <v>7640</v>
      </c>
      <c r="C151" s="97" t="str">
        <f>'дод 8'!B202</f>
        <v>0470</v>
      </c>
      <c r="D151" s="61" t="s">
        <v>420</v>
      </c>
      <c r="E151" s="103">
        <f t="shared" si="53"/>
        <v>121500</v>
      </c>
      <c r="F151" s="103">
        <v>121500</v>
      </c>
      <c r="G151" s="103"/>
      <c r="H151" s="103"/>
      <c r="I151" s="103"/>
      <c r="J151" s="103">
        <f t="shared" si="55"/>
        <v>10527570.120000001</v>
      </c>
      <c r="K151" s="103">
        <f>7336970+3190600.12</f>
        <v>10527570.120000001</v>
      </c>
      <c r="L151" s="103"/>
      <c r="M151" s="103"/>
      <c r="N151" s="103"/>
      <c r="O151" s="103">
        <f>7336970+3190600.12</f>
        <v>10527570.120000001</v>
      </c>
      <c r="P151" s="103">
        <f t="shared" si="54"/>
        <v>10649070.120000001</v>
      </c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</row>
    <row r="152" spans="1:527" s="24" customFormat="1" ht="15" customHeight="1" x14ac:dyDescent="0.25">
      <c r="A152" s="88"/>
      <c r="B152" s="115"/>
      <c r="C152" s="115"/>
      <c r="D152" s="89" t="s">
        <v>421</v>
      </c>
      <c r="E152" s="105">
        <f t="shared" si="53"/>
        <v>0</v>
      </c>
      <c r="F152" s="105"/>
      <c r="G152" s="105"/>
      <c r="H152" s="105"/>
      <c r="I152" s="105"/>
      <c r="J152" s="105">
        <f t="shared" si="55"/>
        <v>4662070.12</v>
      </c>
      <c r="K152" s="105">
        <f>1471470+3190600.12</f>
        <v>4662070.12</v>
      </c>
      <c r="L152" s="105"/>
      <c r="M152" s="105"/>
      <c r="N152" s="105"/>
      <c r="O152" s="105">
        <f>1471470+3190600.12</f>
        <v>4662070.12</v>
      </c>
      <c r="P152" s="105">
        <f t="shared" si="54"/>
        <v>4662070.12</v>
      </c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  <c r="SQ152" s="30"/>
      <c r="SR152" s="30"/>
      <c r="SS152" s="30"/>
      <c r="ST152" s="30"/>
      <c r="SU152" s="30"/>
      <c r="SV152" s="30"/>
      <c r="SW152" s="30"/>
      <c r="SX152" s="30"/>
      <c r="SY152" s="30"/>
      <c r="SZ152" s="30"/>
      <c r="TA152" s="30"/>
      <c r="TB152" s="30"/>
      <c r="TC152" s="30"/>
      <c r="TD152" s="30"/>
      <c r="TE152" s="30"/>
      <c r="TF152" s="30"/>
      <c r="TG152" s="30"/>
    </row>
    <row r="153" spans="1:527" s="22" customFormat="1" ht="45" hidden="1" customHeight="1" x14ac:dyDescent="0.25">
      <c r="A153" s="60" t="s">
        <v>363</v>
      </c>
      <c r="B153" s="97">
        <v>7700</v>
      </c>
      <c r="C153" s="60" t="s">
        <v>95</v>
      </c>
      <c r="D153" s="61" t="s">
        <v>364</v>
      </c>
      <c r="E153" s="103">
        <f t="shared" si="53"/>
        <v>0</v>
      </c>
      <c r="F153" s="103"/>
      <c r="G153" s="103"/>
      <c r="H153" s="103"/>
      <c r="I153" s="103"/>
      <c r="J153" s="103">
        <f t="shared" si="55"/>
        <v>0</v>
      </c>
      <c r="K153" s="103"/>
      <c r="L153" s="103"/>
      <c r="M153" s="103"/>
      <c r="N153" s="103"/>
      <c r="O153" s="103">
        <f>630000-630000</f>
        <v>0</v>
      </c>
      <c r="P153" s="103">
        <f t="shared" si="54"/>
        <v>0</v>
      </c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</row>
    <row r="154" spans="1:527" s="22" customFormat="1" ht="15.75" x14ac:dyDescent="0.25">
      <c r="A154" s="60" t="s">
        <v>435</v>
      </c>
      <c r="B154" s="97">
        <v>9770</v>
      </c>
      <c r="C154" s="60" t="s">
        <v>46</v>
      </c>
      <c r="D154" s="61" t="s">
        <v>436</v>
      </c>
      <c r="E154" s="103">
        <f t="shared" si="53"/>
        <v>0</v>
      </c>
      <c r="F154" s="103"/>
      <c r="G154" s="103"/>
      <c r="H154" s="103"/>
      <c r="I154" s="103"/>
      <c r="J154" s="103">
        <f t="shared" si="55"/>
        <v>18000111.600000001</v>
      </c>
      <c r="K154" s="103">
        <f>2000000+1000111.6+15000000</f>
        <v>18000111.600000001</v>
      </c>
      <c r="L154" s="103"/>
      <c r="M154" s="103"/>
      <c r="N154" s="103"/>
      <c r="O154" s="103">
        <f>2000000+1000111.6+15000000</f>
        <v>18000111.600000001</v>
      </c>
      <c r="P154" s="103">
        <f t="shared" si="54"/>
        <v>18000111.600000001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</row>
    <row r="155" spans="1:527" s="27" customFormat="1" ht="36" customHeight="1" x14ac:dyDescent="0.25">
      <c r="A155" s="114" t="s">
        <v>180</v>
      </c>
      <c r="B155" s="116"/>
      <c r="C155" s="116"/>
      <c r="D155" s="111" t="s">
        <v>39</v>
      </c>
      <c r="E155" s="99">
        <f>E156</f>
        <v>201754752.35000002</v>
      </c>
      <c r="F155" s="99">
        <f t="shared" ref="F155:J155" si="56">F156</f>
        <v>201754752.35000002</v>
      </c>
      <c r="G155" s="99">
        <f t="shared" si="56"/>
        <v>60937100</v>
      </c>
      <c r="H155" s="99">
        <f t="shared" si="56"/>
        <v>1606689</v>
      </c>
      <c r="I155" s="99">
        <f t="shared" si="56"/>
        <v>0</v>
      </c>
      <c r="J155" s="99">
        <f t="shared" si="56"/>
        <v>2995024.05</v>
      </c>
      <c r="K155" s="99">
        <f t="shared" ref="K155" si="57">K156</f>
        <v>2898824.05</v>
      </c>
      <c r="L155" s="99">
        <f t="shared" ref="L155" si="58">L156</f>
        <v>96200</v>
      </c>
      <c r="M155" s="99">
        <f t="shared" ref="M155" si="59">M156</f>
        <v>75000</v>
      </c>
      <c r="N155" s="99">
        <f t="shared" ref="N155" si="60">N156</f>
        <v>0</v>
      </c>
      <c r="O155" s="99">
        <f t="shared" ref="O155:P155" si="61">O156</f>
        <v>2898824.05</v>
      </c>
      <c r="P155" s="99">
        <f t="shared" si="61"/>
        <v>204749776.40000004</v>
      </c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2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  <c r="KO155" s="32"/>
      <c r="KP155" s="32"/>
      <c r="KQ155" s="32"/>
      <c r="KR155" s="32"/>
      <c r="KS155" s="32"/>
      <c r="KT155" s="32"/>
      <c r="KU155" s="32"/>
      <c r="KV155" s="32"/>
      <c r="KW155" s="32"/>
      <c r="KX155" s="32"/>
      <c r="KY155" s="32"/>
      <c r="KZ155" s="32"/>
      <c r="LA155" s="32"/>
      <c r="LB155" s="32"/>
      <c r="LC155" s="32"/>
      <c r="LD155" s="32"/>
      <c r="LE155" s="32"/>
      <c r="LF155" s="32"/>
      <c r="LG155" s="32"/>
      <c r="LH155" s="32"/>
      <c r="LI155" s="32"/>
      <c r="LJ155" s="32"/>
      <c r="LK155" s="32"/>
      <c r="LL155" s="32"/>
      <c r="LM155" s="32"/>
      <c r="LN155" s="32"/>
      <c r="LO155" s="32"/>
      <c r="LP155" s="32"/>
      <c r="LQ155" s="32"/>
      <c r="LR155" s="32"/>
      <c r="LS155" s="32"/>
      <c r="LT155" s="32"/>
      <c r="LU155" s="32"/>
      <c r="LV155" s="32"/>
      <c r="LW155" s="32"/>
      <c r="LX155" s="32"/>
      <c r="LY155" s="32"/>
      <c r="LZ155" s="32"/>
      <c r="MA155" s="32"/>
      <c r="MB155" s="32"/>
      <c r="MC155" s="32"/>
      <c r="MD155" s="32"/>
      <c r="ME155" s="32"/>
      <c r="MF155" s="32"/>
      <c r="MG155" s="32"/>
      <c r="MH155" s="32"/>
      <c r="MI155" s="32"/>
      <c r="MJ155" s="32"/>
      <c r="MK155" s="32"/>
      <c r="ML155" s="32"/>
      <c r="MM155" s="32"/>
      <c r="MN155" s="32"/>
      <c r="MO155" s="32"/>
      <c r="MP155" s="32"/>
      <c r="MQ155" s="32"/>
      <c r="MR155" s="32"/>
      <c r="MS155" s="32"/>
      <c r="MT155" s="32"/>
      <c r="MU155" s="32"/>
      <c r="MV155" s="32"/>
      <c r="MW155" s="32"/>
      <c r="MX155" s="32"/>
      <c r="MY155" s="32"/>
      <c r="MZ155" s="32"/>
      <c r="NA155" s="32"/>
      <c r="NB155" s="32"/>
      <c r="NC155" s="32"/>
      <c r="ND155" s="32"/>
      <c r="NE155" s="32"/>
      <c r="NF155" s="32"/>
      <c r="NG155" s="32"/>
      <c r="NH155" s="32"/>
      <c r="NI155" s="32"/>
      <c r="NJ155" s="32"/>
      <c r="NK155" s="32"/>
      <c r="NL155" s="32"/>
      <c r="NM155" s="32"/>
      <c r="NN155" s="32"/>
      <c r="NO155" s="32"/>
      <c r="NP155" s="32"/>
      <c r="NQ155" s="32"/>
      <c r="NR155" s="32"/>
      <c r="NS155" s="32"/>
      <c r="NT155" s="32"/>
      <c r="NU155" s="32"/>
      <c r="NV155" s="32"/>
      <c r="NW155" s="32"/>
      <c r="NX155" s="32"/>
      <c r="NY155" s="32"/>
      <c r="NZ155" s="32"/>
      <c r="OA155" s="32"/>
      <c r="OB155" s="32"/>
      <c r="OC155" s="32"/>
      <c r="OD155" s="32"/>
      <c r="OE155" s="32"/>
      <c r="OF155" s="32"/>
      <c r="OG155" s="32"/>
      <c r="OH155" s="32"/>
      <c r="OI155" s="32"/>
      <c r="OJ155" s="32"/>
      <c r="OK155" s="32"/>
      <c r="OL155" s="32"/>
      <c r="OM155" s="32"/>
      <c r="ON155" s="32"/>
      <c r="OO155" s="32"/>
      <c r="OP155" s="32"/>
      <c r="OQ155" s="32"/>
      <c r="OR155" s="32"/>
      <c r="OS155" s="32"/>
      <c r="OT155" s="32"/>
      <c r="OU155" s="32"/>
      <c r="OV155" s="32"/>
      <c r="OW155" s="32"/>
      <c r="OX155" s="32"/>
      <c r="OY155" s="32"/>
      <c r="OZ155" s="32"/>
      <c r="PA155" s="32"/>
      <c r="PB155" s="32"/>
      <c r="PC155" s="32"/>
      <c r="PD155" s="32"/>
      <c r="PE155" s="32"/>
      <c r="PF155" s="32"/>
      <c r="PG155" s="32"/>
      <c r="PH155" s="32"/>
      <c r="PI155" s="32"/>
      <c r="PJ155" s="32"/>
      <c r="PK155" s="32"/>
      <c r="PL155" s="32"/>
      <c r="PM155" s="32"/>
      <c r="PN155" s="32"/>
      <c r="PO155" s="32"/>
      <c r="PP155" s="32"/>
      <c r="PQ155" s="32"/>
      <c r="PR155" s="32"/>
      <c r="PS155" s="32"/>
      <c r="PT155" s="32"/>
      <c r="PU155" s="32"/>
      <c r="PV155" s="32"/>
      <c r="PW155" s="32"/>
      <c r="PX155" s="32"/>
      <c r="PY155" s="32"/>
      <c r="PZ155" s="32"/>
      <c r="QA155" s="32"/>
      <c r="QB155" s="32"/>
      <c r="QC155" s="32"/>
      <c r="QD155" s="32"/>
      <c r="QE155" s="32"/>
      <c r="QF155" s="32"/>
      <c r="QG155" s="32"/>
      <c r="QH155" s="32"/>
      <c r="QI155" s="32"/>
      <c r="QJ155" s="32"/>
      <c r="QK155" s="32"/>
      <c r="QL155" s="32"/>
      <c r="QM155" s="32"/>
      <c r="QN155" s="32"/>
      <c r="QO155" s="32"/>
      <c r="QP155" s="32"/>
      <c r="QQ155" s="32"/>
      <c r="QR155" s="32"/>
      <c r="QS155" s="32"/>
      <c r="QT155" s="32"/>
      <c r="QU155" s="32"/>
      <c r="QV155" s="32"/>
      <c r="QW155" s="32"/>
      <c r="QX155" s="32"/>
      <c r="QY155" s="32"/>
      <c r="QZ155" s="32"/>
      <c r="RA155" s="32"/>
      <c r="RB155" s="32"/>
      <c r="RC155" s="32"/>
      <c r="RD155" s="32"/>
      <c r="RE155" s="32"/>
      <c r="RF155" s="32"/>
      <c r="RG155" s="32"/>
      <c r="RH155" s="32"/>
      <c r="RI155" s="32"/>
      <c r="RJ155" s="32"/>
      <c r="RK155" s="32"/>
      <c r="RL155" s="32"/>
      <c r="RM155" s="32"/>
      <c r="RN155" s="32"/>
      <c r="RO155" s="32"/>
      <c r="RP155" s="32"/>
      <c r="RQ155" s="32"/>
      <c r="RR155" s="32"/>
      <c r="RS155" s="32"/>
      <c r="RT155" s="32"/>
      <c r="RU155" s="32"/>
      <c r="RV155" s="32"/>
      <c r="RW155" s="32"/>
      <c r="RX155" s="32"/>
      <c r="RY155" s="32"/>
      <c r="RZ155" s="32"/>
      <c r="SA155" s="32"/>
      <c r="SB155" s="32"/>
      <c r="SC155" s="32"/>
      <c r="SD155" s="32"/>
      <c r="SE155" s="32"/>
      <c r="SF155" s="32"/>
      <c r="SG155" s="32"/>
      <c r="SH155" s="32"/>
      <c r="SI155" s="32"/>
      <c r="SJ155" s="32"/>
      <c r="SK155" s="32"/>
      <c r="SL155" s="32"/>
      <c r="SM155" s="32"/>
      <c r="SN155" s="32"/>
      <c r="SO155" s="32"/>
      <c r="SP155" s="32"/>
      <c r="SQ155" s="32"/>
      <c r="SR155" s="32"/>
      <c r="SS155" s="32"/>
      <c r="ST155" s="32"/>
      <c r="SU155" s="32"/>
      <c r="SV155" s="32"/>
      <c r="SW155" s="32"/>
      <c r="SX155" s="32"/>
      <c r="SY155" s="32"/>
      <c r="SZ155" s="32"/>
      <c r="TA155" s="32"/>
      <c r="TB155" s="32"/>
      <c r="TC155" s="32"/>
      <c r="TD155" s="32"/>
      <c r="TE155" s="32"/>
      <c r="TF155" s="32"/>
      <c r="TG155" s="32"/>
    </row>
    <row r="156" spans="1:527" s="34" customFormat="1" ht="32.25" customHeight="1" x14ac:dyDescent="0.25">
      <c r="A156" s="100" t="s">
        <v>181</v>
      </c>
      <c r="B156" s="113"/>
      <c r="C156" s="113"/>
      <c r="D156" s="81" t="s">
        <v>396</v>
      </c>
      <c r="E156" s="102">
        <f>E162+E163+E164+E165+E166+E168+E169+E170+E172+E174+E175+E176+E178+E180+E181+E182+E183+E184+E185+E187+E189+E191+E192+E194+E195</f>
        <v>201754752.35000002</v>
      </c>
      <c r="F156" s="102">
        <f t="shared" ref="F156:P156" si="62">F162+F163+F164+F165+F166+F168+F169+F170+F172+F174+F175+F176+F178+F180+F181+F182+F183+F184+F185+F187+F189+F191+F192+F194+F195</f>
        <v>201754752.35000002</v>
      </c>
      <c r="G156" s="102">
        <f t="shared" si="62"/>
        <v>60937100</v>
      </c>
      <c r="H156" s="102">
        <f t="shared" si="62"/>
        <v>1606689</v>
      </c>
      <c r="I156" s="102">
        <f t="shared" si="62"/>
        <v>0</v>
      </c>
      <c r="J156" s="102">
        <f t="shared" si="62"/>
        <v>2995024.05</v>
      </c>
      <c r="K156" s="102">
        <f t="shared" si="62"/>
        <v>2898824.05</v>
      </c>
      <c r="L156" s="102">
        <f t="shared" si="62"/>
        <v>96200</v>
      </c>
      <c r="M156" s="102">
        <f t="shared" si="62"/>
        <v>75000</v>
      </c>
      <c r="N156" s="102">
        <f t="shared" si="62"/>
        <v>0</v>
      </c>
      <c r="O156" s="102">
        <f t="shared" si="62"/>
        <v>2898824.05</v>
      </c>
      <c r="P156" s="102">
        <f t="shared" si="62"/>
        <v>204749776.40000004</v>
      </c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  <c r="QA156" s="33"/>
      <c r="QB156" s="33"/>
      <c r="QC156" s="33"/>
      <c r="QD156" s="33"/>
      <c r="QE156" s="33"/>
      <c r="QF156" s="33"/>
      <c r="QG156" s="33"/>
      <c r="QH156" s="33"/>
      <c r="QI156" s="33"/>
      <c r="QJ156" s="33"/>
      <c r="QK156" s="33"/>
      <c r="QL156" s="33"/>
      <c r="QM156" s="33"/>
      <c r="QN156" s="33"/>
      <c r="QO156" s="33"/>
      <c r="QP156" s="33"/>
      <c r="QQ156" s="33"/>
      <c r="QR156" s="33"/>
      <c r="QS156" s="33"/>
      <c r="QT156" s="33"/>
      <c r="QU156" s="33"/>
      <c r="QV156" s="33"/>
      <c r="QW156" s="33"/>
      <c r="QX156" s="33"/>
      <c r="QY156" s="33"/>
      <c r="QZ156" s="33"/>
      <c r="RA156" s="33"/>
      <c r="RB156" s="33"/>
      <c r="RC156" s="33"/>
      <c r="RD156" s="33"/>
      <c r="RE156" s="33"/>
      <c r="RF156" s="33"/>
      <c r="RG156" s="33"/>
      <c r="RH156" s="33"/>
      <c r="RI156" s="33"/>
      <c r="RJ156" s="33"/>
      <c r="RK156" s="33"/>
      <c r="RL156" s="33"/>
      <c r="RM156" s="33"/>
      <c r="RN156" s="33"/>
      <c r="RO156" s="33"/>
      <c r="RP156" s="33"/>
      <c r="RQ156" s="33"/>
      <c r="RR156" s="33"/>
      <c r="RS156" s="33"/>
      <c r="RT156" s="33"/>
      <c r="RU156" s="33"/>
      <c r="RV156" s="33"/>
      <c r="RW156" s="33"/>
      <c r="RX156" s="33"/>
      <c r="RY156" s="33"/>
      <c r="RZ156" s="33"/>
      <c r="SA156" s="33"/>
      <c r="SB156" s="33"/>
      <c r="SC156" s="33"/>
      <c r="SD156" s="33"/>
      <c r="SE156" s="33"/>
      <c r="SF156" s="33"/>
      <c r="SG156" s="33"/>
      <c r="SH156" s="33"/>
      <c r="SI156" s="33"/>
      <c r="SJ156" s="33"/>
      <c r="SK156" s="33"/>
      <c r="SL156" s="33"/>
      <c r="SM156" s="33"/>
      <c r="SN156" s="33"/>
      <c r="SO156" s="33"/>
      <c r="SP156" s="33"/>
      <c r="SQ156" s="33"/>
      <c r="SR156" s="33"/>
      <c r="SS156" s="33"/>
      <c r="ST156" s="33"/>
      <c r="SU156" s="33"/>
      <c r="SV156" s="33"/>
      <c r="SW156" s="33"/>
      <c r="SX156" s="33"/>
      <c r="SY156" s="33"/>
      <c r="SZ156" s="33"/>
      <c r="TA156" s="33"/>
      <c r="TB156" s="33"/>
      <c r="TC156" s="33"/>
      <c r="TD156" s="33"/>
      <c r="TE156" s="33"/>
      <c r="TF156" s="33"/>
      <c r="TG156" s="33"/>
    </row>
    <row r="157" spans="1:527" s="34" customFormat="1" ht="275.25" hidden="1" customHeight="1" x14ac:dyDescent="0.25">
      <c r="A157" s="100"/>
      <c r="B157" s="113"/>
      <c r="C157" s="113"/>
      <c r="D157" s="81" t="str">
        <f>'дод 8'!C96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02">
        <f>E186</f>
        <v>0</v>
      </c>
      <c r="F157" s="102">
        <f>L186</f>
        <v>0</v>
      </c>
      <c r="G157" s="102">
        <f t="shared" ref="G157:P157" si="63">G186</f>
        <v>0</v>
      </c>
      <c r="H157" s="102">
        <f t="shared" si="63"/>
        <v>0</v>
      </c>
      <c r="I157" s="102">
        <f t="shared" si="63"/>
        <v>0</v>
      </c>
      <c r="J157" s="102">
        <f t="shared" si="63"/>
        <v>975480.06</v>
      </c>
      <c r="K157" s="102">
        <f t="shared" si="63"/>
        <v>975480.06</v>
      </c>
      <c r="L157" s="102">
        <f t="shared" si="63"/>
        <v>0</v>
      </c>
      <c r="M157" s="102">
        <f t="shared" si="63"/>
        <v>0</v>
      </c>
      <c r="N157" s="102">
        <f t="shared" si="63"/>
        <v>0</v>
      </c>
      <c r="O157" s="102">
        <f t="shared" si="63"/>
        <v>975480.06</v>
      </c>
      <c r="P157" s="102">
        <f t="shared" si="63"/>
        <v>975480.06</v>
      </c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</row>
    <row r="158" spans="1:527" s="34" customFormat="1" ht="255" hidden="1" customHeight="1" x14ac:dyDescent="0.25">
      <c r="A158" s="100"/>
      <c r="B158" s="113"/>
      <c r="C158" s="113"/>
      <c r="D158" s="81" t="str">
        <f>'дод 8'!C97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8" s="102">
        <f>E190</f>
        <v>0</v>
      </c>
      <c r="F158" s="102">
        <f t="shared" ref="F158:P158" si="64">F190</f>
        <v>0</v>
      </c>
      <c r="G158" s="102">
        <f t="shared" si="64"/>
        <v>0</v>
      </c>
      <c r="H158" s="102">
        <f t="shared" si="64"/>
        <v>0</v>
      </c>
      <c r="I158" s="102">
        <f t="shared" si="64"/>
        <v>0</v>
      </c>
      <c r="J158" s="102">
        <f t="shared" si="64"/>
        <v>0</v>
      </c>
      <c r="K158" s="102">
        <f t="shared" si="64"/>
        <v>0</v>
      </c>
      <c r="L158" s="102">
        <f t="shared" si="64"/>
        <v>0</v>
      </c>
      <c r="M158" s="102">
        <f t="shared" si="64"/>
        <v>0</v>
      </c>
      <c r="N158" s="102">
        <f t="shared" si="64"/>
        <v>0</v>
      </c>
      <c r="O158" s="102">
        <f t="shared" si="64"/>
        <v>0</v>
      </c>
      <c r="P158" s="102">
        <f t="shared" si="64"/>
        <v>0</v>
      </c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</row>
    <row r="159" spans="1:527" s="34" customFormat="1" ht="15.75" x14ac:dyDescent="0.25">
      <c r="A159" s="100"/>
      <c r="B159" s="113"/>
      <c r="C159" s="113"/>
      <c r="D159" s="81" t="s">
        <v>397</v>
      </c>
      <c r="E159" s="102">
        <f>E167+E171+E173+E177+E179+E193</f>
        <v>4858460.24</v>
      </c>
      <c r="F159" s="102">
        <f t="shared" ref="F159:P159" si="65">F167+F171+F173+F177+F179+F193</f>
        <v>4858460.24</v>
      </c>
      <c r="G159" s="102">
        <f t="shared" si="65"/>
        <v>0</v>
      </c>
      <c r="H159" s="102">
        <f t="shared" si="65"/>
        <v>0</v>
      </c>
      <c r="I159" s="102">
        <f t="shared" si="65"/>
        <v>0</v>
      </c>
      <c r="J159" s="102">
        <f t="shared" si="65"/>
        <v>0</v>
      </c>
      <c r="K159" s="102">
        <f t="shared" si="65"/>
        <v>0</v>
      </c>
      <c r="L159" s="102">
        <f t="shared" si="65"/>
        <v>0</v>
      </c>
      <c r="M159" s="102">
        <f t="shared" si="65"/>
        <v>0</v>
      </c>
      <c r="N159" s="102">
        <f t="shared" si="65"/>
        <v>0</v>
      </c>
      <c r="O159" s="102">
        <f t="shared" si="65"/>
        <v>0</v>
      </c>
      <c r="P159" s="102">
        <f t="shared" si="65"/>
        <v>4858460.24</v>
      </c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</row>
    <row r="160" spans="1:527" s="34" customFormat="1" ht="306.75" customHeight="1" x14ac:dyDescent="0.25">
      <c r="A160" s="100"/>
      <c r="B160" s="113"/>
      <c r="C160" s="113"/>
      <c r="D160" s="81" t="s">
        <v>608</v>
      </c>
      <c r="E160" s="102">
        <f>E186</f>
        <v>0</v>
      </c>
      <c r="F160" s="102">
        <f t="shared" ref="F160:P160" si="66">F186</f>
        <v>0</v>
      </c>
      <c r="G160" s="102">
        <f t="shared" si="66"/>
        <v>0</v>
      </c>
      <c r="H160" s="102">
        <f t="shared" si="66"/>
        <v>0</v>
      </c>
      <c r="I160" s="102">
        <f t="shared" si="66"/>
        <v>0</v>
      </c>
      <c r="J160" s="102">
        <f t="shared" si="66"/>
        <v>975480.06</v>
      </c>
      <c r="K160" s="102">
        <f t="shared" si="66"/>
        <v>975480.06</v>
      </c>
      <c r="L160" s="102">
        <f t="shared" si="66"/>
        <v>0</v>
      </c>
      <c r="M160" s="102">
        <f t="shared" si="66"/>
        <v>0</v>
      </c>
      <c r="N160" s="102">
        <f t="shared" si="66"/>
        <v>0</v>
      </c>
      <c r="O160" s="102">
        <f t="shared" si="66"/>
        <v>975480.06</v>
      </c>
      <c r="P160" s="102">
        <f t="shared" si="66"/>
        <v>975480.06</v>
      </c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</row>
    <row r="161" spans="1:527" s="34" customFormat="1" ht="369.75" customHeight="1" x14ac:dyDescent="0.25">
      <c r="A161" s="100"/>
      <c r="B161" s="113"/>
      <c r="C161" s="113"/>
      <c r="D161" s="81" t="s">
        <v>609</v>
      </c>
      <c r="E161" s="102">
        <f>E188</f>
        <v>0</v>
      </c>
      <c r="F161" s="102">
        <f t="shared" ref="F161:P161" si="67">F188</f>
        <v>0</v>
      </c>
      <c r="G161" s="102">
        <f t="shared" si="67"/>
        <v>0</v>
      </c>
      <c r="H161" s="102">
        <f t="shared" si="67"/>
        <v>0</v>
      </c>
      <c r="I161" s="102">
        <f t="shared" si="67"/>
        <v>0</v>
      </c>
      <c r="J161" s="102">
        <f t="shared" si="67"/>
        <v>1176130.99</v>
      </c>
      <c r="K161" s="102">
        <f t="shared" si="67"/>
        <v>1176130.99</v>
      </c>
      <c r="L161" s="102">
        <f t="shared" si="67"/>
        <v>0</v>
      </c>
      <c r="M161" s="102">
        <f t="shared" si="67"/>
        <v>0</v>
      </c>
      <c r="N161" s="102">
        <f t="shared" si="67"/>
        <v>0</v>
      </c>
      <c r="O161" s="102">
        <f t="shared" si="67"/>
        <v>1176130.99</v>
      </c>
      <c r="P161" s="102">
        <f t="shared" si="67"/>
        <v>1176130.99</v>
      </c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</row>
    <row r="162" spans="1:527" s="22" customFormat="1" ht="45.75" customHeight="1" x14ac:dyDescent="0.25">
      <c r="A162" s="60" t="s">
        <v>182</v>
      </c>
      <c r="B162" s="97" t="str">
        <f>'дод 8'!A19</f>
        <v>0160</v>
      </c>
      <c r="C162" s="97" t="str">
        <f>'дод 8'!B19</f>
        <v>0111</v>
      </c>
      <c r="D162" s="36" t="s">
        <v>503</v>
      </c>
      <c r="E162" s="103">
        <f t="shared" ref="E162:E195" si="68">F162+I162</f>
        <v>55520560</v>
      </c>
      <c r="F162" s="103">
        <f>55404100-2500-39500+158460</f>
        <v>55520560</v>
      </c>
      <c r="G162" s="103">
        <v>43270200</v>
      </c>
      <c r="H162" s="103">
        <f>762000+158460</f>
        <v>920460</v>
      </c>
      <c r="I162" s="103"/>
      <c r="J162" s="103">
        <f>L162+O162</f>
        <v>68000</v>
      </c>
      <c r="K162" s="103">
        <v>68000</v>
      </c>
      <c r="L162" s="103"/>
      <c r="M162" s="103"/>
      <c r="N162" s="103"/>
      <c r="O162" s="103">
        <v>68000</v>
      </c>
      <c r="P162" s="103">
        <f t="shared" ref="P162:P195" si="69">E162+J162</f>
        <v>55588560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</row>
    <row r="163" spans="1:527" s="22" customFormat="1" ht="23.25" customHeight="1" x14ac:dyDescent="0.25">
      <c r="A163" s="60" t="s">
        <v>549</v>
      </c>
      <c r="B163" s="60" t="s">
        <v>46</v>
      </c>
      <c r="C163" s="60" t="s">
        <v>95</v>
      </c>
      <c r="D163" s="36" t="s">
        <v>244</v>
      </c>
      <c r="E163" s="103">
        <f t="shared" si="68"/>
        <v>39500</v>
      </c>
      <c r="F163" s="103">
        <v>39500</v>
      </c>
      <c r="G163" s="103"/>
      <c r="H163" s="103"/>
      <c r="I163" s="103"/>
      <c r="J163" s="103">
        <f>L163+O163</f>
        <v>0</v>
      </c>
      <c r="K163" s="103"/>
      <c r="L163" s="103"/>
      <c r="M163" s="103"/>
      <c r="N163" s="103"/>
      <c r="O163" s="103"/>
      <c r="P163" s="103">
        <f t="shared" si="69"/>
        <v>39500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</row>
    <row r="164" spans="1:527" s="23" customFormat="1" ht="36" customHeight="1" x14ac:dyDescent="0.25">
      <c r="A164" s="60" t="s">
        <v>183</v>
      </c>
      <c r="B164" s="97" t="str">
        <f>'дод 8'!A101</f>
        <v>3031</v>
      </c>
      <c r="C164" s="97" t="str">
        <f>'дод 8'!B101</f>
        <v>1030</v>
      </c>
      <c r="D164" s="61" t="str">
        <f>'дод 8'!C101</f>
        <v>Надання інших пільг окремим категоріям громадян відповідно до законодавства</v>
      </c>
      <c r="E164" s="103">
        <f t="shared" si="68"/>
        <v>604900</v>
      </c>
      <c r="F164" s="103">
        <v>604900</v>
      </c>
      <c r="G164" s="103"/>
      <c r="H164" s="103"/>
      <c r="I164" s="103"/>
      <c r="J164" s="103">
        <f t="shared" ref="J164:J190" si="70">L164+O164</f>
        <v>0</v>
      </c>
      <c r="K164" s="103"/>
      <c r="L164" s="103"/>
      <c r="M164" s="103"/>
      <c r="N164" s="103"/>
      <c r="O164" s="103"/>
      <c r="P164" s="103">
        <f t="shared" si="69"/>
        <v>604900</v>
      </c>
    </row>
    <row r="165" spans="1:527" s="23" customFormat="1" ht="33" customHeight="1" x14ac:dyDescent="0.25">
      <c r="A165" s="60" t="s">
        <v>184</v>
      </c>
      <c r="B165" s="97" t="str">
        <f>'дод 8'!A102</f>
        <v>3032</v>
      </c>
      <c r="C165" s="97" t="str">
        <f>'дод 8'!B102</f>
        <v>1070</v>
      </c>
      <c r="D165" s="61" t="str">
        <f>'дод 8'!C102</f>
        <v>Надання пільг окремим категоріям громадян з оплати послуг зв'язку</v>
      </c>
      <c r="E165" s="103">
        <f t="shared" si="68"/>
        <v>1129230</v>
      </c>
      <c r="F165" s="103">
        <f>1150000-20770</f>
        <v>1129230</v>
      </c>
      <c r="G165" s="103"/>
      <c r="H165" s="103"/>
      <c r="I165" s="103"/>
      <c r="J165" s="103">
        <f t="shared" si="70"/>
        <v>0</v>
      </c>
      <c r="K165" s="103"/>
      <c r="L165" s="103"/>
      <c r="M165" s="103"/>
      <c r="N165" s="103"/>
      <c r="O165" s="103"/>
      <c r="P165" s="103">
        <f t="shared" si="69"/>
        <v>1129230</v>
      </c>
    </row>
    <row r="166" spans="1:527" s="23" customFormat="1" ht="48.75" customHeight="1" x14ac:dyDescent="0.25">
      <c r="A166" s="60" t="s">
        <v>354</v>
      </c>
      <c r="B166" s="97" t="str">
        <f>'дод 8'!A103</f>
        <v>3033</v>
      </c>
      <c r="C166" s="97" t="str">
        <f>'дод 8'!B103</f>
        <v>1070</v>
      </c>
      <c r="D166" s="61" t="str">
        <f>'дод 8'!C103</f>
        <v>Компенсаційні виплати на пільговий проїзд автомобільним транспортом окремим категоріям громадян</v>
      </c>
      <c r="E166" s="103">
        <f t="shared" si="68"/>
        <v>24277961.240000002</v>
      </c>
      <c r="F166" s="103">
        <f>3342111.24+19700200+44220+1920+11410+500000+678100</f>
        <v>24277961.240000002</v>
      </c>
      <c r="G166" s="103"/>
      <c r="H166" s="103"/>
      <c r="I166" s="103"/>
      <c r="J166" s="103">
        <f t="shared" si="70"/>
        <v>0</v>
      </c>
      <c r="K166" s="103"/>
      <c r="L166" s="103"/>
      <c r="M166" s="103"/>
      <c r="N166" s="103"/>
      <c r="O166" s="103"/>
      <c r="P166" s="103">
        <f t="shared" si="69"/>
        <v>24277961.240000002</v>
      </c>
    </row>
    <row r="167" spans="1:527" s="30" customFormat="1" ht="20.25" customHeight="1" x14ac:dyDescent="0.25">
      <c r="A167" s="88"/>
      <c r="B167" s="115"/>
      <c r="C167" s="115"/>
      <c r="D167" s="89" t="s">
        <v>395</v>
      </c>
      <c r="E167" s="105">
        <f t="shared" si="68"/>
        <v>3399661.24</v>
      </c>
      <c r="F167" s="105">
        <f>3342111.24+44220+1920+11410</f>
        <v>3399661.24</v>
      </c>
      <c r="G167" s="105"/>
      <c r="H167" s="105"/>
      <c r="I167" s="105"/>
      <c r="J167" s="105">
        <f t="shared" si="70"/>
        <v>0</v>
      </c>
      <c r="K167" s="105"/>
      <c r="L167" s="105"/>
      <c r="M167" s="105"/>
      <c r="N167" s="105"/>
      <c r="O167" s="105"/>
      <c r="P167" s="105">
        <f t="shared" si="69"/>
        <v>3399661.24</v>
      </c>
    </row>
    <row r="168" spans="1:527" s="23" customFormat="1" ht="35.25" customHeight="1" x14ac:dyDescent="0.25">
      <c r="A168" s="60" t="s">
        <v>326</v>
      </c>
      <c r="B168" s="97" t="str">
        <f>'дод 8'!A105</f>
        <v>3035</v>
      </c>
      <c r="C168" s="97" t="str">
        <f>'дод 8'!B105</f>
        <v>1070</v>
      </c>
      <c r="D168" s="61" t="str">
        <f>'дод 8'!C105</f>
        <v>Компенсаційні виплати за пільговий проїзд окремих категорій громадян на залізничному транспорті</v>
      </c>
      <c r="E168" s="103">
        <f t="shared" si="68"/>
        <v>1500000</v>
      </c>
      <c r="F168" s="103">
        <v>1500000</v>
      </c>
      <c r="G168" s="103"/>
      <c r="H168" s="103"/>
      <c r="I168" s="103"/>
      <c r="J168" s="103">
        <f t="shared" si="70"/>
        <v>0</v>
      </c>
      <c r="K168" s="103"/>
      <c r="L168" s="103"/>
      <c r="M168" s="103"/>
      <c r="N168" s="103"/>
      <c r="O168" s="103"/>
      <c r="P168" s="103">
        <f t="shared" si="69"/>
        <v>1500000</v>
      </c>
    </row>
    <row r="169" spans="1:527" s="23" customFormat="1" ht="36" customHeight="1" x14ac:dyDescent="0.25">
      <c r="A169" s="60" t="s">
        <v>185</v>
      </c>
      <c r="B169" s="97" t="str">
        <f>'дод 8'!A106</f>
        <v>3036</v>
      </c>
      <c r="C169" s="97" t="str">
        <f>'дод 8'!B106</f>
        <v>1070</v>
      </c>
      <c r="D169" s="61" t="str">
        <f>'дод 8'!C106</f>
        <v>Компенсаційні виплати на пільговий проїзд електротранспортом окремим категоріям громадян</v>
      </c>
      <c r="E169" s="103">
        <f t="shared" si="68"/>
        <v>41093700</v>
      </c>
      <c r="F169" s="103">
        <f>37333000+3760700</f>
        <v>41093700</v>
      </c>
      <c r="G169" s="103"/>
      <c r="H169" s="103"/>
      <c r="I169" s="103"/>
      <c r="J169" s="103">
        <f t="shared" si="70"/>
        <v>0</v>
      </c>
      <c r="K169" s="103"/>
      <c r="L169" s="103"/>
      <c r="M169" s="103"/>
      <c r="N169" s="103"/>
      <c r="O169" s="103"/>
      <c r="P169" s="103">
        <f t="shared" si="69"/>
        <v>41093700</v>
      </c>
    </row>
    <row r="170" spans="1:527" s="22" customFormat="1" ht="47.25" x14ac:dyDescent="0.25">
      <c r="A170" s="60" t="s">
        <v>352</v>
      </c>
      <c r="B170" s="97" t="str">
        <f>'дод 8'!A107</f>
        <v>3050</v>
      </c>
      <c r="C170" s="97" t="str">
        <f>'дод 8'!B107</f>
        <v>1070</v>
      </c>
      <c r="D170" s="61" t="str">
        <f>'дод 8'!C107</f>
        <v>Пільгове медичне обслуговування осіб, які постраждали внаслідок Чорнобильської катастрофи, у т.ч. за рахунок:</v>
      </c>
      <c r="E170" s="103">
        <f t="shared" si="68"/>
        <v>667500</v>
      </c>
      <c r="F170" s="103">
        <v>667500</v>
      </c>
      <c r="G170" s="103"/>
      <c r="H170" s="103"/>
      <c r="I170" s="103"/>
      <c r="J170" s="103">
        <f t="shared" si="70"/>
        <v>0</v>
      </c>
      <c r="K170" s="103"/>
      <c r="L170" s="103"/>
      <c r="M170" s="103"/>
      <c r="N170" s="103"/>
      <c r="O170" s="103"/>
      <c r="P170" s="103">
        <f t="shared" si="69"/>
        <v>667500</v>
      </c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</row>
    <row r="171" spans="1:527" s="24" customFormat="1" ht="15.75" x14ac:dyDescent="0.25">
      <c r="A171" s="88"/>
      <c r="B171" s="115"/>
      <c r="C171" s="115"/>
      <c r="D171" s="89" t="s">
        <v>395</v>
      </c>
      <c r="E171" s="105">
        <f t="shared" si="68"/>
        <v>667500</v>
      </c>
      <c r="F171" s="105">
        <v>667500</v>
      </c>
      <c r="G171" s="105"/>
      <c r="H171" s="105"/>
      <c r="I171" s="105"/>
      <c r="J171" s="105">
        <f t="shared" si="70"/>
        <v>0</v>
      </c>
      <c r="K171" s="105"/>
      <c r="L171" s="105"/>
      <c r="M171" s="105"/>
      <c r="N171" s="105"/>
      <c r="O171" s="105"/>
      <c r="P171" s="105">
        <f t="shared" si="69"/>
        <v>667500</v>
      </c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  <c r="ID171" s="30"/>
      <c r="IE171" s="30"/>
      <c r="IF171" s="30"/>
      <c r="IG171" s="30"/>
      <c r="IH171" s="30"/>
      <c r="II171" s="30"/>
      <c r="IJ171" s="30"/>
      <c r="IK171" s="30"/>
      <c r="IL171" s="30"/>
      <c r="IM171" s="30"/>
      <c r="IN171" s="30"/>
      <c r="IO171" s="30"/>
      <c r="IP171" s="30"/>
      <c r="IQ171" s="30"/>
      <c r="IR171" s="30"/>
      <c r="IS171" s="30"/>
      <c r="IT171" s="30"/>
      <c r="IU171" s="30"/>
      <c r="IV171" s="30"/>
      <c r="IW171" s="30"/>
      <c r="IX171" s="30"/>
      <c r="IY171" s="30"/>
      <c r="IZ171" s="30"/>
      <c r="JA171" s="30"/>
      <c r="JB171" s="30"/>
      <c r="JC171" s="30"/>
      <c r="JD171" s="30"/>
      <c r="JE171" s="30"/>
      <c r="JF171" s="30"/>
      <c r="JG171" s="30"/>
      <c r="JH171" s="30"/>
      <c r="JI171" s="30"/>
      <c r="JJ171" s="30"/>
      <c r="JK171" s="30"/>
      <c r="JL171" s="30"/>
      <c r="JM171" s="30"/>
      <c r="JN171" s="30"/>
      <c r="JO171" s="30"/>
      <c r="JP171" s="30"/>
      <c r="JQ171" s="30"/>
      <c r="JR171" s="30"/>
      <c r="JS171" s="30"/>
      <c r="JT171" s="30"/>
      <c r="JU171" s="30"/>
      <c r="JV171" s="30"/>
      <c r="JW171" s="30"/>
      <c r="JX171" s="30"/>
      <c r="JY171" s="30"/>
      <c r="JZ171" s="30"/>
      <c r="KA171" s="30"/>
      <c r="KB171" s="30"/>
      <c r="KC171" s="30"/>
      <c r="KD171" s="30"/>
      <c r="KE171" s="30"/>
      <c r="KF171" s="30"/>
      <c r="KG171" s="30"/>
      <c r="KH171" s="30"/>
      <c r="KI171" s="30"/>
      <c r="KJ171" s="30"/>
      <c r="KK171" s="30"/>
      <c r="KL171" s="30"/>
      <c r="KM171" s="30"/>
      <c r="KN171" s="30"/>
      <c r="KO171" s="30"/>
      <c r="KP171" s="30"/>
      <c r="KQ171" s="30"/>
      <c r="KR171" s="30"/>
      <c r="KS171" s="30"/>
      <c r="KT171" s="30"/>
      <c r="KU171" s="30"/>
      <c r="KV171" s="30"/>
      <c r="KW171" s="30"/>
      <c r="KX171" s="30"/>
      <c r="KY171" s="30"/>
      <c r="KZ171" s="30"/>
      <c r="LA171" s="30"/>
      <c r="LB171" s="30"/>
      <c r="LC171" s="30"/>
      <c r="LD171" s="30"/>
      <c r="LE171" s="30"/>
      <c r="LF171" s="30"/>
      <c r="LG171" s="30"/>
      <c r="LH171" s="30"/>
      <c r="LI171" s="30"/>
      <c r="LJ171" s="30"/>
      <c r="LK171" s="30"/>
      <c r="LL171" s="30"/>
      <c r="LM171" s="30"/>
      <c r="LN171" s="30"/>
      <c r="LO171" s="30"/>
      <c r="LP171" s="30"/>
      <c r="LQ171" s="30"/>
      <c r="LR171" s="30"/>
      <c r="LS171" s="30"/>
      <c r="LT171" s="30"/>
      <c r="LU171" s="30"/>
      <c r="LV171" s="30"/>
      <c r="LW171" s="30"/>
      <c r="LX171" s="30"/>
      <c r="LY171" s="30"/>
      <c r="LZ171" s="30"/>
      <c r="MA171" s="30"/>
      <c r="MB171" s="30"/>
      <c r="MC171" s="30"/>
      <c r="MD171" s="30"/>
      <c r="ME171" s="30"/>
      <c r="MF171" s="30"/>
      <c r="MG171" s="30"/>
      <c r="MH171" s="30"/>
      <c r="MI171" s="30"/>
      <c r="MJ171" s="30"/>
      <c r="MK171" s="30"/>
      <c r="ML171" s="30"/>
      <c r="MM171" s="30"/>
      <c r="MN171" s="30"/>
      <c r="MO171" s="30"/>
      <c r="MP171" s="30"/>
      <c r="MQ171" s="30"/>
      <c r="MR171" s="30"/>
      <c r="MS171" s="30"/>
      <c r="MT171" s="30"/>
      <c r="MU171" s="30"/>
      <c r="MV171" s="30"/>
      <c r="MW171" s="30"/>
      <c r="MX171" s="30"/>
      <c r="MY171" s="30"/>
      <c r="MZ171" s="30"/>
      <c r="NA171" s="30"/>
      <c r="NB171" s="30"/>
      <c r="NC171" s="30"/>
      <c r="ND171" s="30"/>
      <c r="NE171" s="30"/>
      <c r="NF171" s="30"/>
      <c r="NG171" s="30"/>
      <c r="NH171" s="30"/>
      <c r="NI171" s="30"/>
      <c r="NJ171" s="30"/>
      <c r="NK171" s="30"/>
      <c r="NL171" s="30"/>
      <c r="NM171" s="30"/>
      <c r="NN171" s="30"/>
      <c r="NO171" s="30"/>
      <c r="NP171" s="30"/>
      <c r="NQ171" s="30"/>
      <c r="NR171" s="30"/>
      <c r="NS171" s="30"/>
      <c r="NT171" s="30"/>
      <c r="NU171" s="30"/>
      <c r="NV171" s="30"/>
      <c r="NW171" s="30"/>
      <c r="NX171" s="30"/>
      <c r="NY171" s="30"/>
      <c r="NZ171" s="30"/>
      <c r="OA171" s="30"/>
      <c r="OB171" s="30"/>
      <c r="OC171" s="30"/>
      <c r="OD171" s="30"/>
      <c r="OE171" s="30"/>
      <c r="OF171" s="30"/>
      <c r="OG171" s="30"/>
      <c r="OH171" s="30"/>
      <c r="OI171" s="30"/>
      <c r="OJ171" s="30"/>
      <c r="OK171" s="30"/>
      <c r="OL171" s="30"/>
      <c r="OM171" s="30"/>
      <c r="ON171" s="30"/>
      <c r="OO171" s="30"/>
      <c r="OP171" s="30"/>
      <c r="OQ171" s="30"/>
      <c r="OR171" s="30"/>
      <c r="OS171" s="30"/>
      <c r="OT171" s="30"/>
      <c r="OU171" s="30"/>
      <c r="OV171" s="30"/>
      <c r="OW171" s="30"/>
      <c r="OX171" s="30"/>
      <c r="OY171" s="30"/>
      <c r="OZ171" s="30"/>
      <c r="PA171" s="30"/>
      <c r="PB171" s="30"/>
      <c r="PC171" s="30"/>
      <c r="PD171" s="30"/>
      <c r="PE171" s="30"/>
      <c r="PF171" s="30"/>
      <c r="PG171" s="30"/>
      <c r="PH171" s="30"/>
      <c r="PI171" s="30"/>
      <c r="PJ171" s="30"/>
      <c r="PK171" s="30"/>
      <c r="PL171" s="30"/>
      <c r="PM171" s="30"/>
      <c r="PN171" s="30"/>
      <c r="PO171" s="30"/>
      <c r="PP171" s="30"/>
      <c r="PQ171" s="30"/>
      <c r="PR171" s="30"/>
      <c r="PS171" s="30"/>
      <c r="PT171" s="30"/>
      <c r="PU171" s="30"/>
      <c r="PV171" s="30"/>
      <c r="PW171" s="30"/>
      <c r="PX171" s="30"/>
      <c r="PY171" s="30"/>
      <c r="PZ171" s="30"/>
      <c r="QA171" s="30"/>
      <c r="QB171" s="30"/>
      <c r="QC171" s="30"/>
      <c r="QD171" s="30"/>
      <c r="QE171" s="30"/>
      <c r="QF171" s="30"/>
      <c r="QG171" s="30"/>
      <c r="QH171" s="30"/>
      <c r="QI171" s="30"/>
      <c r="QJ171" s="30"/>
      <c r="QK171" s="30"/>
      <c r="QL171" s="30"/>
      <c r="QM171" s="30"/>
      <c r="QN171" s="30"/>
      <c r="QO171" s="30"/>
      <c r="QP171" s="30"/>
      <c r="QQ171" s="30"/>
      <c r="QR171" s="30"/>
      <c r="QS171" s="30"/>
      <c r="QT171" s="30"/>
      <c r="QU171" s="30"/>
      <c r="QV171" s="30"/>
      <c r="QW171" s="30"/>
      <c r="QX171" s="30"/>
      <c r="QY171" s="30"/>
      <c r="QZ171" s="30"/>
      <c r="RA171" s="30"/>
      <c r="RB171" s="30"/>
      <c r="RC171" s="30"/>
      <c r="RD171" s="30"/>
      <c r="RE171" s="30"/>
      <c r="RF171" s="30"/>
      <c r="RG171" s="30"/>
      <c r="RH171" s="30"/>
      <c r="RI171" s="30"/>
      <c r="RJ171" s="30"/>
      <c r="RK171" s="30"/>
      <c r="RL171" s="30"/>
      <c r="RM171" s="30"/>
      <c r="RN171" s="30"/>
      <c r="RO171" s="30"/>
      <c r="RP171" s="30"/>
      <c r="RQ171" s="30"/>
      <c r="RR171" s="30"/>
      <c r="RS171" s="30"/>
      <c r="RT171" s="30"/>
      <c r="RU171" s="30"/>
      <c r="RV171" s="30"/>
      <c r="RW171" s="30"/>
      <c r="RX171" s="30"/>
      <c r="RY171" s="30"/>
      <c r="RZ171" s="30"/>
      <c r="SA171" s="30"/>
      <c r="SB171" s="30"/>
      <c r="SC171" s="30"/>
      <c r="SD171" s="30"/>
      <c r="SE171" s="30"/>
      <c r="SF171" s="30"/>
      <c r="SG171" s="30"/>
      <c r="SH171" s="30"/>
      <c r="SI171" s="30"/>
      <c r="SJ171" s="30"/>
      <c r="SK171" s="30"/>
      <c r="SL171" s="30"/>
      <c r="SM171" s="30"/>
      <c r="SN171" s="30"/>
      <c r="SO171" s="30"/>
      <c r="SP171" s="30"/>
      <c r="SQ171" s="30"/>
      <c r="SR171" s="30"/>
      <c r="SS171" s="30"/>
      <c r="ST171" s="30"/>
      <c r="SU171" s="30"/>
      <c r="SV171" s="30"/>
      <c r="SW171" s="30"/>
      <c r="SX171" s="30"/>
      <c r="SY171" s="30"/>
      <c r="SZ171" s="30"/>
      <c r="TA171" s="30"/>
      <c r="TB171" s="30"/>
      <c r="TC171" s="30"/>
      <c r="TD171" s="30"/>
      <c r="TE171" s="30"/>
      <c r="TF171" s="30"/>
      <c r="TG171" s="30"/>
    </row>
    <row r="172" spans="1:527" s="22" customFormat="1" ht="47.25" x14ac:dyDescent="0.25">
      <c r="A172" s="60" t="s">
        <v>353</v>
      </c>
      <c r="B172" s="97" t="str">
        <f>'дод 8'!A109</f>
        <v>3090</v>
      </c>
      <c r="C172" s="97" t="str">
        <f>'дод 8'!B109</f>
        <v>1030</v>
      </c>
      <c r="D172" s="61" t="str">
        <f>'дод 8'!C109</f>
        <v>Видатки на поховання учасників бойових дій та осіб з інвалідністю внаслідок війни, у т.ч. за рахунок:</v>
      </c>
      <c r="E172" s="103">
        <f t="shared" si="68"/>
        <v>245000</v>
      </c>
      <c r="F172" s="103">
        <v>245000</v>
      </c>
      <c r="G172" s="103"/>
      <c r="H172" s="103"/>
      <c r="I172" s="103"/>
      <c r="J172" s="103">
        <f t="shared" si="70"/>
        <v>0</v>
      </c>
      <c r="K172" s="103"/>
      <c r="L172" s="103"/>
      <c r="M172" s="103"/>
      <c r="N172" s="103"/>
      <c r="O172" s="103"/>
      <c r="P172" s="103">
        <f t="shared" si="69"/>
        <v>245000</v>
      </c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</row>
    <row r="173" spans="1:527" s="24" customFormat="1" ht="15.75" x14ac:dyDescent="0.25">
      <c r="A173" s="88"/>
      <c r="B173" s="115"/>
      <c r="C173" s="115"/>
      <c r="D173" s="89" t="s">
        <v>395</v>
      </c>
      <c r="E173" s="105">
        <f t="shared" si="68"/>
        <v>245000</v>
      </c>
      <c r="F173" s="105">
        <v>245000</v>
      </c>
      <c r="G173" s="105"/>
      <c r="H173" s="105"/>
      <c r="I173" s="105"/>
      <c r="J173" s="105">
        <f t="shared" si="70"/>
        <v>0</v>
      </c>
      <c r="K173" s="105"/>
      <c r="L173" s="105"/>
      <c r="M173" s="105"/>
      <c r="N173" s="105"/>
      <c r="O173" s="105"/>
      <c r="P173" s="105">
        <f t="shared" si="69"/>
        <v>245000</v>
      </c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  <c r="ID173" s="30"/>
      <c r="IE173" s="30"/>
      <c r="IF173" s="30"/>
      <c r="IG173" s="30"/>
      <c r="IH173" s="30"/>
      <c r="II173" s="30"/>
      <c r="IJ173" s="30"/>
      <c r="IK173" s="30"/>
      <c r="IL173" s="30"/>
      <c r="IM173" s="30"/>
      <c r="IN173" s="30"/>
      <c r="IO173" s="30"/>
      <c r="IP173" s="30"/>
      <c r="IQ173" s="30"/>
      <c r="IR173" s="30"/>
      <c r="IS173" s="30"/>
      <c r="IT173" s="30"/>
      <c r="IU173" s="30"/>
      <c r="IV173" s="30"/>
      <c r="IW173" s="30"/>
      <c r="IX173" s="30"/>
      <c r="IY173" s="30"/>
      <c r="IZ173" s="30"/>
      <c r="JA173" s="30"/>
      <c r="JB173" s="30"/>
      <c r="JC173" s="30"/>
      <c r="JD173" s="30"/>
      <c r="JE173" s="30"/>
      <c r="JF173" s="30"/>
      <c r="JG173" s="30"/>
      <c r="JH173" s="30"/>
      <c r="JI173" s="30"/>
      <c r="JJ173" s="30"/>
      <c r="JK173" s="30"/>
      <c r="JL173" s="30"/>
      <c r="JM173" s="30"/>
      <c r="JN173" s="30"/>
      <c r="JO173" s="30"/>
      <c r="JP173" s="30"/>
      <c r="JQ173" s="30"/>
      <c r="JR173" s="30"/>
      <c r="JS173" s="30"/>
      <c r="JT173" s="30"/>
      <c r="JU173" s="30"/>
      <c r="JV173" s="30"/>
      <c r="JW173" s="30"/>
      <c r="JX173" s="30"/>
      <c r="JY173" s="30"/>
      <c r="JZ173" s="30"/>
      <c r="KA173" s="30"/>
      <c r="KB173" s="30"/>
      <c r="KC173" s="30"/>
      <c r="KD173" s="30"/>
      <c r="KE173" s="30"/>
      <c r="KF173" s="30"/>
      <c r="KG173" s="30"/>
      <c r="KH173" s="30"/>
      <c r="KI173" s="30"/>
      <c r="KJ173" s="30"/>
      <c r="KK173" s="30"/>
      <c r="KL173" s="30"/>
      <c r="KM173" s="30"/>
      <c r="KN173" s="30"/>
      <c r="KO173" s="30"/>
      <c r="KP173" s="30"/>
      <c r="KQ173" s="30"/>
      <c r="KR173" s="30"/>
      <c r="KS173" s="30"/>
      <c r="KT173" s="30"/>
      <c r="KU173" s="30"/>
      <c r="KV173" s="30"/>
      <c r="KW173" s="30"/>
      <c r="KX173" s="30"/>
      <c r="KY173" s="30"/>
      <c r="KZ173" s="30"/>
      <c r="LA173" s="30"/>
      <c r="LB173" s="30"/>
      <c r="LC173" s="30"/>
      <c r="LD173" s="30"/>
      <c r="LE173" s="30"/>
      <c r="LF173" s="30"/>
      <c r="LG173" s="30"/>
      <c r="LH173" s="30"/>
      <c r="LI173" s="30"/>
      <c r="LJ173" s="30"/>
      <c r="LK173" s="30"/>
      <c r="LL173" s="30"/>
      <c r="LM173" s="30"/>
      <c r="LN173" s="30"/>
      <c r="LO173" s="30"/>
      <c r="LP173" s="30"/>
      <c r="LQ173" s="30"/>
      <c r="LR173" s="30"/>
      <c r="LS173" s="30"/>
      <c r="LT173" s="30"/>
      <c r="LU173" s="30"/>
      <c r="LV173" s="30"/>
      <c r="LW173" s="30"/>
      <c r="LX173" s="30"/>
      <c r="LY173" s="30"/>
      <c r="LZ173" s="30"/>
      <c r="MA173" s="30"/>
      <c r="MB173" s="30"/>
      <c r="MC173" s="30"/>
      <c r="MD173" s="30"/>
      <c r="ME173" s="30"/>
      <c r="MF173" s="30"/>
      <c r="MG173" s="30"/>
      <c r="MH173" s="30"/>
      <c r="MI173" s="30"/>
      <c r="MJ173" s="30"/>
      <c r="MK173" s="30"/>
      <c r="ML173" s="30"/>
      <c r="MM173" s="30"/>
      <c r="MN173" s="30"/>
      <c r="MO173" s="30"/>
      <c r="MP173" s="30"/>
      <c r="MQ173" s="30"/>
      <c r="MR173" s="30"/>
      <c r="MS173" s="30"/>
      <c r="MT173" s="30"/>
      <c r="MU173" s="30"/>
      <c r="MV173" s="30"/>
      <c r="MW173" s="30"/>
      <c r="MX173" s="30"/>
      <c r="MY173" s="30"/>
      <c r="MZ173" s="30"/>
      <c r="NA173" s="30"/>
      <c r="NB173" s="30"/>
      <c r="NC173" s="30"/>
      <c r="ND173" s="30"/>
      <c r="NE173" s="30"/>
      <c r="NF173" s="30"/>
      <c r="NG173" s="30"/>
      <c r="NH173" s="30"/>
      <c r="NI173" s="30"/>
      <c r="NJ173" s="30"/>
      <c r="NK173" s="30"/>
      <c r="NL173" s="30"/>
      <c r="NM173" s="30"/>
      <c r="NN173" s="30"/>
      <c r="NO173" s="30"/>
      <c r="NP173" s="30"/>
      <c r="NQ173" s="30"/>
      <c r="NR173" s="30"/>
      <c r="NS173" s="30"/>
      <c r="NT173" s="30"/>
      <c r="NU173" s="30"/>
      <c r="NV173" s="30"/>
      <c r="NW173" s="30"/>
      <c r="NX173" s="30"/>
      <c r="NY173" s="30"/>
      <c r="NZ173" s="30"/>
      <c r="OA173" s="30"/>
      <c r="OB173" s="30"/>
      <c r="OC173" s="30"/>
      <c r="OD173" s="30"/>
      <c r="OE173" s="30"/>
      <c r="OF173" s="30"/>
      <c r="OG173" s="30"/>
      <c r="OH173" s="30"/>
      <c r="OI173" s="30"/>
      <c r="OJ173" s="30"/>
      <c r="OK173" s="30"/>
      <c r="OL173" s="30"/>
      <c r="OM173" s="30"/>
      <c r="ON173" s="30"/>
      <c r="OO173" s="30"/>
      <c r="OP173" s="30"/>
      <c r="OQ173" s="30"/>
      <c r="OR173" s="30"/>
      <c r="OS173" s="30"/>
      <c r="OT173" s="30"/>
      <c r="OU173" s="30"/>
      <c r="OV173" s="30"/>
      <c r="OW173" s="30"/>
      <c r="OX173" s="30"/>
      <c r="OY173" s="30"/>
      <c r="OZ173" s="30"/>
      <c r="PA173" s="30"/>
      <c r="PB173" s="30"/>
      <c r="PC173" s="30"/>
      <c r="PD173" s="30"/>
      <c r="PE173" s="30"/>
      <c r="PF173" s="30"/>
      <c r="PG173" s="30"/>
      <c r="PH173" s="30"/>
      <c r="PI173" s="30"/>
      <c r="PJ173" s="30"/>
      <c r="PK173" s="30"/>
      <c r="PL173" s="30"/>
      <c r="PM173" s="30"/>
      <c r="PN173" s="30"/>
      <c r="PO173" s="30"/>
      <c r="PP173" s="30"/>
      <c r="PQ173" s="30"/>
      <c r="PR173" s="30"/>
      <c r="PS173" s="30"/>
      <c r="PT173" s="30"/>
      <c r="PU173" s="30"/>
      <c r="PV173" s="30"/>
      <c r="PW173" s="30"/>
      <c r="PX173" s="30"/>
      <c r="PY173" s="30"/>
      <c r="PZ173" s="30"/>
      <c r="QA173" s="30"/>
      <c r="QB173" s="30"/>
      <c r="QC173" s="30"/>
      <c r="QD173" s="30"/>
      <c r="QE173" s="30"/>
      <c r="QF173" s="30"/>
      <c r="QG173" s="30"/>
      <c r="QH173" s="30"/>
      <c r="QI173" s="30"/>
      <c r="QJ173" s="30"/>
      <c r="QK173" s="30"/>
      <c r="QL173" s="30"/>
      <c r="QM173" s="30"/>
      <c r="QN173" s="30"/>
      <c r="QO173" s="30"/>
      <c r="QP173" s="30"/>
      <c r="QQ173" s="30"/>
      <c r="QR173" s="30"/>
      <c r="QS173" s="30"/>
      <c r="QT173" s="30"/>
      <c r="QU173" s="30"/>
      <c r="QV173" s="30"/>
      <c r="QW173" s="30"/>
      <c r="QX173" s="30"/>
      <c r="QY173" s="30"/>
      <c r="QZ173" s="30"/>
      <c r="RA173" s="30"/>
      <c r="RB173" s="30"/>
      <c r="RC173" s="30"/>
      <c r="RD173" s="30"/>
      <c r="RE173" s="30"/>
      <c r="RF173" s="30"/>
      <c r="RG173" s="30"/>
      <c r="RH173" s="30"/>
      <c r="RI173" s="30"/>
      <c r="RJ173" s="30"/>
      <c r="RK173" s="30"/>
      <c r="RL173" s="30"/>
      <c r="RM173" s="30"/>
      <c r="RN173" s="30"/>
      <c r="RO173" s="30"/>
      <c r="RP173" s="30"/>
      <c r="RQ173" s="30"/>
      <c r="RR173" s="30"/>
      <c r="RS173" s="30"/>
      <c r="RT173" s="30"/>
      <c r="RU173" s="30"/>
      <c r="RV173" s="30"/>
      <c r="RW173" s="30"/>
      <c r="RX173" s="30"/>
      <c r="RY173" s="30"/>
      <c r="RZ173" s="30"/>
      <c r="SA173" s="30"/>
      <c r="SB173" s="30"/>
      <c r="SC173" s="30"/>
      <c r="SD173" s="30"/>
      <c r="SE173" s="30"/>
      <c r="SF173" s="30"/>
      <c r="SG173" s="30"/>
      <c r="SH173" s="30"/>
      <c r="SI173" s="30"/>
      <c r="SJ173" s="30"/>
      <c r="SK173" s="30"/>
      <c r="SL173" s="30"/>
      <c r="SM173" s="30"/>
      <c r="SN173" s="30"/>
      <c r="SO173" s="30"/>
      <c r="SP173" s="30"/>
      <c r="SQ173" s="30"/>
      <c r="SR173" s="30"/>
      <c r="SS173" s="30"/>
      <c r="ST173" s="30"/>
      <c r="SU173" s="30"/>
      <c r="SV173" s="30"/>
      <c r="SW173" s="30"/>
      <c r="SX173" s="30"/>
      <c r="SY173" s="30"/>
      <c r="SZ173" s="30"/>
      <c r="TA173" s="30"/>
      <c r="TB173" s="30"/>
      <c r="TC173" s="30"/>
      <c r="TD173" s="30"/>
      <c r="TE173" s="30"/>
      <c r="TF173" s="30"/>
      <c r="TG173" s="30"/>
    </row>
    <row r="174" spans="1:527" s="22" customFormat="1" ht="64.5" customHeight="1" x14ac:dyDescent="0.25">
      <c r="A174" s="60" t="s">
        <v>186</v>
      </c>
      <c r="B174" s="97" t="str">
        <f>'дод 8'!A111</f>
        <v>3104</v>
      </c>
      <c r="C174" s="97" t="str">
        <f>'дод 8'!B111</f>
        <v>1020</v>
      </c>
      <c r="D174" s="61" t="str">
        <f>'дод 8'!C111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74" s="103">
        <f t="shared" si="68"/>
        <v>17521965</v>
      </c>
      <c r="F174" s="103">
        <f>17394450+20000+20000-20000+65000+42515</f>
        <v>17521965</v>
      </c>
      <c r="G174" s="103">
        <v>13551350</v>
      </c>
      <c r="H174" s="103">
        <f>208050+26750+42515</f>
        <v>277315</v>
      </c>
      <c r="I174" s="103"/>
      <c r="J174" s="103">
        <f t="shared" si="70"/>
        <v>96200</v>
      </c>
      <c r="K174" s="103"/>
      <c r="L174" s="103">
        <v>96200</v>
      </c>
      <c r="M174" s="103">
        <v>75000</v>
      </c>
      <c r="N174" s="103"/>
      <c r="O174" s="103"/>
      <c r="P174" s="103">
        <f t="shared" si="69"/>
        <v>17618165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</row>
    <row r="175" spans="1:527" s="22" customFormat="1" ht="81.75" customHeight="1" x14ac:dyDescent="0.25">
      <c r="A175" s="60" t="s">
        <v>187</v>
      </c>
      <c r="B175" s="97" t="str">
        <f>'дод 8'!A117</f>
        <v>3160</v>
      </c>
      <c r="C175" s="97">
        <f>'дод 8'!B117</f>
        <v>1010</v>
      </c>
      <c r="D175" s="61" t="str">
        <f>'дод 8'!C117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75" s="103">
        <f t="shared" si="68"/>
        <v>3000000</v>
      </c>
      <c r="F175" s="103">
        <f>2500000+500000</f>
        <v>3000000</v>
      </c>
      <c r="G175" s="103"/>
      <c r="H175" s="103"/>
      <c r="I175" s="103"/>
      <c r="J175" s="103">
        <f t="shared" si="70"/>
        <v>0</v>
      </c>
      <c r="K175" s="103"/>
      <c r="L175" s="103"/>
      <c r="M175" s="103"/>
      <c r="N175" s="103"/>
      <c r="O175" s="103"/>
      <c r="P175" s="103">
        <f t="shared" si="69"/>
        <v>3000000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</row>
    <row r="176" spans="1:527" s="22" customFormat="1" ht="63" x14ac:dyDescent="0.25">
      <c r="A176" s="60" t="s">
        <v>355</v>
      </c>
      <c r="B176" s="97" t="str">
        <f>'дод 8'!A118</f>
        <v>3171</v>
      </c>
      <c r="C176" s="97">
        <f>'дод 8'!B118</f>
        <v>1010</v>
      </c>
      <c r="D176" s="61" t="str">
        <f>'дод 8'!C118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76" s="103">
        <f t="shared" si="68"/>
        <v>198209</v>
      </c>
      <c r="F176" s="103">
        <v>198209</v>
      </c>
      <c r="G176" s="103"/>
      <c r="H176" s="103"/>
      <c r="I176" s="103"/>
      <c r="J176" s="103">
        <f t="shared" si="70"/>
        <v>0</v>
      </c>
      <c r="K176" s="103"/>
      <c r="L176" s="103"/>
      <c r="M176" s="103"/>
      <c r="N176" s="103"/>
      <c r="O176" s="103"/>
      <c r="P176" s="103">
        <f t="shared" si="69"/>
        <v>198209</v>
      </c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</row>
    <row r="177" spans="1:527" s="24" customFormat="1" ht="18" customHeight="1" x14ac:dyDescent="0.25">
      <c r="A177" s="88"/>
      <c r="B177" s="115"/>
      <c r="C177" s="115"/>
      <c r="D177" s="89" t="s">
        <v>395</v>
      </c>
      <c r="E177" s="105">
        <f t="shared" si="68"/>
        <v>198209</v>
      </c>
      <c r="F177" s="105">
        <v>198209</v>
      </c>
      <c r="G177" s="105"/>
      <c r="H177" s="105"/>
      <c r="I177" s="105"/>
      <c r="J177" s="105">
        <f t="shared" si="70"/>
        <v>0</v>
      </c>
      <c r="K177" s="105"/>
      <c r="L177" s="105"/>
      <c r="M177" s="105"/>
      <c r="N177" s="105"/>
      <c r="O177" s="105"/>
      <c r="P177" s="105">
        <f t="shared" si="69"/>
        <v>198209</v>
      </c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  <c r="ID177" s="30"/>
      <c r="IE177" s="30"/>
      <c r="IF177" s="30"/>
      <c r="IG177" s="30"/>
      <c r="IH177" s="30"/>
      <c r="II177" s="30"/>
      <c r="IJ177" s="30"/>
      <c r="IK177" s="30"/>
      <c r="IL177" s="30"/>
      <c r="IM177" s="30"/>
      <c r="IN177" s="30"/>
      <c r="IO177" s="30"/>
      <c r="IP177" s="30"/>
      <c r="IQ177" s="30"/>
      <c r="IR177" s="30"/>
      <c r="IS177" s="30"/>
      <c r="IT177" s="30"/>
      <c r="IU177" s="30"/>
      <c r="IV177" s="30"/>
      <c r="IW177" s="30"/>
      <c r="IX177" s="30"/>
      <c r="IY177" s="30"/>
      <c r="IZ177" s="30"/>
      <c r="JA177" s="30"/>
      <c r="JB177" s="30"/>
      <c r="JC177" s="30"/>
      <c r="JD177" s="30"/>
      <c r="JE177" s="30"/>
      <c r="JF177" s="30"/>
      <c r="JG177" s="30"/>
      <c r="JH177" s="30"/>
      <c r="JI177" s="30"/>
      <c r="JJ177" s="30"/>
      <c r="JK177" s="30"/>
      <c r="JL177" s="30"/>
      <c r="JM177" s="30"/>
      <c r="JN177" s="30"/>
      <c r="JO177" s="30"/>
      <c r="JP177" s="30"/>
      <c r="JQ177" s="30"/>
      <c r="JR177" s="30"/>
      <c r="JS177" s="30"/>
      <c r="JT177" s="30"/>
      <c r="JU177" s="30"/>
      <c r="JV177" s="30"/>
      <c r="JW177" s="30"/>
      <c r="JX177" s="30"/>
      <c r="JY177" s="30"/>
      <c r="JZ177" s="30"/>
      <c r="KA177" s="30"/>
      <c r="KB177" s="30"/>
      <c r="KC177" s="30"/>
      <c r="KD177" s="30"/>
      <c r="KE177" s="30"/>
      <c r="KF177" s="30"/>
      <c r="KG177" s="30"/>
      <c r="KH177" s="30"/>
      <c r="KI177" s="30"/>
      <c r="KJ177" s="30"/>
      <c r="KK177" s="30"/>
      <c r="KL177" s="30"/>
      <c r="KM177" s="30"/>
      <c r="KN177" s="30"/>
      <c r="KO177" s="30"/>
      <c r="KP177" s="30"/>
      <c r="KQ177" s="30"/>
      <c r="KR177" s="30"/>
      <c r="KS177" s="30"/>
      <c r="KT177" s="30"/>
      <c r="KU177" s="30"/>
      <c r="KV177" s="30"/>
      <c r="KW177" s="30"/>
      <c r="KX177" s="30"/>
      <c r="KY177" s="30"/>
      <c r="KZ177" s="30"/>
      <c r="LA177" s="30"/>
      <c r="LB177" s="30"/>
      <c r="LC177" s="30"/>
      <c r="LD177" s="30"/>
      <c r="LE177" s="30"/>
      <c r="LF177" s="30"/>
      <c r="LG177" s="30"/>
      <c r="LH177" s="30"/>
      <c r="LI177" s="30"/>
      <c r="LJ177" s="30"/>
      <c r="LK177" s="30"/>
      <c r="LL177" s="30"/>
      <c r="LM177" s="30"/>
      <c r="LN177" s="30"/>
      <c r="LO177" s="30"/>
      <c r="LP177" s="30"/>
      <c r="LQ177" s="30"/>
      <c r="LR177" s="30"/>
      <c r="LS177" s="30"/>
      <c r="LT177" s="30"/>
      <c r="LU177" s="30"/>
      <c r="LV177" s="30"/>
      <c r="LW177" s="30"/>
      <c r="LX177" s="30"/>
      <c r="LY177" s="30"/>
      <c r="LZ177" s="30"/>
      <c r="MA177" s="30"/>
      <c r="MB177" s="30"/>
      <c r="MC177" s="30"/>
      <c r="MD177" s="30"/>
      <c r="ME177" s="30"/>
      <c r="MF177" s="30"/>
      <c r="MG177" s="30"/>
      <c r="MH177" s="30"/>
      <c r="MI177" s="30"/>
      <c r="MJ177" s="30"/>
      <c r="MK177" s="30"/>
      <c r="ML177" s="30"/>
      <c r="MM177" s="30"/>
      <c r="MN177" s="30"/>
      <c r="MO177" s="30"/>
      <c r="MP177" s="30"/>
      <c r="MQ177" s="30"/>
      <c r="MR177" s="30"/>
      <c r="MS177" s="30"/>
      <c r="MT177" s="30"/>
      <c r="MU177" s="30"/>
      <c r="MV177" s="30"/>
      <c r="MW177" s="30"/>
      <c r="MX177" s="30"/>
      <c r="MY177" s="30"/>
      <c r="MZ177" s="30"/>
      <c r="NA177" s="30"/>
      <c r="NB177" s="30"/>
      <c r="NC177" s="30"/>
      <c r="ND177" s="30"/>
      <c r="NE177" s="30"/>
      <c r="NF177" s="30"/>
      <c r="NG177" s="30"/>
      <c r="NH177" s="30"/>
      <c r="NI177" s="30"/>
      <c r="NJ177" s="30"/>
      <c r="NK177" s="30"/>
      <c r="NL177" s="30"/>
      <c r="NM177" s="30"/>
      <c r="NN177" s="30"/>
      <c r="NO177" s="30"/>
      <c r="NP177" s="30"/>
      <c r="NQ177" s="30"/>
      <c r="NR177" s="30"/>
      <c r="NS177" s="30"/>
      <c r="NT177" s="30"/>
      <c r="NU177" s="30"/>
      <c r="NV177" s="30"/>
      <c r="NW177" s="30"/>
      <c r="NX177" s="30"/>
      <c r="NY177" s="30"/>
      <c r="NZ177" s="30"/>
      <c r="OA177" s="30"/>
      <c r="OB177" s="30"/>
      <c r="OC177" s="30"/>
      <c r="OD177" s="30"/>
      <c r="OE177" s="30"/>
      <c r="OF177" s="30"/>
      <c r="OG177" s="30"/>
      <c r="OH177" s="30"/>
      <c r="OI177" s="30"/>
      <c r="OJ177" s="30"/>
      <c r="OK177" s="30"/>
      <c r="OL177" s="30"/>
      <c r="OM177" s="30"/>
      <c r="ON177" s="30"/>
      <c r="OO177" s="30"/>
      <c r="OP177" s="30"/>
      <c r="OQ177" s="30"/>
      <c r="OR177" s="30"/>
      <c r="OS177" s="30"/>
      <c r="OT177" s="30"/>
      <c r="OU177" s="30"/>
      <c r="OV177" s="30"/>
      <c r="OW177" s="30"/>
      <c r="OX177" s="30"/>
      <c r="OY177" s="30"/>
      <c r="OZ177" s="30"/>
      <c r="PA177" s="30"/>
      <c r="PB177" s="30"/>
      <c r="PC177" s="30"/>
      <c r="PD177" s="30"/>
      <c r="PE177" s="30"/>
      <c r="PF177" s="30"/>
      <c r="PG177" s="30"/>
      <c r="PH177" s="30"/>
      <c r="PI177" s="30"/>
      <c r="PJ177" s="30"/>
      <c r="PK177" s="30"/>
      <c r="PL177" s="30"/>
      <c r="PM177" s="30"/>
      <c r="PN177" s="30"/>
      <c r="PO177" s="30"/>
      <c r="PP177" s="30"/>
      <c r="PQ177" s="30"/>
      <c r="PR177" s="30"/>
      <c r="PS177" s="30"/>
      <c r="PT177" s="30"/>
      <c r="PU177" s="30"/>
      <c r="PV177" s="30"/>
      <c r="PW177" s="30"/>
      <c r="PX177" s="30"/>
      <c r="PY177" s="30"/>
      <c r="PZ177" s="30"/>
      <c r="QA177" s="30"/>
      <c r="QB177" s="30"/>
      <c r="QC177" s="30"/>
      <c r="QD177" s="30"/>
      <c r="QE177" s="30"/>
      <c r="QF177" s="30"/>
      <c r="QG177" s="30"/>
      <c r="QH177" s="30"/>
      <c r="QI177" s="30"/>
      <c r="QJ177" s="30"/>
      <c r="QK177" s="30"/>
      <c r="QL177" s="30"/>
      <c r="QM177" s="30"/>
      <c r="QN177" s="30"/>
      <c r="QO177" s="30"/>
      <c r="QP177" s="30"/>
      <c r="QQ177" s="30"/>
      <c r="QR177" s="30"/>
      <c r="QS177" s="30"/>
      <c r="QT177" s="30"/>
      <c r="QU177" s="30"/>
      <c r="QV177" s="30"/>
      <c r="QW177" s="30"/>
      <c r="QX177" s="30"/>
      <c r="QY177" s="30"/>
      <c r="QZ177" s="30"/>
      <c r="RA177" s="30"/>
      <c r="RB177" s="30"/>
      <c r="RC177" s="30"/>
      <c r="RD177" s="30"/>
      <c r="RE177" s="30"/>
      <c r="RF177" s="30"/>
      <c r="RG177" s="30"/>
      <c r="RH177" s="30"/>
      <c r="RI177" s="30"/>
      <c r="RJ177" s="30"/>
      <c r="RK177" s="30"/>
      <c r="RL177" s="30"/>
      <c r="RM177" s="30"/>
      <c r="RN177" s="30"/>
      <c r="RO177" s="30"/>
      <c r="RP177" s="30"/>
      <c r="RQ177" s="30"/>
      <c r="RR177" s="30"/>
      <c r="RS177" s="30"/>
      <c r="RT177" s="30"/>
      <c r="RU177" s="30"/>
      <c r="RV177" s="30"/>
      <c r="RW177" s="30"/>
      <c r="RX177" s="30"/>
      <c r="RY177" s="30"/>
      <c r="RZ177" s="30"/>
      <c r="SA177" s="30"/>
      <c r="SB177" s="30"/>
      <c r="SC177" s="30"/>
      <c r="SD177" s="30"/>
      <c r="SE177" s="30"/>
      <c r="SF177" s="30"/>
      <c r="SG177" s="30"/>
      <c r="SH177" s="30"/>
      <c r="SI177" s="30"/>
      <c r="SJ177" s="30"/>
      <c r="SK177" s="30"/>
      <c r="SL177" s="30"/>
      <c r="SM177" s="30"/>
      <c r="SN177" s="30"/>
      <c r="SO177" s="30"/>
      <c r="SP177" s="30"/>
      <c r="SQ177" s="30"/>
      <c r="SR177" s="30"/>
      <c r="SS177" s="30"/>
      <c r="ST177" s="30"/>
      <c r="SU177" s="30"/>
      <c r="SV177" s="30"/>
      <c r="SW177" s="30"/>
      <c r="SX177" s="30"/>
      <c r="SY177" s="30"/>
      <c r="SZ177" s="30"/>
      <c r="TA177" s="30"/>
      <c r="TB177" s="30"/>
      <c r="TC177" s="30"/>
      <c r="TD177" s="30"/>
      <c r="TE177" s="30"/>
      <c r="TF177" s="30"/>
      <c r="TG177" s="30"/>
    </row>
    <row r="178" spans="1:527" s="22" customFormat="1" ht="31.5" x14ac:dyDescent="0.25">
      <c r="A178" s="60" t="s">
        <v>356</v>
      </c>
      <c r="B178" s="97" t="str">
        <f>'дод 8'!A120</f>
        <v>3172</v>
      </c>
      <c r="C178" s="97">
        <f>'дод 8'!B120</f>
        <v>1010</v>
      </c>
      <c r="D178" s="61" t="s">
        <v>408</v>
      </c>
      <c r="E178" s="103">
        <f t="shared" si="68"/>
        <v>90</v>
      </c>
      <c r="F178" s="103">
        <v>90</v>
      </c>
      <c r="G178" s="103"/>
      <c r="H178" s="103"/>
      <c r="I178" s="103"/>
      <c r="J178" s="103">
        <f t="shared" si="70"/>
        <v>0</v>
      </c>
      <c r="K178" s="103"/>
      <c r="L178" s="103"/>
      <c r="M178" s="103"/>
      <c r="N178" s="103"/>
      <c r="O178" s="103"/>
      <c r="P178" s="103">
        <f t="shared" si="69"/>
        <v>90</v>
      </c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</row>
    <row r="179" spans="1:527" s="24" customFormat="1" ht="15.75" x14ac:dyDescent="0.25">
      <c r="A179" s="88"/>
      <c r="B179" s="115"/>
      <c r="C179" s="115"/>
      <c r="D179" s="89" t="s">
        <v>395</v>
      </c>
      <c r="E179" s="105">
        <f t="shared" si="68"/>
        <v>90</v>
      </c>
      <c r="F179" s="105">
        <v>90</v>
      </c>
      <c r="G179" s="105"/>
      <c r="H179" s="105"/>
      <c r="I179" s="105"/>
      <c r="J179" s="105">
        <f t="shared" si="70"/>
        <v>0</v>
      </c>
      <c r="K179" s="105"/>
      <c r="L179" s="105"/>
      <c r="M179" s="105"/>
      <c r="N179" s="105"/>
      <c r="O179" s="105"/>
      <c r="P179" s="105">
        <f t="shared" si="69"/>
        <v>90</v>
      </c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</row>
    <row r="180" spans="1:527" s="22" customFormat="1" ht="78.75" x14ac:dyDescent="0.25">
      <c r="A180" s="60" t="s">
        <v>188</v>
      </c>
      <c r="B180" s="97" t="str">
        <f>'дод 8'!A122</f>
        <v>3180</v>
      </c>
      <c r="C180" s="97" t="str">
        <f>'дод 8'!B122</f>
        <v>1060</v>
      </c>
      <c r="D180" s="61" t="str">
        <f>'дод 8'!C122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80" s="103">
        <f t="shared" si="68"/>
        <v>2213520</v>
      </c>
      <c r="F180" s="103">
        <v>2213520</v>
      </c>
      <c r="G180" s="103"/>
      <c r="H180" s="103"/>
      <c r="I180" s="103"/>
      <c r="J180" s="103">
        <f t="shared" si="70"/>
        <v>0</v>
      </c>
      <c r="K180" s="103"/>
      <c r="L180" s="103"/>
      <c r="M180" s="103"/>
      <c r="N180" s="103"/>
      <c r="O180" s="103"/>
      <c r="P180" s="103">
        <f t="shared" si="69"/>
        <v>2213520</v>
      </c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</row>
    <row r="181" spans="1:527" s="22" customFormat="1" ht="31.5" customHeight="1" x14ac:dyDescent="0.25">
      <c r="A181" s="60" t="s">
        <v>310</v>
      </c>
      <c r="B181" s="97" t="str">
        <f>'дод 8'!A123</f>
        <v>3191</v>
      </c>
      <c r="C181" s="97" t="str">
        <f>'дод 8'!B123</f>
        <v>1030</v>
      </c>
      <c r="D181" s="61" t="str">
        <f>'дод 8'!C123</f>
        <v>Інші видатки на соціальний захист ветеранів війни та праці</v>
      </c>
      <c r="E181" s="103">
        <f t="shared" si="68"/>
        <v>2042960</v>
      </c>
      <c r="F181" s="103">
        <f>2089960-47000</f>
        <v>2042960</v>
      </c>
      <c r="G181" s="103"/>
      <c r="H181" s="103"/>
      <c r="I181" s="103"/>
      <c r="J181" s="103">
        <f t="shared" si="70"/>
        <v>0</v>
      </c>
      <c r="K181" s="103"/>
      <c r="L181" s="103"/>
      <c r="M181" s="103"/>
      <c r="N181" s="103"/>
      <c r="O181" s="103"/>
      <c r="P181" s="103">
        <f t="shared" si="69"/>
        <v>2042960</v>
      </c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  <c r="IU181" s="23"/>
      <c r="IV181" s="23"/>
      <c r="IW181" s="23"/>
      <c r="IX181" s="23"/>
      <c r="IY181" s="23"/>
      <c r="IZ181" s="23"/>
      <c r="JA181" s="23"/>
      <c r="JB181" s="23"/>
      <c r="JC181" s="23"/>
      <c r="JD181" s="23"/>
      <c r="JE181" s="23"/>
      <c r="JF181" s="23"/>
      <c r="JG181" s="23"/>
      <c r="JH181" s="23"/>
      <c r="JI181" s="23"/>
      <c r="JJ181" s="23"/>
      <c r="JK181" s="23"/>
      <c r="JL181" s="23"/>
      <c r="JM181" s="23"/>
      <c r="JN181" s="23"/>
      <c r="JO181" s="23"/>
      <c r="JP181" s="23"/>
      <c r="JQ181" s="23"/>
      <c r="JR181" s="23"/>
      <c r="JS181" s="23"/>
      <c r="JT181" s="23"/>
      <c r="JU181" s="23"/>
      <c r="JV181" s="23"/>
      <c r="JW181" s="23"/>
      <c r="JX181" s="23"/>
      <c r="JY181" s="23"/>
      <c r="JZ181" s="23"/>
      <c r="KA181" s="23"/>
      <c r="KB181" s="23"/>
      <c r="KC181" s="23"/>
      <c r="KD181" s="23"/>
      <c r="KE181" s="23"/>
      <c r="KF181" s="23"/>
      <c r="KG181" s="23"/>
      <c r="KH181" s="23"/>
      <c r="KI181" s="23"/>
      <c r="KJ181" s="23"/>
      <c r="KK181" s="23"/>
      <c r="KL181" s="23"/>
      <c r="KM181" s="23"/>
      <c r="KN181" s="23"/>
      <c r="KO181" s="23"/>
      <c r="KP181" s="23"/>
      <c r="KQ181" s="23"/>
      <c r="KR181" s="23"/>
      <c r="KS181" s="23"/>
      <c r="KT181" s="23"/>
      <c r="KU181" s="23"/>
      <c r="KV181" s="23"/>
      <c r="KW181" s="23"/>
      <c r="KX181" s="23"/>
      <c r="KY181" s="23"/>
      <c r="KZ181" s="23"/>
      <c r="LA181" s="23"/>
      <c r="LB181" s="23"/>
      <c r="LC181" s="23"/>
      <c r="LD181" s="23"/>
      <c r="LE181" s="23"/>
      <c r="LF181" s="23"/>
      <c r="LG181" s="23"/>
      <c r="LH181" s="23"/>
      <c r="LI181" s="23"/>
      <c r="LJ181" s="23"/>
      <c r="LK181" s="23"/>
      <c r="LL181" s="23"/>
      <c r="LM181" s="23"/>
      <c r="LN181" s="23"/>
      <c r="LO181" s="23"/>
      <c r="LP181" s="23"/>
      <c r="LQ181" s="23"/>
      <c r="LR181" s="23"/>
      <c r="LS181" s="23"/>
      <c r="LT181" s="23"/>
      <c r="LU181" s="23"/>
      <c r="LV181" s="23"/>
      <c r="LW181" s="23"/>
      <c r="LX181" s="23"/>
      <c r="LY181" s="23"/>
      <c r="LZ181" s="23"/>
      <c r="MA181" s="23"/>
      <c r="MB181" s="23"/>
      <c r="MC181" s="23"/>
      <c r="MD181" s="23"/>
      <c r="ME181" s="23"/>
      <c r="MF181" s="23"/>
      <c r="MG181" s="23"/>
      <c r="MH181" s="23"/>
      <c r="MI181" s="23"/>
      <c r="MJ181" s="23"/>
      <c r="MK181" s="23"/>
      <c r="ML181" s="23"/>
      <c r="MM181" s="23"/>
      <c r="MN181" s="23"/>
      <c r="MO181" s="23"/>
      <c r="MP181" s="23"/>
      <c r="MQ181" s="23"/>
      <c r="MR181" s="23"/>
      <c r="MS181" s="23"/>
      <c r="MT181" s="23"/>
      <c r="MU181" s="23"/>
      <c r="MV181" s="23"/>
      <c r="MW181" s="23"/>
      <c r="MX181" s="23"/>
      <c r="MY181" s="23"/>
      <c r="MZ181" s="23"/>
      <c r="NA181" s="23"/>
      <c r="NB181" s="23"/>
      <c r="NC181" s="23"/>
      <c r="ND181" s="23"/>
      <c r="NE181" s="23"/>
      <c r="NF181" s="23"/>
      <c r="NG181" s="23"/>
      <c r="NH181" s="23"/>
      <c r="NI181" s="23"/>
      <c r="NJ181" s="23"/>
      <c r="NK181" s="23"/>
      <c r="NL181" s="23"/>
      <c r="NM181" s="23"/>
      <c r="NN181" s="23"/>
      <c r="NO181" s="23"/>
      <c r="NP181" s="23"/>
      <c r="NQ181" s="23"/>
      <c r="NR181" s="23"/>
      <c r="NS181" s="23"/>
      <c r="NT181" s="23"/>
      <c r="NU181" s="23"/>
      <c r="NV181" s="23"/>
      <c r="NW181" s="23"/>
      <c r="NX181" s="23"/>
      <c r="NY181" s="23"/>
      <c r="NZ181" s="23"/>
      <c r="OA181" s="23"/>
      <c r="OB181" s="23"/>
      <c r="OC181" s="23"/>
      <c r="OD181" s="23"/>
      <c r="OE181" s="23"/>
      <c r="OF181" s="23"/>
      <c r="OG181" s="23"/>
      <c r="OH181" s="23"/>
      <c r="OI181" s="23"/>
      <c r="OJ181" s="23"/>
      <c r="OK181" s="23"/>
      <c r="OL181" s="23"/>
      <c r="OM181" s="23"/>
      <c r="ON181" s="23"/>
      <c r="OO181" s="23"/>
      <c r="OP181" s="23"/>
      <c r="OQ181" s="23"/>
      <c r="OR181" s="23"/>
      <c r="OS181" s="23"/>
      <c r="OT181" s="23"/>
      <c r="OU181" s="23"/>
      <c r="OV181" s="23"/>
      <c r="OW181" s="23"/>
      <c r="OX181" s="23"/>
      <c r="OY181" s="23"/>
      <c r="OZ181" s="23"/>
      <c r="PA181" s="23"/>
      <c r="PB181" s="23"/>
      <c r="PC181" s="23"/>
      <c r="PD181" s="23"/>
      <c r="PE181" s="23"/>
      <c r="PF181" s="23"/>
      <c r="PG181" s="23"/>
      <c r="PH181" s="23"/>
      <c r="PI181" s="23"/>
      <c r="PJ181" s="23"/>
      <c r="PK181" s="23"/>
      <c r="PL181" s="23"/>
      <c r="PM181" s="23"/>
      <c r="PN181" s="23"/>
      <c r="PO181" s="23"/>
      <c r="PP181" s="23"/>
      <c r="PQ181" s="23"/>
      <c r="PR181" s="23"/>
      <c r="PS181" s="23"/>
      <c r="PT181" s="23"/>
      <c r="PU181" s="23"/>
      <c r="PV181" s="23"/>
      <c r="PW181" s="23"/>
      <c r="PX181" s="23"/>
      <c r="PY181" s="23"/>
      <c r="PZ181" s="23"/>
      <c r="QA181" s="23"/>
      <c r="QB181" s="23"/>
      <c r="QC181" s="23"/>
      <c r="QD181" s="23"/>
      <c r="QE181" s="23"/>
      <c r="QF181" s="23"/>
      <c r="QG181" s="23"/>
      <c r="QH181" s="23"/>
      <c r="QI181" s="23"/>
      <c r="QJ181" s="23"/>
      <c r="QK181" s="23"/>
      <c r="QL181" s="23"/>
      <c r="QM181" s="23"/>
      <c r="QN181" s="23"/>
      <c r="QO181" s="23"/>
      <c r="QP181" s="23"/>
      <c r="QQ181" s="23"/>
      <c r="QR181" s="23"/>
      <c r="QS181" s="23"/>
      <c r="QT181" s="23"/>
      <c r="QU181" s="23"/>
      <c r="QV181" s="23"/>
      <c r="QW181" s="23"/>
      <c r="QX181" s="23"/>
      <c r="QY181" s="23"/>
      <c r="QZ181" s="23"/>
      <c r="RA181" s="23"/>
      <c r="RB181" s="23"/>
      <c r="RC181" s="23"/>
      <c r="RD181" s="23"/>
      <c r="RE181" s="23"/>
      <c r="RF181" s="23"/>
      <c r="RG181" s="23"/>
      <c r="RH181" s="23"/>
      <c r="RI181" s="23"/>
      <c r="RJ181" s="23"/>
      <c r="RK181" s="23"/>
      <c r="RL181" s="23"/>
      <c r="RM181" s="23"/>
      <c r="RN181" s="23"/>
      <c r="RO181" s="23"/>
      <c r="RP181" s="23"/>
      <c r="RQ181" s="23"/>
      <c r="RR181" s="23"/>
      <c r="RS181" s="23"/>
      <c r="RT181" s="23"/>
      <c r="RU181" s="23"/>
      <c r="RV181" s="23"/>
      <c r="RW181" s="23"/>
      <c r="RX181" s="23"/>
      <c r="RY181" s="23"/>
      <c r="RZ181" s="23"/>
      <c r="SA181" s="23"/>
      <c r="SB181" s="23"/>
      <c r="SC181" s="23"/>
      <c r="SD181" s="23"/>
      <c r="SE181" s="23"/>
      <c r="SF181" s="23"/>
      <c r="SG181" s="23"/>
      <c r="SH181" s="23"/>
      <c r="SI181" s="23"/>
      <c r="SJ181" s="23"/>
      <c r="SK181" s="23"/>
      <c r="SL181" s="23"/>
      <c r="SM181" s="23"/>
      <c r="SN181" s="23"/>
      <c r="SO181" s="23"/>
      <c r="SP181" s="23"/>
      <c r="SQ181" s="23"/>
      <c r="SR181" s="23"/>
      <c r="SS181" s="23"/>
      <c r="ST181" s="23"/>
      <c r="SU181" s="23"/>
      <c r="SV181" s="23"/>
      <c r="SW181" s="23"/>
      <c r="SX181" s="23"/>
      <c r="SY181" s="23"/>
      <c r="SZ181" s="23"/>
      <c r="TA181" s="23"/>
      <c r="TB181" s="23"/>
      <c r="TC181" s="23"/>
      <c r="TD181" s="23"/>
      <c r="TE181" s="23"/>
      <c r="TF181" s="23"/>
      <c r="TG181" s="23"/>
    </row>
    <row r="182" spans="1:527" s="22" customFormat="1" ht="47.25" x14ac:dyDescent="0.25">
      <c r="A182" s="60" t="s">
        <v>311</v>
      </c>
      <c r="B182" s="97" t="str">
        <f>'дод 8'!A124</f>
        <v>3192</v>
      </c>
      <c r="C182" s="97" t="str">
        <f>'дод 8'!B124</f>
        <v>1030</v>
      </c>
      <c r="D182" s="61" t="s">
        <v>511</v>
      </c>
      <c r="E182" s="103">
        <f t="shared" si="68"/>
        <v>2250688</v>
      </c>
      <c r="F182" s="103">
        <v>2250688</v>
      </c>
      <c r="G182" s="103"/>
      <c r="H182" s="103"/>
      <c r="I182" s="103"/>
      <c r="J182" s="103">
        <f t="shared" si="70"/>
        <v>0</v>
      </c>
      <c r="K182" s="103"/>
      <c r="L182" s="103"/>
      <c r="M182" s="103"/>
      <c r="N182" s="103"/>
      <c r="O182" s="103"/>
      <c r="P182" s="103">
        <f t="shared" si="69"/>
        <v>2250688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</row>
    <row r="183" spans="1:527" s="22" customFormat="1" ht="34.5" customHeight="1" x14ac:dyDescent="0.25">
      <c r="A183" s="60" t="s">
        <v>189</v>
      </c>
      <c r="B183" s="97" t="str">
        <f>'дод 8'!A125</f>
        <v>3200</v>
      </c>
      <c r="C183" s="97" t="str">
        <f>'дод 8'!B125</f>
        <v>1090</v>
      </c>
      <c r="D183" s="61" t="str">
        <f>'дод 8'!C125</f>
        <v>Забезпечення обробки інформації з нарахування та виплати допомог і компенсацій</v>
      </c>
      <c r="E183" s="103">
        <f t="shared" si="68"/>
        <v>92000</v>
      </c>
      <c r="F183" s="103">
        <v>92000</v>
      </c>
      <c r="G183" s="103"/>
      <c r="H183" s="103"/>
      <c r="I183" s="103"/>
      <c r="J183" s="103">
        <f t="shared" si="70"/>
        <v>0</v>
      </c>
      <c r="K183" s="103"/>
      <c r="L183" s="103"/>
      <c r="M183" s="103"/>
      <c r="N183" s="103"/>
      <c r="O183" s="103"/>
      <c r="P183" s="103">
        <f t="shared" si="69"/>
        <v>92000</v>
      </c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</row>
    <row r="184" spans="1:527" s="22" customFormat="1" ht="19.5" customHeight="1" x14ac:dyDescent="0.25">
      <c r="A184" s="107" t="s">
        <v>312</v>
      </c>
      <c r="B184" s="42" t="str">
        <f>'дод 8'!A126</f>
        <v>3210</v>
      </c>
      <c r="C184" s="42" t="str">
        <f>'дод 8'!B126</f>
        <v>1050</v>
      </c>
      <c r="D184" s="36" t="str">
        <f>'дод 8'!C126</f>
        <v>Організація та проведення громадських робіт</v>
      </c>
      <c r="E184" s="103">
        <f t="shared" si="68"/>
        <v>50000</v>
      </c>
      <c r="F184" s="103">
        <v>50000</v>
      </c>
      <c r="G184" s="103">
        <v>40900</v>
      </c>
      <c r="H184" s="103"/>
      <c r="I184" s="103"/>
      <c r="J184" s="103">
        <f t="shared" si="70"/>
        <v>0</v>
      </c>
      <c r="K184" s="103"/>
      <c r="L184" s="103"/>
      <c r="M184" s="103"/>
      <c r="N184" s="103"/>
      <c r="O184" s="103"/>
      <c r="P184" s="103">
        <f t="shared" si="69"/>
        <v>50000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  <c r="TF184" s="23"/>
      <c r="TG184" s="23"/>
    </row>
    <row r="185" spans="1:527" s="22" customFormat="1" ht="261" customHeight="1" x14ac:dyDescent="0.25">
      <c r="A185" s="107" t="s">
        <v>444</v>
      </c>
      <c r="B185" s="42">
        <v>3221</v>
      </c>
      <c r="C185" s="107" t="s">
        <v>54</v>
      </c>
      <c r="D185" s="36" t="s">
        <v>612</v>
      </c>
      <c r="E185" s="103">
        <f t="shared" si="68"/>
        <v>0</v>
      </c>
      <c r="F185" s="120"/>
      <c r="G185" s="103"/>
      <c r="H185" s="103"/>
      <c r="I185" s="103"/>
      <c r="J185" s="103">
        <f t="shared" si="70"/>
        <v>975480.06</v>
      </c>
      <c r="K185" s="103">
        <v>975480.06</v>
      </c>
      <c r="L185" s="103"/>
      <c r="M185" s="103"/>
      <c r="N185" s="103"/>
      <c r="O185" s="103">
        <v>975480.06</v>
      </c>
      <c r="P185" s="103">
        <f t="shared" si="69"/>
        <v>975480.06</v>
      </c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  <c r="SQ185" s="23"/>
      <c r="SR185" s="23"/>
      <c r="SS185" s="23"/>
      <c r="ST185" s="23"/>
      <c r="SU185" s="23"/>
      <c r="SV185" s="23"/>
      <c r="SW185" s="23"/>
      <c r="SX185" s="23"/>
      <c r="SY185" s="23"/>
      <c r="SZ185" s="23"/>
      <c r="TA185" s="23"/>
      <c r="TB185" s="23"/>
      <c r="TC185" s="23"/>
      <c r="TD185" s="23"/>
      <c r="TE185" s="23"/>
      <c r="TF185" s="23"/>
      <c r="TG185" s="23"/>
    </row>
    <row r="186" spans="1:527" s="24" customFormat="1" ht="306.75" customHeight="1" x14ac:dyDescent="0.25">
      <c r="A186" s="109"/>
      <c r="B186" s="92"/>
      <c r="C186" s="109"/>
      <c r="D186" s="91" t="s">
        <v>447</v>
      </c>
      <c r="E186" s="103">
        <f t="shared" si="68"/>
        <v>0</v>
      </c>
      <c r="F186" s="155"/>
      <c r="G186" s="105"/>
      <c r="H186" s="105"/>
      <c r="I186" s="105"/>
      <c r="J186" s="103">
        <f t="shared" si="70"/>
        <v>975480.06</v>
      </c>
      <c r="K186" s="105">
        <v>975480.06</v>
      </c>
      <c r="L186" s="105"/>
      <c r="M186" s="105"/>
      <c r="N186" s="105"/>
      <c r="O186" s="105">
        <v>975480.06</v>
      </c>
      <c r="P186" s="105">
        <f t="shared" si="69"/>
        <v>975480.06</v>
      </c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  <c r="SO186" s="30"/>
      <c r="SP186" s="30"/>
      <c r="SQ186" s="30"/>
      <c r="SR186" s="30"/>
      <c r="SS186" s="30"/>
      <c r="ST186" s="30"/>
      <c r="SU186" s="30"/>
      <c r="SV186" s="30"/>
      <c r="SW186" s="30"/>
      <c r="SX186" s="30"/>
      <c r="SY186" s="30"/>
      <c r="SZ186" s="30"/>
      <c r="TA186" s="30"/>
      <c r="TB186" s="30"/>
      <c r="TC186" s="30"/>
      <c r="TD186" s="30"/>
      <c r="TE186" s="30"/>
      <c r="TF186" s="30"/>
      <c r="TG186" s="30"/>
    </row>
    <row r="187" spans="1:527" s="22" customFormat="1" ht="324.75" customHeight="1" x14ac:dyDescent="0.25">
      <c r="A187" s="107" t="s">
        <v>583</v>
      </c>
      <c r="B187" s="42">
        <v>3222</v>
      </c>
      <c r="C187" s="107" t="s">
        <v>54</v>
      </c>
      <c r="D187" s="36" t="s">
        <v>613</v>
      </c>
      <c r="E187" s="103">
        <f t="shared" ref="E187:E188" si="71">F187+I187</f>
        <v>0</v>
      </c>
      <c r="F187" s="156"/>
      <c r="G187" s="103"/>
      <c r="H187" s="103"/>
      <c r="I187" s="103"/>
      <c r="J187" s="103">
        <f t="shared" ref="J187:J188" si="72">L187+O187</f>
        <v>1176130.99</v>
      </c>
      <c r="K187" s="103">
        <v>1176130.99</v>
      </c>
      <c r="L187" s="103"/>
      <c r="M187" s="103"/>
      <c r="N187" s="103"/>
      <c r="O187" s="103">
        <v>1176130.99</v>
      </c>
      <c r="P187" s="103">
        <f t="shared" si="69"/>
        <v>1176130.99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</row>
    <row r="188" spans="1:527" s="24" customFormat="1" ht="332.25" customHeight="1" x14ac:dyDescent="0.25">
      <c r="A188" s="109"/>
      <c r="B188" s="92"/>
      <c r="C188" s="109"/>
      <c r="D188" s="91" t="s">
        <v>610</v>
      </c>
      <c r="E188" s="105">
        <f t="shared" si="71"/>
        <v>0</v>
      </c>
      <c r="F188" s="155"/>
      <c r="G188" s="105"/>
      <c r="H188" s="105"/>
      <c r="I188" s="105"/>
      <c r="J188" s="105">
        <f t="shared" si="72"/>
        <v>1176130.99</v>
      </c>
      <c r="K188" s="105">
        <v>1176130.99</v>
      </c>
      <c r="L188" s="105"/>
      <c r="M188" s="105"/>
      <c r="N188" s="105"/>
      <c r="O188" s="105">
        <v>1176130.99</v>
      </c>
      <c r="P188" s="105">
        <f t="shared" si="69"/>
        <v>1176130.99</v>
      </c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  <c r="ID188" s="30"/>
      <c r="IE188" s="30"/>
      <c r="IF188" s="30"/>
      <c r="IG188" s="30"/>
      <c r="IH188" s="30"/>
      <c r="II188" s="30"/>
      <c r="IJ188" s="30"/>
      <c r="IK188" s="30"/>
      <c r="IL188" s="30"/>
      <c r="IM188" s="30"/>
      <c r="IN188" s="30"/>
      <c r="IO188" s="30"/>
      <c r="IP188" s="30"/>
      <c r="IQ188" s="30"/>
      <c r="IR188" s="30"/>
      <c r="IS188" s="30"/>
      <c r="IT188" s="30"/>
      <c r="IU188" s="30"/>
      <c r="IV188" s="30"/>
      <c r="IW188" s="30"/>
      <c r="IX188" s="30"/>
      <c r="IY188" s="30"/>
      <c r="IZ188" s="30"/>
      <c r="JA188" s="30"/>
      <c r="JB188" s="30"/>
      <c r="JC188" s="30"/>
      <c r="JD188" s="30"/>
      <c r="JE188" s="30"/>
      <c r="JF188" s="30"/>
      <c r="JG188" s="30"/>
      <c r="JH188" s="30"/>
      <c r="JI188" s="30"/>
      <c r="JJ188" s="30"/>
      <c r="JK188" s="30"/>
      <c r="JL188" s="30"/>
      <c r="JM188" s="30"/>
      <c r="JN188" s="30"/>
      <c r="JO188" s="30"/>
      <c r="JP188" s="30"/>
      <c r="JQ188" s="30"/>
      <c r="JR188" s="30"/>
      <c r="JS188" s="30"/>
      <c r="JT188" s="30"/>
      <c r="JU188" s="30"/>
      <c r="JV188" s="30"/>
      <c r="JW188" s="30"/>
      <c r="JX188" s="30"/>
      <c r="JY188" s="30"/>
      <c r="JZ188" s="30"/>
      <c r="KA188" s="30"/>
      <c r="KB188" s="30"/>
      <c r="KC188" s="30"/>
      <c r="KD188" s="30"/>
      <c r="KE188" s="30"/>
      <c r="KF188" s="30"/>
      <c r="KG188" s="30"/>
      <c r="KH188" s="30"/>
      <c r="KI188" s="30"/>
      <c r="KJ188" s="30"/>
      <c r="KK188" s="30"/>
      <c r="KL188" s="30"/>
      <c r="KM188" s="30"/>
      <c r="KN188" s="30"/>
      <c r="KO188" s="30"/>
      <c r="KP188" s="30"/>
      <c r="KQ188" s="30"/>
      <c r="KR188" s="30"/>
      <c r="KS188" s="30"/>
      <c r="KT188" s="30"/>
      <c r="KU188" s="30"/>
      <c r="KV188" s="30"/>
      <c r="KW188" s="30"/>
      <c r="KX188" s="30"/>
      <c r="KY188" s="30"/>
      <c r="KZ188" s="30"/>
      <c r="LA188" s="30"/>
      <c r="LB188" s="30"/>
      <c r="LC188" s="30"/>
      <c r="LD188" s="30"/>
      <c r="LE188" s="30"/>
      <c r="LF188" s="30"/>
      <c r="LG188" s="30"/>
      <c r="LH188" s="30"/>
      <c r="LI188" s="30"/>
      <c r="LJ188" s="30"/>
      <c r="LK188" s="30"/>
      <c r="LL188" s="30"/>
      <c r="LM188" s="30"/>
      <c r="LN188" s="30"/>
      <c r="LO188" s="30"/>
      <c r="LP188" s="30"/>
      <c r="LQ188" s="30"/>
      <c r="LR188" s="30"/>
      <c r="LS188" s="30"/>
      <c r="LT188" s="30"/>
      <c r="LU188" s="30"/>
      <c r="LV188" s="30"/>
      <c r="LW188" s="30"/>
      <c r="LX188" s="30"/>
      <c r="LY188" s="30"/>
      <c r="LZ188" s="30"/>
      <c r="MA188" s="30"/>
      <c r="MB188" s="30"/>
      <c r="MC188" s="30"/>
      <c r="MD188" s="30"/>
      <c r="ME188" s="30"/>
      <c r="MF188" s="30"/>
      <c r="MG188" s="30"/>
      <c r="MH188" s="30"/>
      <c r="MI188" s="30"/>
      <c r="MJ188" s="30"/>
      <c r="MK188" s="30"/>
      <c r="ML188" s="30"/>
      <c r="MM188" s="30"/>
      <c r="MN188" s="30"/>
      <c r="MO188" s="30"/>
      <c r="MP188" s="30"/>
      <c r="MQ188" s="30"/>
      <c r="MR188" s="30"/>
      <c r="MS188" s="30"/>
      <c r="MT188" s="30"/>
      <c r="MU188" s="30"/>
      <c r="MV188" s="30"/>
      <c r="MW188" s="30"/>
      <c r="MX188" s="30"/>
      <c r="MY188" s="30"/>
      <c r="MZ188" s="30"/>
      <c r="NA188" s="30"/>
      <c r="NB188" s="30"/>
      <c r="NC188" s="30"/>
      <c r="ND188" s="30"/>
      <c r="NE188" s="30"/>
      <c r="NF188" s="30"/>
      <c r="NG188" s="30"/>
      <c r="NH188" s="30"/>
      <c r="NI188" s="30"/>
      <c r="NJ188" s="30"/>
      <c r="NK188" s="30"/>
      <c r="NL188" s="30"/>
      <c r="NM188" s="30"/>
      <c r="NN188" s="30"/>
      <c r="NO188" s="30"/>
      <c r="NP188" s="30"/>
      <c r="NQ188" s="30"/>
      <c r="NR188" s="30"/>
      <c r="NS188" s="30"/>
      <c r="NT188" s="30"/>
      <c r="NU188" s="30"/>
      <c r="NV188" s="30"/>
      <c r="NW188" s="30"/>
      <c r="NX188" s="30"/>
      <c r="NY188" s="30"/>
      <c r="NZ188" s="30"/>
      <c r="OA188" s="30"/>
      <c r="OB188" s="30"/>
      <c r="OC188" s="30"/>
      <c r="OD188" s="30"/>
      <c r="OE188" s="30"/>
      <c r="OF188" s="30"/>
      <c r="OG188" s="30"/>
      <c r="OH188" s="30"/>
      <c r="OI188" s="30"/>
      <c r="OJ188" s="30"/>
      <c r="OK188" s="30"/>
      <c r="OL188" s="30"/>
      <c r="OM188" s="30"/>
      <c r="ON188" s="30"/>
      <c r="OO188" s="30"/>
      <c r="OP188" s="30"/>
      <c r="OQ188" s="30"/>
      <c r="OR188" s="30"/>
      <c r="OS188" s="30"/>
      <c r="OT188" s="30"/>
      <c r="OU188" s="30"/>
      <c r="OV188" s="30"/>
      <c r="OW188" s="30"/>
      <c r="OX188" s="30"/>
      <c r="OY188" s="30"/>
      <c r="OZ188" s="30"/>
      <c r="PA188" s="30"/>
      <c r="PB188" s="30"/>
      <c r="PC188" s="30"/>
      <c r="PD188" s="30"/>
      <c r="PE188" s="30"/>
      <c r="PF188" s="30"/>
      <c r="PG188" s="30"/>
      <c r="PH188" s="30"/>
      <c r="PI188" s="30"/>
      <c r="PJ188" s="30"/>
      <c r="PK188" s="30"/>
      <c r="PL188" s="30"/>
      <c r="PM188" s="30"/>
      <c r="PN188" s="30"/>
      <c r="PO188" s="30"/>
      <c r="PP188" s="30"/>
      <c r="PQ188" s="30"/>
      <c r="PR188" s="30"/>
      <c r="PS188" s="30"/>
      <c r="PT188" s="30"/>
      <c r="PU188" s="30"/>
      <c r="PV188" s="30"/>
      <c r="PW188" s="30"/>
      <c r="PX188" s="30"/>
      <c r="PY188" s="30"/>
      <c r="PZ188" s="30"/>
      <c r="QA188" s="30"/>
      <c r="QB188" s="30"/>
      <c r="QC188" s="30"/>
      <c r="QD188" s="30"/>
      <c r="QE188" s="30"/>
      <c r="QF188" s="30"/>
      <c r="QG188" s="30"/>
      <c r="QH188" s="30"/>
      <c r="QI188" s="30"/>
      <c r="QJ188" s="30"/>
      <c r="QK188" s="30"/>
      <c r="QL188" s="30"/>
      <c r="QM188" s="30"/>
      <c r="QN188" s="30"/>
      <c r="QO188" s="30"/>
      <c r="QP188" s="30"/>
      <c r="QQ188" s="30"/>
      <c r="QR188" s="30"/>
      <c r="QS188" s="30"/>
      <c r="QT188" s="30"/>
      <c r="QU188" s="30"/>
      <c r="QV188" s="30"/>
      <c r="QW188" s="30"/>
      <c r="QX188" s="30"/>
      <c r="QY188" s="30"/>
      <c r="QZ188" s="30"/>
      <c r="RA188" s="30"/>
      <c r="RB188" s="30"/>
      <c r="RC188" s="30"/>
      <c r="RD188" s="30"/>
      <c r="RE188" s="30"/>
      <c r="RF188" s="30"/>
      <c r="RG188" s="30"/>
      <c r="RH188" s="30"/>
      <c r="RI188" s="30"/>
      <c r="RJ188" s="30"/>
      <c r="RK188" s="30"/>
      <c r="RL188" s="30"/>
      <c r="RM188" s="30"/>
      <c r="RN188" s="30"/>
      <c r="RO188" s="30"/>
      <c r="RP188" s="30"/>
      <c r="RQ188" s="30"/>
      <c r="RR188" s="30"/>
      <c r="RS188" s="30"/>
      <c r="RT188" s="30"/>
      <c r="RU188" s="30"/>
      <c r="RV188" s="30"/>
      <c r="RW188" s="30"/>
      <c r="RX188" s="30"/>
      <c r="RY188" s="30"/>
      <c r="RZ188" s="30"/>
      <c r="SA188" s="30"/>
      <c r="SB188" s="30"/>
      <c r="SC188" s="30"/>
      <c r="SD188" s="30"/>
      <c r="SE188" s="30"/>
      <c r="SF188" s="30"/>
      <c r="SG188" s="30"/>
      <c r="SH188" s="30"/>
      <c r="SI188" s="30"/>
      <c r="SJ188" s="30"/>
      <c r="SK188" s="30"/>
      <c r="SL188" s="30"/>
      <c r="SM188" s="30"/>
      <c r="SN188" s="30"/>
      <c r="SO188" s="30"/>
      <c r="SP188" s="30"/>
      <c r="SQ188" s="30"/>
      <c r="SR188" s="30"/>
      <c r="SS188" s="30"/>
      <c r="ST188" s="30"/>
      <c r="SU188" s="30"/>
      <c r="SV188" s="30"/>
      <c r="SW188" s="30"/>
      <c r="SX188" s="30"/>
      <c r="SY188" s="30"/>
      <c r="SZ188" s="30"/>
      <c r="TA188" s="30"/>
      <c r="TB188" s="30"/>
      <c r="TC188" s="30"/>
      <c r="TD188" s="30"/>
      <c r="TE188" s="30"/>
      <c r="TF188" s="30"/>
      <c r="TG188" s="30"/>
    </row>
    <row r="189" spans="1:527" s="22" customFormat="1" ht="220.5" hidden="1" x14ac:dyDescent="0.25">
      <c r="A189" s="107" t="s">
        <v>443</v>
      </c>
      <c r="B189" s="42">
        <v>3223</v>
      </c>
      <c r="C189" s="107" t="s">
        <v>54</v>
      </c>
      <c r="D189" s="36" t="str">
        <f>'дод 8'!C131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89" s="103">
        <f t="shared" si="68"/>
        <v>0</v>
      </c>
      <c r="F189" s="103"/>
      <c r="G189" s="103"/>
      <c r="H189" s="103"/>
      <c r="I189" s="103"/>
      <c r="J189" s="103">
        <f t="shared" si="70"/>
        <v>0</v>
      </c>
      <c r="K189" s="103"/>
      <c r="L189" s="103"/>
      <c r="M189" s="103"/>
      <c r="N189" s="103"/>
      <c r="O189" s="103"/>
      <c r="P189" s="103">
        <f t="shared" si="69"/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</row>
    <row r="190" spans="1:527" s="24" customFormat="1" ht="267.75" hidden="1" x14ac:dyDescent="0.25">
      <c r="A190" s="109"/>
      <c r="B190" s="92"/>
      <c r="C190" s="109"/>
      <c r="D190" s="91" t="str">
        <f>'дод 8'!C132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90" s="105">
        <f t="shared" si="68"/>
        <v>0</v>
      </c>
      <c r="F190" s="105"/>
      <c r="G190" s="105"/>
      <c r="H190" s="105"/>
      <c r="I190" s="105"/>
      <c r="J190" s="105">
        <f t="shared" si="70"/>
        <v>0</v>
      </c>
      <c r="K190" s="105"/>
      <c r="L190" s="105"/>
      <c r="M190" s="105"/>
      <c r="N190" s="105"/>
      <c r="O190" s="105"/>
      <c r="P190" s="105">
        <f t="shared" si="69"/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  <c r="TF190" s="30"/>
      <c r="TG190" s="30"/>
    </row>
    <row r="191" spans="1:527" s="22" customFormat="1" ht="31.5" customHeight="1" x14ac:dyDescent="0.25">
      <c r="A191" s="60" t="s">
        <v>309</v>
      </c>
      <c r="B191" s="97" t="str">
        <f>'дод 8'!A133</f>
        <v>3241</v>
      </c>
      <c r="C191" s="97" t="str">
        <f>'дод 8'!B133</f>
        <v>1090</v>
      </c>
      <c r="D191" s="61" t="str">
        <f>'дод 8'!C133</f>
        <v>Забезпечення діяльності інших закладів у сфері соціального захисту і соціального забезпечення</v>
      </c>
      <c r="E191" s="103">
        <f t="shared" si="68"/>
        <v>6928322.5599999996</v>
      </c>
      <c r="F191" s="103">
        <f>6615708.56+38000+199000+75614</f>
        <v>6928322.5599999996</v>
      </c>
      <c r="G191" s="103">
        <v>4074650</v>
      </c>
      <c r="H191" s="103">
        <f>333300+75614</f>
        <v>408914</v>
      </c>
      <c r="I191" s="103"/>
      <c r="J191" s="103">
        <f t="shared" ref="J191:J195" si="73">L191+O191</f>
        <v>161000</v>
      </c>
      <c r="K191" s="103">
        <f>360000-199000</f>
        <v>161000</v>
      </c>
      <c r="L191" s="103"/>
      <c r="M191" s="103"/>
      <c r="N191" s="103"/>
      <c r="O191" s="103">
        <f>360000-199000</f>
        <v>161000</v>
      </c>
      <c r="P191" s="103">
        <f t="shared" si="69"/>
        <v>7089322.5599999996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</row>
    <row r="192" spans="1:527" s="22" customFormat="1" ht="33" customHeight="1" x14ac:dyDescent="0.25">
      <c r="A192" s="60" t="s">
        <v>357</v>
      </c>
      <c r="B192" s="97" t="str">
        <f>'дод 8'!A134</f>
        <v>3242</v>
      </c>
      <c r="C192" s="97" t="str">
        <f>'дод 8'!B134</f>
        <v>1090</v>
      </c>
      <c r="D192" s="61" t="s">
        <v>525</v>
      </c>
      <c r="E192" s="103">
        <f t="shared" si="68"/>
        <v>38733302.549999997</v>
      </c>
      <c r="F192" s="103">
        <f>34325670+76000+12000+250000+1652252.55+881000+791200+57000+20770+189500+106000+5000+5000+10000+25000+47000+1000+45000+69500+38800+125610</f>
        <v>38733302.549999997</v>
      </c>
      <c r="G192" s="103"/>
      <c r="H192" s="103"/>
      <c r="I192" s="103"/>
      <c r="J192" s="103">
        <f t="shared" si="73"/>
        <v>45000</v>
      </c>
      <c r="K192" s="103">
        <v>45000</v>
      </c>
      <c r="L192" s="103"/>
      <c r="M192" s="103"/>
      <c r="N192" s="103"/>
      <c r="O192" s="103">
        <v>45000</v>
      </c>
      <c r="P192" s="103">
        <f t="shared" si="69"/>
        <v>38778302.549999997</v>
      </c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</row>
    <row r="193" spans="1:527" s="24" customFormat="1" ht="15" customHeight="1" x14ac:dyDescent="0.25">
      <c r="A193" s="88"/>
      <c r="B193" s="115"/>
      <c r="C193" s="115"/>
      <c r="D193" s="89" t="s">
        <v>395</v>
      </c>
      <c r="E193" s="105">
        <f t="shared" si="68"/>
        <v>348000</v>
      </c>
      <c r="F193" s="105">
        <f>336000+12000</f>
        <v>348000</v>
      </c>
      <c r="G193" s="105"/>
      <c r="H193" s="105"/>
      <c r="I193" s="105"/>
      <c r="J193" s="105">
        <f t="shared" si="73"/>
        <v>0</v>
      </c>
      <c r="K193" s="105"/>
      <c r="L193" s="105"/>
      <c r="M193" s="105"/>
      <c r="N193" s="105"/>
      <c r="O193" s="105"/>
      <c r="P193" s="105">
        <f t="shared" si="69"/>
        <v>348000</v>
      </c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  <c r="ID193" s="30"/>
      <c r="IE193" s="30"/>
      <c r="IF193" s="30"/>
      <c r="IG193" s="30"/>
      <c r="IH193" s="30"/>
      <c r="II193" s="30"/>
      <c r="IJ193" s="30"/>
      <c r="IK193" s="30"/>
      <c r="IL193" s="30"/>
      <c r="IM193" s="30"/>
      <c r="IN193" s="30"/>
      <c r="IO193" s="30"/>
      <c r="IP193" s="30"/>
      <c r="IQ193" s="30"/>
      <c r="IR193" s="30"/>
      <c r="IS193" s="30"/>
      <c r="IT193" s="30"/>
      <c r="IU193" s="30"/>
      <c r="IV193" s="30"/>
      <c r="IW193" s="30"/>
      <c r="IX193" s="30"/>
      <c r="IY193" s="30"/>
      <c r="IZ193" s="30"/>
      <c r="JA193" s="30"/>
      <c r="JB193" s="30"/>
      <c r="JC193" s="30"/>
      <c r="JD193" s="30"/>
      <c r="JE193" s="30"/>
      <c r="JF193" s="30"/>
      <c r="JG193" s="30"/>
      <c r="JH193" s="30"/>
      <c r="JI193" s="30"/>
      <c r="JJ193" s="30"/>
      <c r="JK193" s="30"/>
      <c r="JL193" s="30"/>
      <c r="JM193" s="30"/>
      <c r="JN193" s="30"/>
      <c r="JO193" s="30"/>
      <c r="JP193" s="30"/>
      <c r="JQ193" s="30"/>
      <c r="JR193" s="30"/>
      <c r="JS193" s="30"/>
      <c r="JT193" s="30"/>
      <c r="JU193" s="30"/>
      <c r="JV193" s="30"/>
      <c r="JW193" s="30"/>
      <c r="JX193" s="30"/>
      <c r="JY193" s="30"/>
      <c r="JZ193" s="30"/>
      <c r="KA193" s="30"/>
      <c r="KB193" s="30"/>
      <c r="KC193" s="30"/>
      <c r="KD193" s="30"/>
      <c r="KE193" s="30"/>
      <c r="KF193" s="30"/>
      <c r="KG193" s="30"/>
      <c r="KH193" s="30"/>
      <c r="KI193" s="30"/>
      <c r="KJ193" s="30"/>
      <c r="KK193" s="30"/>
      <c r="KL193" s="30"/>
      <c r="KM193" s="30"/>
      <c r="KN193" s="30"/>
      <c r="KO193" s="30"/>
      <c r="KP193" s="30"/>
      <c r="KQ193" s="30"/>
      <c r="KR193" s="30"/>
      <c r="KS193" s="30"/>
      <c r="KT193" s="30"/>
      <c r="KU193" s="30"/>
      <c r="KV193" s="30"/>
      <c r="KW193" s="30"/>
      <c r="KX193" s="30"/>
      <c r="KY193" s="30"/>
      <c r="KZ193" s="30"/>
      <c r="LA193" s="30"/>
      <c r="LB193" s="30"/>
      <c r="LC193" s="30"/>
      <c r="LD193" s="30"/>
      <c r="LE193" s="30"/>
      <c r="LF193" s="30"/>
      <c r="LG193" s="30"/>
      <c r="LH193" s="30"/>
      <c r="LI193" s="30"/>
      <c r="LJ193" s="30"/>
      <c r="LK193" s="30"/>
      <c r="LL193" s="30"/>
      <c r="LM193" s="30"/>
      <c r="LN193" s="30"/>
      <c r="LO193" s="30"/>
      <c r="LP193" s="30"/>
      <c r="LQ193" s="30"/>
      <c r="LR193" s="30"/>
      <c r="LS193" s="30"/>
      <c r="LT193" s="30"/>
      <c r="LU193" s="30"/>
      <c r="LV193" s="30"/>
      <c r="LW193" s="30"/>
      <c r="LX193" s="30"/>
      <c r="LY193" s="30"/>
      <c r="LZ193" s="30"/>
      <c r="MA193" s="30"/>
      <c r="MB193" s="30"/>
      <c r="MC193" s="30"/>
      <c r="MD193" s="30"/>
      <c r="ME193" s="30"/>
      <c r="MF193" s="30"/>
      <c r="MG193" s="30"/>
      <c r="MH193" s="30"/>
      <c r="MI193" s="30"/>
      <c r="MJ193" s="30"/>
      <c r="MK193" s="30"/>
      <c r="ML193" s="30"/>
      <c r="MM193" s="30"/>
      <c r="MN193" s="30"/>
      <c r="MO193" s="30"/>
      <c r="MP193" s="30"/>
      <c r="MQ193" s="30"/>
      <c r="MR193" s="30"/>
      <c r="MS193" s="30"/>
      <c r="MT193" s="30"/>
      <c r="MU193" s="30"/>
      <c r="MV193" s="30"/>
      <c r="MW193" s="30"/>
      <c r="MX193" s="30"/>
      <c r="MY193" s="30"/>
      <c r="MZ193" s="30"/>
      <c r="NA193" s="30"/>
      <c r="NB193" s="30"/>
      <c r="NC193" s="30"/>
      <c r="ND193" s="30"/>
      <c r="NE193" s="30"/>
      <c r="NF193" s="30"/>
      <c r="NG193" s="30"/>
      <c r="NH193" s="30"/>
      <c r="NI193" s="30"/>
      <c r="NJ193" s="30"/>
      <c r="NK193" s="30"/>
      <c r="NL193" s="30"/>
      <c r="NM193" s="30"/>
      <c r="NN193" s="30"/>
      <c r="NO193" s="30"/>
      <c r="NP193" s="30"/>
      <c r="NQ193" s="30"/>
      <c r="NR193" s="30"/>
      <c r="NS193" s="30"/>
      <c r="NT193" s="30"/>
      <c r="NU193" s="30"/>
      <c r="NV193" s="30"/>
      <c r="NW193" s="30"/>
      <c r="NX193" s="30"/>
      <c r="NY193" s="30"/>
      <c r="NZ193" s="30"/>
      <c r="OA193" s="30"/>
      <c r="OB193" s="30"/>
      <c r="OC193" s="30"/>
      <c r="OD193" s="30"/>
      <c r="OE193" s="30"/>
      <c r="OF193" s="30"/>
      <c r="OG193" s="30"/>
      <c r="OH193" s="30"/>
      <c r="OI193" s="30"/>
      <c r="OJ193" s="30"/>
      <c r="OK193" s="30"/>
      <c r="OL193" s="30"/>
      <c r="OM193" s="30"/>
      <c r="ON193" s="30"/>
      <c r="OO193" s="30"/>
      <c r="OP193" s="30"/>
      <c r="OQ193" s="30"/>
      <c r="OR193" s="30"/>
      <c r="OS193" s="30"/>
      <c r="OT193" s="30"/>
      <c r="OU193" s="30"/>
      <c r="OV193" s="30"/>
      <c r="OW193" s="30"/>
      <c r="OX193" s="30"/>
      <c r="OY193" s="30"/>
      <c r="OZ193" s="30"/>
      <c r="PA193" s="30"/>
      <c r="PB193" s="30"/>
      <c r="PC193" s="30"/>
      <c r="PD193" s="30"/>
      <c r="PE193" s="30"/>
      <c r="PF193" s="30"/>
      <c r="PG193" s="30"/>
      <c r="PH193" s="30"/>
      <c r="PI193" s="30"/>
      <c r="PJ193" s="30"/>
      <c r="PK193" s="30"/>
      <c r="PL193" s="30"/>
      <c r="PM193" s="30"/>
      <c r="PN193" s="30"/>
      <c r="PO193" s="30"/>
      <c r="PP193" s="30"/>
      <c r="PQ193" s="30"/>
      <c r="PR193" s="30"/>
      <c r="PS193" s="30"/>
      <c r="PT193" s="30"/>
      <c r="PU193" s="30"/>
      <c r="PV193" s="30"/>
      <c r="PW193" s="30"/>
      <c r="PX193" s="30"/>
      <c r="PY193" s="30"/>
      <c r="PZ193" s="30"/>
      <c r="QA193" s="30"/>
      <c r="QB193" s="30"/>
      <c r="QC193" s="30"/>
      <c r="QD193" s="30"/>
      <c r="QE193" s="30"/>
      <c r="QF193" s="30"/>
      <c r="QG193" s="30"/>
      <c r="QH193" s="30"/>
      <c r="QI193" s="30"/>
      <c r="QJ193" s="30"/>
      <c r="QK193" s="30"/>
      <c r="QL193" s="30"/>
      <c r="QM193" s="30"/>
      <c r="QN193" s="30"/>
      <c r="QO193" s="30"/>
      <c r="QP193" s="30"/>
      <c r="QQ193" s="30"/>
      <c r="QR193" s="30"/>
      <c r="QS193" s="30"/>
      <c r="QT193" s="30"/>
      <c r="QU193" s="30"/>
      <c r="QV193" s="30"/>
      <c r="QW193" s="30"/>
      <c r="QX193" s="30"/>
      <c r="QY193" s="30"/>
      <c r="QZ193" s="30"/>
      <c r="RA193" s="30"/>
      <c r="RB193" s="30"/>
      <c r="RC193" s="30"/>
      <c r="RD193" s="30"/>
      <c r="RE193" s="30"/>
      <c r="RF193" s="30"/>
      <c r="RG193" s="30"/>
      <c r="RH193" s="30"/>
      <c r="RI193" s="30"/>
      <c r="RJ193" s="30"/>
      <c r="RK193" s="30"/>
      <c r="RL193" s="30"/>
      <c r="RM193" s="30"/>
      <c r="RN193" s="30"/>
      <c r="RO193" s="30"/>
      <c r="RP193" s="30"/>
      <c r="RQ193" s="30"/>
      <c r="RR193" s="30"/>
      <c r="RS193" s="30"/>
      <c r="RT193" s="30"/>
      <c r="RU193" s="30"/>
      <c r="RV193" s="30"/>
      <c r="RW193" s="30"/>
      <c r="RX193" s="30"/>
      <c r="RY193" s="30"/>
      <c r="RZ193" s="30"/>
      <c r="SA193" s="30"/>
      <c r="SB193" s="30"/>
      <c r="SC193" s="30"/>
      <c r="SD193" s="30"/>
      <c r="SE193" s="30"/>
      <c r="SF193" s="30"/>
      <c r="SG193" s="30"/>
      <c r="SH193" s="30"/>
      <c r="SI193" s="30"/>
      <c r="SJ193" s="30"/>
      <c r="SK193" s="30"/>
      <c r="SL193" s="30"/>
      <c r="SM193" s="30"/>
      <c r="SN193" s="30"/>
      <c r="SO193" s="30"/>
      <c r="SP193" s="30"/>
      <c r="SQ193" s="30"/>
      <c r="SR193" s="30"/>
      <c r="SS193" s="30"/>
      <c r="ST193" s="30"/>
      <c r="SU193" s="30"/>
      <c r="SV193" s="30"/>
      <c r="SW193" s="30"/>
      <c r="SX193" s="30"/>
      <c r="SY193" s="30"/>
      <c r="SZ193" s="30"/>
      <c r="TA193" s="30"/>
      <c r="TB193" s="30"/>
      <c r="TC193" s="30"/>
      <c r="TD193" s="30"/>
      <c r="TE193" s="30"/>
      <c r="TF193" s="30"/>
      <c r="TG193" s="30"/>
    </row>
    <row r="194" spans="1:527" s="22" customFormat="1" ht="18.75" x14ac:dyDescent="0.25">
      <c r="A194" s="60" t="s">
        <v>419</v>
      </c>
      <c r="B194" s="97">
        <v>7323</v>
      </c>
      <c r="C194" s="60" t="s">
        <v>113</v>
      </c>
      <c r="D194" s="146" t="s">
        <v>567</v>
      </c>
      <c r="E194" s="103">
        <f t="shared" si="68"/>
        <v>0</v>
      </c>
      <c r="F194" s="103"/>
      <c r="G194" s="103"/>
      <c r="H194" s="103"/>
      <c r="I194" s="103"/>
      <c r="J194" s="103">
        <f t="shared" si="73"/>
        <v>473213</v>
      </c>
      <c r="K194" s="103">
        <f>400000+73213</f>
        <v>473213</v>
      </c>
      <c r="L194" s="103"/>
      <c r="M194" s="103"/>
      <c r="N194" s="103"/>
      <c r="O194" s="103">
        <f>400000+73213</f>
        <v>473213</v>
      </c>
      <c r="P194" s="103">
        <f t="shared" si="69"/>
        <v>473213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</row>
    <row r="195" spans="1:527" s="22" customFormat="1" ht="22.5" customHeight="1" x14ac:dyDescent="0.25">
      <c r="A195" s="60" t="s">
        <v>267</v>
      </c>
      <c r="B195" s="97" t="str">
        <f>'дод 8'!A240</f>
        <v>9770</v>
      </c>
      <c r="C195" s="97" t="str">
        <f>'дод 8'!B240</f>
        <v>0180</v>
      </c>
      <c r="D195" s="61" t="str">
        <f>'дод 8'!C240</f>
        <v>Інші субвенції з місцевого бюджету</v>
      </c>
      <c r="E195" s="103">
        <f t="shared" si="68"/>
        <v>3645344</v>
      </c>
      <c r="F195" s="103">
        <f>2500000+1145344</f>
        <v>3645344</v>
      </c>
      <c r="G195" s="103"/>
      <c r="H195" s="103"/>
      <c r="I195" s="103"/>
      <c r="J195" s="103">
        <f t="shared" si="73"/>
        <v>0</v>
      </c>
      <c r="K195" s="103"/>
      <c r="L195" s="103"/>
      <c r="M195" s="103"/>
      <c r="N195" s="103"/>
      <c r="O195" s="103"/>
      <c r="P195" s="103">
        <f t="shared" si="69"/>
        <v>3645344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</row>
    <row r="196" spans="1:527" s="27" customFormat="1" ht="31.5" x14ac:dyDescent="0.25">
      <c r="A196" s="110" t="s">
        <v>190</v>
      </c>
      <c r="B196" s="39"/>
      <c r="C196" s="39"/>
      <c r="D196" s="111" t="s">
        <v>365</v>
      </c>
      <c r="E196" s="99">
        <f>E197</f>
        <v>5893361</v>
      </c>
      <c r="F196" s="99">
        <f t="shared" ref="F196:J196" si="74">F197</f>
        <v>5893361</v>
      </c>
      <c r="G196" s="99">
        <f t="shared" si="74"/>
        <v>4491300</v>
      </c>
      <c r="H196" s="99">
        <f t="shared" si="74"/>
        <v>55881</v>
      </c>
      <c r="I196" s="99">
        <f t="shared" si="74"/>
        <v>0</v>
      </c>
      <c r="J196" s="99">
        <f t="shared" si="74"/>
        <v>30000</v>
      </c>
      <c r="K196" s="99">
        <f t="shared" ref="K196" si="75">K197</f>
        <v>30000</v>
      </c>
      <c r="L196" s="99">
        <f t="shared" ref="L196" si="76">L197</f>
        <v>0</v>
      </c>
      <c r="M196" s="99">
        <f t="shared" ref="M196" si="77">M197</f>
        <v>0</v>
      </c>
      <c r="N196" s="99">
        <f t="shared" ref="N196" si="78">N197</f>
        <v>0</v>
      </c>
      <c r="O196" s="99">
        <f t="shared" ref="O196:P196" si="79">O197</f>
        <v>30000</v>
      </c>
      <c r="P196" s="99">
        <f t="shared" si="79"/>
        <v>5923361</v>
      </c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  <c r="IP196" s="32"/>
      <c r="IQ196" s="32"/>
      <c r="IR196" s="32"/>
      <c r="IS196" s="32"/>
      <c r="IT196" s="32"/>
      <c r="IU196" s="32"/>
      <c r="IV196" s="32"/>
      <c r="IW196" s="32"/>
      <c r="IX196" s="32"/>
      <c r="IY196" s="32"/>
      <c r="IZ196" s="32"/>
      <c r="JA196" s="32"/>
      <c r="JB196" s="32"/>
      <c r="JC196" s="32"/>
      <c r="JD196" s="32"/>
      <c r="JE196" s="32"/>
      <c r="JF196" s="32"/>
      <c r="JG196" s="32"/>
      <c r="JH196" s="32"/>
      <c r="JI196" s="32"/>
      <c r="JJ196" s="32"/>
      <c r="JK196" s="32"/>
      <c r="JL196" s="32"/>
      <c r="JM196" s="32"/>
      <c r="JN196" s="32"/>
      <c r="JO196" s="32"/>
      <c r="JP196" s="32"/>
      <c r="JQ196" s="32"/>
      <c r="JR196" s="32"/>
      <c r="JS196" s="32"/>
      <c r="JT196" s="32"/>
      <c r="JU196" s="32"/>
      <c r="JV196" s="32"/>
      <c r="JW196" s="32"/>
      <c r="JX196" s="32"/>
      <c r="JY196" s="32"/>
      <c r="JZ196" s="32"/>
      <c r="KA196" s="32"/>
      <c r="KB196" s="32"/>
      <c r="KC196" s="32"/>
      <c r="KD196" s="32"/>
      <c r="KE196" s="32"/>
      <c r="KF196" s="32"/>
      <c r="KG196" s="32"/>
      <c r="KH196" s="32"/>
      <c r="KI196" s="32"/>
      <c r="KJ196" s="32"/>
      <c r="KK196" s="32"/>
      <c r="KL196" s="32"/>
      <c r="KM196" s="32"/>
      <c r="KN196" s="32"/>
      <c r="KO196" s="32"/>
      <c r="KP196" s="32"/>
      <c r="KQ196" s="32"/>
      <c r="KR196" s="32"/>
      <c r="KS196" s="32"/>
      <c r="KT196" s="32"/>
      <c r="KU196" s="32"/>
      <c r="KV196" s="32"/>
      <c r="KW196" s="32"/>
      <c r="KX196" s="32"/>
      <c r="KY196" s="32"/>
      <c r="KZ196" s="32"/>
      <c r="LA196" s="32"/>
      <c r="LB196" s="32"/>
      <c r="LC196" s="32"/>
      <c r="LD196" s="32"/>
      <c r="LE196" s="32"/>
      <c r="LF196" s="32"/>
      <c r="LG196" s="32"/>
      <c r="LH196" s="32"/>
      <c r="LI196" s="32"/>
      <c r="LJ196" s="32"/>
      <c r="LK196" s="32"/>
      <c r="LL196" s="32"/>
      <c r="LM196" s="32"/>
      <c r="LN196" s="32"/>
      <c r="LO196" s="32"/>
      <c r="LP196" s="32"/>
      <c r="LQ196" s="32"/>
      <c r="LR196" s="32"/>
      <c r="LS196" s="32"/>
      <c r="LT196" s="32"/>
      <c r="LU196" s="32"/>
      <c r="LV196" s="32"/>
      <c r="LW196" s="32"/>
      <c r="LX196" s="32"/>
      <c r="LY196" s="32"/>
      <c r="LZ196" s="32"/>
      <c r="MA196" s="32"/>
      <c r="MB196" s="32"/>
      <c r="MC196" s="32"/>
      <c r="MD196" s="32"/>
      <c r="ME196" s="32"/>
      <c r="MF196" s="32"/>
      <c r="MG196" s="32"/>
      <c r="MH196" s="32"/>
      <c r="MI196" s="32"/>
      <c r="MJ196" s="32"/>
      <c r="MK196" s="32"/>
      <c r="ML196" s="32"/>
      <c r="MM196" s="32"/>
      <c r="MN196" s="32"/>
      <c r="MO196" s="32"/>
      <c r="MP196" s="32"/>
      <c r="MQ196" s="32"/>
      <c r="MR196" s="32"/>
      <c r="MS196" s="32"/>
      <c r="MT196" s="32"/>
      <c r="MU196" s="32"/>
      <c r="MV196" s="32"/>
      <c r="MW196" s="32"/>
      <c r="MX196" s="32"/>
      <c r="MY196" s="32"/>
      <c r="MZ196" s="32"/>
      <c r="NA196" s="32"/>
      <c r="NB196" s="32"/>
      <c r="NC196" s="32"/>
      <c r="ND196" s="32"/>
      <c r="NE196" s="32"/>
      <c r="NF196" s="32"/>
      <c r="NG196" s="32"/>
      <c r="NH196" s="32"/>
      <c r="NI196" s="32"/>
      <c r="NJ196" s="32"/>
      <c r="NK196" s="32"/>
      <c r="NL196" s="32"/>
      <c r="NM196" s="32"/>
      <c r="NN196" s="32"/>
      <c r="NO196" s="32"/>
      <c r="NP196" s="32"/>
      <c r="NQ196" s="32"/>
      <c r="NR196" s="32"/>
      <c r="NS196" s="32"/>
      <c r="NT196" s="32"/>
      <c r="NU196" s="32"/>
      <c r="NV196" s="32"/>
      <c r="NW196" s="32"/>
      <c r="NX196" s="32"/>
      <c r="NY196" s="32"/>
      <c r="NZ196" s="32"/>
      <c r="OA196" s="32"/>
      <c r="OB196" s="32"/>
      <c r="OC196" s="32"/>
      <c r="OD196" s="32"/>
      <c r="OE196" s="32"/>
      <c r="OF196" s="32"/>
      <c r="OG196" s="32"/>
      <c r="OH196" s="32"/>
      <c r="OI196" s="32"/>
      <c r="OJ196" s="32"/>
      <c r="OK196" s="32"/>
      <c r="OL196" s="32"/>
      <c r="OM196" s="32"/>
      <c r="ON196" s="32"/>
      <c r="OO196" s="32"/>
      <c r="OP196" s="32"/>
      <c r="OQ196" s="32"/>
      <c r="OR196" s="32"/>
      <c r="OS196" s="32"/>
      <c r="OT196" s="32"/>
      <c r="OU196" s="32"/>
      <c r="OV196" s="32"/>
      <c r="OW196" s="32"/>
      <c r="OX196" s="32"/>
      <c r="OY196" s="32"/>
      <c r="OZ196" s="32"/>
      <c r="PA196" s="32"/>
      <c r="PB196" s="32"/>
      <c r="PC196" s="32"/>
      <c r="PD196" s="32"/>
      <c r="PE196" s="32"/>
      <c r="PF196" s="32"/>
      <c r="PG196" s="32"/>
      <c r="PH196" s="32"/>
      <c r="PI196" s="32"/>
      <c r="PJ196" s="32"/>
      <c r="PK196" s="32"/>
      <c r="PL196" s="32"/>
      <c r="PM196" s="32"/>
      <c r="PN196" s="32"/>
      <c r="PO196" s="32"/>
      <c r="PP196" s="32"/>
      <c r="PQ196" s="32"/>
      <c r="PR196" s="32"/>
      <c r="PS196" s="32"/>
      <c r="PT196" s="32"/>
      <c r="PU196" s="32"/>
      <c r="PV196" s="32"/>
      <c r="PW196" s="32"/>
      <c r="PX196" s="32"/>
      <c r="PY196" s="32"/>
      <c r="PZ196" s="32"/>
      <c r="QA196" s="32"/>
      <c r="QB196" s="32"/>
      <c r="QC196" s="32"/>
      <c r="QD196" s="32"/>
      <c r="QE196" s="32"/>
      <c r="QF196" s="32"/>
      <c r="QG196" s="32"/>
      <c r="QH196" s="32"/>
      <c r="QI196" s="32"/>
      <c r="QJ196" s="32"/>
      <c r="QK196" s="32"/>
      <c r="QL196" s="32"/>
      <c r="QM196" s="32"/>
      <c r="QN196" s="32"/>
      <c r="QO196" s="32"/>
      <c r="QP196" s="32"/>
      <c r="QQ196" s="32"/>
      <c r="QR196" s="32"/>
      <c r="QS196" s="32"/>
      <c r="QT196" s="32"/>
      <c r="QU196" s="32"/>
      <c r="QV196" s="32"/>
      <c r="QW196" s="32"/>
      <c r="QX196" s="32"/>
      <c r="QY196" s="32"/>
      <c r="QZ196" s="32"/>
      <c r="RA196" s="32"/>
      <c r="RB196" s="32"/>
      <c r="RC196" s="32"/>
      <c r="RD196" s="32"/>
      <c r="RE196" s="32"/>
      <c r="RF196" s="32"/>
      <c r="RG196" s="32"/>
      <c r="RH196" s="32"/>
      <c r="RI196" s="32"/>
      <c r="RJ196" s="32"/>
      <c r="RK196" s="32"/>
      <c r="RL196" s="32"/>
      <c r="RM196" s="32"/>
      <c r="RN196" s="32"/>
      <c r="RO196" s="32"/>
      <c r="RP196" s="32"/>
      <c r="RQ196" s="32"/>
      <c r="RR196" s="32"/>
      <c r="RS196" s="32"/>
      <c r="RT196" s="32"/>
      <c r="RU196" s="32"/>
      <c r="RV196" s="32"/>
      <c r="RW196" s="32"/>
      <c r="RX196" s="32"/>
      <c r="RY196" s="32"/>
      <c r="RZ196" s="32"/>
      <c r="SA196" s="32"/>
      <c r="SB196" s="32"/>
      <c r="SC196" s="32"/>
      <c r="SD196" s="32"/>
      <c r="SE196" s="32"/>
      <c r="SF196" s="32"/>
      <c r="SG196" s="32"/>
      <c r="SH196" s="32"/>
      <c r="SI196" s="32"/>
      <c r="SJ196" s="32"/>
      <c r="SK196" s="32"/>
      <c r="SL196" s="32"/>
      <c r="SM196" s="32"/>
      <c r="SN196" s="32"/>
      <c r="SO196" s="32"/>
      <c r="SP196" s="32"/>
      <c r="SQ196" s="32"/>
      <c r="SR196" s="32"/>
      <c r="SS196" s="32"/>
      <c r="ST196" s="32"/>
      <c r="SU196" s="32"/>
      <c r="SV196" s="32"/>
      <c r="SW196" s="32"/>
      <c r="SX196" s="32"/>
      <c r="SY196" s="32"/>
      <c r="SZ196" s="32"/>
      <c r="TA196" s="32"/>
      <c r="TB196" s="32"/>
      <c r="TC196" s="32"/>
      <c r="TD196" s="32"/>
      <c r="TE196" s="32"/>
      <c r="TF196" s="32"/>
      <c r="TG196" s="32"/>
    </row>
    <row r="197" spans="1:527" s="34" customFormat="1" ht="31.5" x14ac:dyDescent="0.25">
      <c r="A197" s="112" t="s">
        <v>191</v>
      </c>
      <c r="B197" s="78"/>
      <c r="C197" s="78"/>
      <c r="D197" s="81" t="s">
        <v>365</v>
      </c>
      <c r="E197" s="102">
        <f>E199+E200+E201+E202</f>
        <v>5893361</v>
      </c>
      <c r="F197" s="102">
        <f t="shared" ref="F197:P197" si="80">F199+F200+F201+F202</f>
        <v>5893361</v>
      </c>
      <c r="G197" s="102">
        <f t="shared" si="80"/>
        <v>4491300</v>
      </c>
      <c r="H197" s="102">
        <f t="shared" si="80"/>
        <v>55881</v>
      </c>
      <c r="I197" s="102">
        <f t="shared" si="80"/>
        <v>0</v>
      </c>
      <c r="J197" s="102">
        <f t="shared" si="80"/>
        <v>30000</v>
      </c>
      <c r="K197" s="102">
        <f>K199+K200+K201+K202</f>
        <v>30000</v>
      </c>
      <c r="L197" s="102">
        <f t="shared" si="80"/>
        <v>0</v>
      </c>
      <c r="M197" s="102">
        <f t="shared" si="80"/>
        <v>0</v>
      </c>
      <c r="N197" s="102">
        <f t="shared" si="80"/>
        <v>0</v>
      </c>
      <c r="O197" s="102">
        <f t="shared" si="80"/>
        <v>30000</v>
      </c>
      <c r="P197" s="102">
        <f t="shared" si="80"/>
        <v>5923361</v>
      </c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33"/>
      <c r="CC197" s="33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33"/>
      <c r="FD197" s="33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33"/>
      <c r="IE197" s="33"/>
      <c r="IF197" s="33"/>
      <c r="IG197" s="33"/>
      <c r="IH197" s="33"/>
      <c r="II197" s="33"/>
      <c r="IJ197" s="33"/>
      <c r="IK197" s="33"/>
      <c r="IL197" s="33"/>
      <c r="IM197" s="33"/>
      <c r="IN197" s="33"/>
      <c r="IO197" s="33"/>
      <c r="IP197" s="33"/>
      <c r="IQ197" s="33"/>
      <c r="IR197" s="33"/>
      <c r="IS197" s="33"/>
      <c r="IT197" s="33"/>
      <c r="IU197" s="33"/>
      <c r="IV197" s="33"/>
      <c r="IW197" s="33"/>
      <c r="IX197" s="33"/>
      <c r="IY197" s="33"/>
      <c r="IZ197" s="33"/>
      <c r="JA197" s="33"/>
      <c r="JB197" s="33"/>
      <c r="JC197" s="33"/>
      <c r="JD197" s="33"/>
      <c r="JE197" s="33"/>
      <c r="JF197" s="33"/>
      <c r="JG197" s="33"/>
      <c r="JH197" s="33"/>
      <c r="JI197" s="33"/>
      <c r="JJ197" s="33"/>
      <c r="JK197" s="33"/>
      <c r="JL197" s="33"/>
      <c r="JM197" s="33"/>
      <c r="JN197" s="33"/>
      <c r="JO197" s="33"/>
      <c r="JP197" s="33"/>
      <c r="JQ197" s="33"/>
      <c r="JR197" s="33"/>
      <c r="JS197" s="33"/>
      <c r="JT197" s="33"/>
      <c r="JU197" s="33"/>
      <c r="JV197" s="33"/>
      <c r="JW197" s="33"/>
      <c r="JX197" s="33"/>
      <c r="JY197" s="33"/>
      <c r="JZ197" s="33"/>
      <c r="KA197" s="33"/>
      <c r="KB197" s="33"/>
      <c r="KC197" s="33"/>
      <c r="KD197" s="33"/>
      <c r="KE197" s="33"/>
      <c r="KF197" s="33"/>
      <c r="KG197" s="33"/>
      <c r="KH197" s="33"/>
      <c r="KI197" s="33"/>
      <c r="KJ197" s="33"/>
      <c r="KK197" s="33"/>
      <c r="KL197" s="33"/>
      <c r="KM197" s="33"/>
      <c r="KN197" s="33"/>
      <c r="KO197" s="33"/>
      <c r="KP197" s="33"/>
      <c r="KQ197" s="33"/>
      <c r="KR197" s="33"/>
      <c r="KS197" s="33"/>
      <c r="KT197" s="33"/>
      <c r="KU197" s="33"/>
      <c r="KV197" s="33"/>
      <c r="KW197" s="33"/>
      <c r="KX197" s="33"/>
      <c r="KY197" s="33"/>
      <c r="KZ197" s="33"/>
      <c r="LA197" s="33"/>
      <c r="LB197" s="33"/>
      <c r="LC197" s="33"/>
      <c r="LD197" s="33"/>
      <c r="LE197" s="33"/>
      <c r="LF197" s="33"/>
      <c r="LG197" s="33"/>
      <c r="LH197" s="33"/>
      <c r="LI197" s="33"/>
      <c r="LJ197" s="33"/>
      <c r="LK197" s="33"/>
      <c r="LL197" s="33"/>
      <c r="LM197" s="33"/>
      <c r="LN197" s="33"/>
      <c r="LO197" s="33"/>
      <c r="LP197" s="33"/>
      <c r="LQ197" s="33"/>
      <c r="LR197" s="33"/>
      <c r="LS197" s="33"/>
      <c r="LT197" s="33"/>
      <c r="LU197" s="33"/>
      <c r="LV197" s="33"/>
      <c r="LW197" s="33"/>
      <c r="LX197" s="33"/>
      <c r="LY197" s="33"/>
      <c r="LZ197" s="33"/>
      <c r="MA197" s="33"/>
      <c r="MB197" s="33"/>
      <c r="MC197" s="33"/>
      <c r="MD197" s="33"/>
      <c r="ME197" s="33"/>
      <c r="MF197" s="33"/>
      <c r="MG197" s="33"/>
      <c r="MH197" s="33"/>
      <c r="MI197" s="33"/>
      <c r="MJ197" s="33"/>
      <c r="MK197" s="33"/>
      <c r="ML197" s="33"/>
      <c r="MM197" s="33"/>
      <c r="MN197" s="33"/>
      <c r="MO197" s="33"/>
      <c r="MP197" s="33"/>
      <c r="MQ197" s="33"/>
      <c r="MR197" s="33"/>
      <c r="MS197" s="33"/>
      <c r="MT197" s="33"/>
      <c r="MU197" s="33"/>
      <c r="MV197" s="33"/>
      <c r="MW197" s="33"/>
      <c r="MX197" s="33"/>
      <c r="MY197" s="33"/>
      <c r="MZ197" s="33"/>
      <c r="NA197" s="33"/>
      <c r="NB197" s="33"/>
      <c r="NC197" s="33"/>
      <c r="ND197" s="33"/>
      <c r="NE197" s="33"/>
      <c r="NF197" s="33"/>
      <c r="NG197" s="33"/>
      <c r="NH197" s="33"/>
      <c r="NI197" s="33"/>
      <c r="NJ197" s="33"/>
      <c r="NK197" s="33"/>
      <c r="NL197" s="33"/>
      <c r="NM197" s="33"/>
      <c r="NN197" s="33"/>
      <c r="NO197" s="33"/>
      <c r="NP197" s="33"/>
      <c r="NQ197" s="33"/>
      <c r="NR197" s="33"/>
      <c r="NS197" s="33"/>
      <c r="NT197" s="33"/>
      <c r="NU197" s="33"/>
      <c r="NV197" s="33"/>
      <c r="NW197" s="33"/>
      <c r="NX197" s="33"/>
      <c r="NY197" s="33"/>
      <c r="NZ197" s="33"/>
      <c r="OA197" s="33"/>
      <c r="OB197" s="33"/>
      <c r="OC197" s="33"/>
      <c r="OD197" s="33"/>
      <c r="OE197" s="33"/>
      <c r="OF197" s="33"/>
      <c r="OG197" s="33"/>
      <c r="OH197" s="33"/>
      <c r="OI197" s="33"/>
      <c r="OJ197" s="33"/>
      <c r="OK197" s="33"/>
      <c r="OL197" s="33"/>
      <c r="OM197" s="33"/>
      <c r="ON197" s="33"/>
      <c r="OO197" s="33"/>
      <c r="OP197" s="33"/>
      <c r="OQ197" s="33"/>
      <c r="OR197" s="33"/>
      <c r="OS197" s="33"/>
      <c r="OT197" s="33"/>
      <c r="OU197" s="33"/>
      <c r="OV197" s="33"/>
      <c r="OW197" s="33"/>
      <c r="OX197" s="33"/>
      <c r="OY197" s="33"/>
      <c r="OZ197" s="33"/>
      <c r="PA197" s="33"/>
      <c r="PB197" s="33"/>
      <c r="PC197" s="33"/>
      <c r="PD197" s="33"/>
      <c r="PE197" s="33"/>
      <c r="PF197" s="33"/>
      <c r="PG197" s="33"/>
      <c r="PH197" s="33"/>
      <c r="PI197" s="33"/>
      <c r="PJ197" s="33"/>
      <c r="PK197" s="33"/>
      <c r="PL197" s="33"/>
      <c r="PM197" s="33"/>
      <c r="PN197" s="33"/>
      <c r="PO197" s="33"/>
      <c r="PP197" s="33"/>
      <c r="PQ197" s="33"/>
      <c r="PR197" s="33"/>
      <c r="PS197" s="33"/>
      <c r="PT197" s="33"/>
      <c r="PU197" s="33"/>
      <c r="PV197" s="33"/>
      <c r="PW197" s="33"/>
      <c r="PX197" s="33"/>
      <c r="PY197" s="33"/>
      <c r="PZ197" s="33"/>
      <c r="QA197" s="33"/>
      <c r="QB197" s="33"/>
      <c r="QC197" s="33"/>
      <c r="QD197" s="33"/>
      <c r="QE197" s="33"/>
      <c r="QF197" s="33"/>
      <c r="QG197" s="33"/>
      <c r="QH197" s="33"/>
      <c r="QI197" s="33"/>
      <c r="QJ197" s="33"/>
      <c r="QK197" s="33"/>
      <c r="QL197" s="33"/>
      <c r="QM197" s="33"/>
      <c r="QN197" s="33"/>
      <c r="QO197" s="33"/>
      <c r="QP197" s="33"/>
      <c r="QQ197" s="33"/>
      <c r="QR197" s="33"/>
      <c r="QS197" s="33"/>
      <c r="QT197" s="33"/>
      <c r="QU197" s="33"/>
      <c r="QV197" s="33"/>
      <c r="QW197" s="33"/>
      <c r="QX197" s="33"/>
      <c r="QY197" s="33"/>
      <c r="QZ197" s="33"/>
      <c r="RA197" s="33"/>
      <c r="RB197" s="33"/>
      <c r="RC197" s="33"/>
      <c r="RD197" s="33"/>
      <c r="RE197" s="33"/>
      <c r="RF197" s="33"/>
      <c r="RG197" s="33"/>
      <c r="RH197" s="33"/>
      <c r="RI197" s="33"/>
      <c r="RJ197" s="33"/>
      <c r="RK197" s="33"/>
      <c r="RL197" s="33"/>
      <c r="RM197" s="33"/>
      <c r="RN197" s="33"/>
      <c r="RO197" s="33"/>
      <c r="RP197" s="33"/>
      <c r="RQ197" s="33"/>
      <c r="RR197" s="33"/>
      <c r="RS197" s="33"/>
      <c r="RT197" s="33"/>
      <c r="RU197" s="33"/>
      <c r="RV197" s="33"/>
      <c r="RW197" s="33"/>
      <c r="RX197" s="33"/>
      <c r="RY197" s="33"/>
      <c r="RZ197" s="33"/>
      <c r="SA197" s="33"/>
      <c r="SB197" s="33"/>
      <c r="SC197" s="33"/>
      <c r="SD197" s="33"/>
      <c r="SE197" s="33"/>
      <c r="SF197" s="33"/>
      <c r="SG197" s="33"/>
      <c r="SH197" s="33"/>
      <c r="SI197" s="33"/>
      <c r="SJ197" s="33"/>
      <c r="SK197" s="33"/>
      <c r="SL197" s="33"/>
      <c r="SM197" s="33"/>
      <c r="SN197" s="33"/>
      <c r="SO197" s="33"/>
      <c r="SP197" s="33"/>
      <c r="SQ197" s="33"/>
      <c r="SR197" s="33"/>
      <c r="SS197" s="33"/>
      <c r="ST197" s="33"/>
      <c r="SU197" s="33"/>
      <c r="SV197" s="33"/>
      <c r="SW197" s="33"/>
      <c r="SX197" s="33"/>
      <c r="SY197" s="33"/>
      <c r="SZ197" s="33"/>
      <c r="TA197" s="33"/>
      <c r="TB197" s="33"/>
      <c r="TC197" s="33"/>
      <c r="TD197" s="33"/>
      <c r="TE197" s="33"/>
      <c r="TF197" s="33"/>
      <c r="TG197" s="33"/>
    </row>
    <row r="198" spans="1:527" s="34" customFormat="1" ht="120" hidden="1" customHeight="1" x14ac:dyDescent="0.25">
      <c r="A198" s="112"/>
      <c r="B198" s="78"/>
      <c r="C198" s="78"/>
      <c r="D198" s="81" t="s">
        <v>448</v>
      </c>
      <c r="E198" s="102">
        <f>E203</f>
        <v>0</v>
      </c>
      <c r="F198" s="102">
        <f t="shared" ref="F198:P198" si="81">F203</f>
        <v>0</v>
      </c>
      <c r="G198" s="102">
        <f t="shared" si="81"/>
        <v>0</v>
      </c>
      <c r="H198" s="102">
        <f t="shared" si="81"/>
        <v>0</v>
      </c>
      <c r="I198" s="102">
        <f t="shared" si="81"/>
        <v>0</v>
      </c>
      <c r="J198" s="102">
        <f t="shared" si="81"/>
        <v>0</v>
      </c>
      <c r="K198" s="102">
        <f t="shared" si="81"/>
        <v>0</v>
      </c>
      <c r="L198" s="102">
        <f t="shared" si="81"/>
        <v>0</v>
      </c>
      <c r="M198" s="102">
        <f t="shared" si="81"/>
        <v>0</v>
      </c>
      <c r="N198" s="102">
        <f t="shared" si="81"/>
        <v>0</v>
      </c>
      <c r="O198" s="102">
        <f t="shared" si="81"/>
        <v>0</v>
      </c>
      <c r="P198" s="102">
        <f t="shared" si="81"/>
        <v>0</v>
      </c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  <c r="IW198" s="33"/>
      <c r="IX198" s="33"/>
      <c r="IY198" s="33"/>
      <c r="IZ198" s="33"/>
      <c r="JA198" s="33"/>
      <c r="JB198" s="33"/>
      <c r="JC198" s="33"/>
      <c r="JD198" s="33"/>
      <c r="JE198" s="33"/>
      <c r="JF198" s="33"/>
      <c r="JG198" s="33"/>
      <c r="JH198" s="33"/>
      <c r="JI198" s="33"/>
      <c r="JJ198" s="33"/>
      <c r="JK198" s="33"/>
      <c r="JL198" s="33"/>
      <c r="JM198" s="33"/>
      <c r="JN198" s="33"/>
      <c r="JO198" s="33"/>
      <c r="JP198" s="33"/>
      <c r="JQ198" s="33"/>
      <c r="JR198" s="33"/>
      <c r="JS198" s="33"/>
      <c r="JT198" s="33"/>
      <c r="JU198" s="33"/>
      <c r="JV198" s="33"/>
      <c r="JW198" s="33"/>
      <c r="JX198" s="33"/>
      <c r="JY198" s="33"/>
      <c r="JZ198" s="33"/>
      <c r="KA198" s="33"/>
      <c r="KB198" s="33"/>
      <c r="KC198" s="33"/>
      <c r="KD198" s="33"/>
      <c r="KE198" s="33"/>
      <c r="KF198" s="33"/>
      <c r="KG198" s="33"/>
      <c r="KH198" s="33"/>
      <c r="KI198" s="33"/>
      <c r="KJ198" s="33"/>
      <c r="KK198" s="33"/>
      <c r="KL198" s="33"/>
      <c r="KM198" s="33"/>
      <c r="KN198" s="33"/>
      <c r="KO198" s="33"/>
      <c r="KP198" s="33"/>
      <c r="KQ198" s="33"/>
      <c r="KR198" s="33"/>
      <c r="KS198" s="33"/>
      <c r="KT198" s="33"/>
      <c r="KU198" s="33"/>
      <c r="KV198" s="33"/>
      <c r="KW198" s="33"/>
      <c r="KX198" s="33"/>
      <c r="KY198" s="33"/>
      <c r="KZ198" s="33"/>
      <c r="LA198" s="33"/>
      <c r="LB198" s="33"/>
      <c r="LC198" s="33"/>
      <c r="LD198" s="33"/>
      <c r="LE198" s="33"/>
      <c r="LF198" s="33"/>
      <c r="LG198" s="33"/>
      <c r="LH198" s="33"/>
      <c r="LI198" s="33"/>
      <c r="LJ198" s="33"/>
      <c r="LK198" s="33"/>
      <c r="LL198" s="33"/>
      <c r="LM198" s="33"/>
      <c r="LN198" s="33"/>
      <c r="LO198" s="33"/>
      <c r="LP198" s="33"/>
      <c r="LQ198" s="33"/>
      <c r="LR198" s="33"/>
      <c r="LS198" s="33"/>
      <c r="LT198" s="33"/>
      <c r="LU198" s="33"/>
      <c r="LV198" s="33"/>
      <c r="LW198" s="33"/>
      <c r="LX198" s="33"/>
      <c r="LY198" s="33"/>
      <c r="LZ198" s="33"/>
      <c r="MA198" s="33"/>
      <c r="MB198" s="33"/>
      <c r="MC198" s="33"/>
      <c r="MD198" s="33"/>
      <c r="ME198" s="33"/>
      <c r="MF198" s="33"/>
      <c r="MG198" s="33"/>
      <c r="MH198" s="33"/>
      <c r="MI198" s="33"/>
      <c r="MJ198" s="33"/>
      <c r="MK198" s="33"/>
      <c r="ML198" s="33"/>
      <c r="MM198" s="33"/>
      <c r="MN198" s="33"/>
      <c r="MO198" s="33"/>
      <c r="MP198" s="33"/>
      <c r="MQ198" s="33"/>
      <c r="MR198" s="33"/>
      <c r="MS198" s="33"/>
      <c r="MT198" s="33"/>
      <c r="MU198" s="33"/>
      <c r="MV198" s="33"/>
      <c r="MW198" s="33"/>
      <c r="MX198" s="33"/>
      <c r="MY198" s="33"/>
      <c r="MZ198" s="33"/>
      <c r="NA198" s="33"/>
      <c r="NB198" s="33"/>
      <c r="NC198" s="33"/>
      <c r="ND198" s="33"/>
      <c r="NE198" s="33"/>
      <c r="NF198" s="33"/>
      <c r="NG198" s="33"/>
      <c r="NH198" s="33"/>
      <c r="NI198" s="33"/>
      <c r="NJ198" s="33"/>
      <c r="NK198" s="33"/>
      <c r="NL198" s="33"/>
      <c r="NM198" s="33"/>
      <c r="NN198" s="33"/>
      <c r="NO198" s="33"/>
      <c r="NP198" s="33"/>
      <c r="NQ198" s="33"/>
      <c r="NR198" s="33"/>
      <c r="NS198" s="33"/>
      <c r="NT198" s="33"/>
      <c r="NU198" s="33"/>
      <c r="NV198" s="33"/>
      <c r="NW198" s="33"/>
      <c r="NX198" s="33"/>
      <c r="NY198" s="33"/>
      <c r="NZ198" s="33"/>
      <c r="OA198" s="33"/>
      <c r="OB198" s="33"/>
      <c r="OC198" s="33"/>
      <c r="OD198" s="33"/>
      <c r="OE198" s="33"/>
      <c r="OF198" s="33"/>
      <c r="OG198" s="33"/>
      <c r="OH198" s="33"/>
      <c r="OI198" s="33"/>
      <c r="OJ198" s="33"/>
      <c r="OK198" s="33"/>
      <c r="OL198" s="33"/>
      <c r="OM198" s="33"/>
      <c r="ON198" s="33"/>
      <c r="OO198" s="33"/>
      <c r="OP198" s="33"/>
      <c r="OQ198" s="33"/>
      <c r="OR198" s="33"/>
      <c r="OS198" s="33"/>
      <c r="OT198" s="33"/>
      <c r="OU198" s="33"/>
      <c r="OV198" s="33"/>
      <c r="OW198" s="33"/>
      <c r="OX198" s="33"/>
      <c r="OY198" s="33"/>
      <c r="OZ198" s="33"/>
      <c r="PA198" s="33"/>
      <c r="PB198" s="33"/>
      <c r="PC198" s="33"/>
      <c r="PD198" s="33"/>
      <c r="PE198" s="33"/>
      <c r="PF198" s="33"/>
      <c r="PG198" s="33"/>
      <c r="PH198" s="33"/>
      <c r="PI198" s="33"/>
      <c r="PJ198" s="33"/>
      <c r="PK198" s="33"/>
      <c r="PL198" s="33"/>
      <c r="PM198" s="33"/>
      <c r="PN198" s="33"/>
      <c r="PO198" s="33"/>
      <c r="PP198" s="33"/>
      <c r="PQ198" s="33"/>
      <c r="PR198" s="33"/>
      <c r="PS198" s="33"/>
      <c r="PT198" s="33"/>
      <c r="PU198" s="33"/>
      <c r="PV198" s="33"/>
      <c r="PW198" s="33"/>
      <c r="PX198" s="33"/>
      <c r="PY198" s="33"/>
      <c r="PZ198" s="33"/>
      <c r="QA198" s="33"/>
      <c r="QB198" s="33"/>
      <c r="QC198" s="33"/>
      <c r="QD198" s="33"/>
      <c r="QE198" s="33"/>
      <c r="QF198" s="33"/>
      <c r="QG198" s="33"/>
      <c r="QH198" s="33"/>
      <c r="QI198" s="33"/>
      <c r="QJ198" s="33"/>
      <c r="QK198" s="33"/>
      <c r="QL198" s="33"/>
      <c r="QM198" s="33"/>
      <c r="QN198" s="33"/>
      <c r="QO198" s="33"/>
      <c r="QP198" s="33"/>
      <c r="QQ198" s="33"/>
      <c r="QR198" s="33"/>
      <c r="QS198" s="33"/>
      <c r="QT198" s="33"/>
      <c r="QU198" s="33"/>
      <c r="QV198" s="33"/>
      <c r="QW198" s="33"/>
      <c r="QX198" s="33"/>
      <c r="QY198" s="33"/>
      <c r="QZ198" s="33"/>
      <c r="RA198" s="33"/>
      <c r="RB198" s="33"/>
      <c r="RC198" s="33"/>
      <c r="RD198" s="33"/>
      <c r="RE198" s="33"/>
      <c r="RF198" s="33"/>
      <c r="RG198" s="33"/>
      <c r="RH198" s="33"/>
      <c r="RI198" s="33"/>
      <c r="RJ198" s="33"/>
      <c r="RK198" s="33"/>
      <c r="RL198" s="33"/>
      <c r="RM198" s="33"/>
      <c r="RN198" s="33"/>
      <c r="RO198" s="33"/>
      <c r="RP198" s="33"/>
      <c r="RQ198" s="33"/>
      <c r="RR198" s="33"/>
      <c r="RS198" s="33"/>
      <c r="RT198" s="33"/>
      <c r="RU198" s="33"/>
      <c r="RV198" s="33"/>
      <c r="RW198" s="33"/>
      <c r="RX198" s="33"/>
      <c r="RY198" s="33"/>
      <c r="RZ198" s="33"/>
      <c r="SA198" s="33"/>
      <c r="SB198" s="33"/>
      <c r="SC198" s="33"/>
      <c r="SD198" s="33"/>
      <c r="SE198" s="33"/>
      <c r="SF198" s="33"/>
      <c r="SG198" s="33"/>
      <c r="SH198" s="33"/>
      <c r="SI198" s="33"/>
      <c r="SJ198" s="33"/>
      <c r="SK198" s="33"/>
      <c r="SL198" s="33"/>
      <c r="SM198" s="33"/>
      <c r="SN198" s="33"/>
      <c r="SO198" s="33"/>
      <c r="SP198" s="33"/>
      <c r="SQ198" s="33"/>
      <c r="SR198" s="33"/>
      <c r="SS198" s="33"/>
      <c r="ST198" s="33"/>
      <c r="SU198" s="33"/>
      <c r="SV198" s="33"/>
      <c r="SW198" s="33"/>
      <c r="SX198" s="33"/>
      <c r="SY198" s="33"/>
      <c r="SZ198" s="33"/>
      <c r="TA198" s="33"/>
      <c r="TB198" s="33"/>
      <c r="TC198" s="33"/>
      <c r="TD198" s="33"/>
      <c r="TE198" s="33"/>
      <c r="TF198" s="33"/>
      <c r="TG198" s="33"/>
    </row>
    <row r="199" spans="1:527" s="22" customFormat="1" ht="47.25" x14ac:dyDescent="0.25">
      <c r="A199" s="60" t="s">
        <v>192</v>
      </c>
      <c r="B199" s="97" t="str">
        <f>'дод 8'!A19</f>
        <v>0160</v>
      </c>
      <c r="C199" s="97" t="str">
        <f>'дод 8'!B19</f>
        <v>0111</v>
      </c>
      <c r="D199" s="36" t="s">
        <v>503</v>
      </c>
      <c r="E199" s="103">
        <f>F199+I199</f>
        <v>5705981</v>
      </c>
      <c r="F199" s="103">
        <f>5689700+12000+4281</f>
        <v>5705981</v>
      </c>
      <c r="G199" s="103">
        <v>4491300</v>
      </c>
      <c r="H199" s="103">
        <f>51600+4281</f>
        <v>55881</v>
      </c>
      <c r="I199" s="103"/>
      <c r="J199" s="103">
        <f>L199+O199</f>
        <v>0</v>
      </c>
      <c r="K199" s="103">
        <f>12000-12000</f>
        <v>0</v>
      </c>
      <c r="L199" s="103"/>
      <c r="M199" s="103"/>
      <c r="N199" s="103"/>
      <c r="O199" s="103">
        <f>12000-12000</f>
        <v>0</v>
      </c>
      <c r="P199" s="103">
        <f>E199+J199</f>
        <v>5705981</v>
      </c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</row>
    <row r="200" spans="1:527" s="22" customFormat="1" ht="63" x14ac:dyDescent="0.25">
      <c r="A200" s="60" t="s">
        <v>336</v>
      </c>
      <c r="B200" s="97">
        <v>3111</v>
      </c>
      <c r="C200" s="97">
        <v>1040</v>
      </c>
      <c r="D200" s="36" t="str">
        <f>'дод 8'!C112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00" s="103">
        <f>F200+I200</f>
        <v>91140</v>
      </c>
      <c r="F200" s="103">
        <f>50000+21140+20000</f>
        <v>91140</v>
      </c>
      <c r="G200" s="103"/>
      <c r="H200" s="103"/>
      <c r="I200" s="103"/>
      <c r="J200" s="103">
        <f t="shared" ref="J200:J203" si="82">L200+O200</f>
        <v>0</v>
      </c>
      <c r="K200" s="103">
        <f>21140-21140</f>
        <v>0</v>
      </c>
      <c r="L200" s="103"/>
      <c r="M200" s="103"/>
      <c r="N200" s="103"/>
      <c r="O200" s="103">
        <f>21140-21140</f>
        <v>0</v>
      </c>
      <c r="P200" s="103">
        <f>E200+J200</f>
        <v>91140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</row>
    <row r="201" spans="1:527" s="22" customFormat="1" ht="31.5" customHeight="1" x14ac:dyDescent="0.25">
      <c r="A201" s="60" t="s">
        <v>193</v>
      </c>
      <c r="B201" s="97" t="str">
        <f>'дод 8'!A113</f>
        <v>3112</v>
      </c>
      <c r="C201" s="97" t="str">
        <f>'дод 8'!B113</f>
        <v>1040</v>
      </c>
      <c r="D201" s="61" t="str">
        <f>'дод 8'!C113</f>
        <v>Заходи державної політики з питань дітей та їх соціального захисту</v>
      </c>
      <c r="E201" s="103">
        <f>F201+I201</f>
        <v>96240</v>
      </c>
      <c r="F201" s="103">
        <v>96240</v>
      </c>
      <c r="G201" s="103"/>
      <c r="H201" s="103"/>
      <c r="I201" s="103"/>
      <c r="J201" s="103">
        <f t="shared" si="82"/>
        <v>0</v>
      </c>
      <c r="K201" s="103"/>
      <c r="L201" s="103"/>
      <c r="M201" s="103"/>
      <c r="N201" s="103"/>
      <c r="O201" s="103"/>
      <c r="P201" s="103">
        <f>E201+J201</f>
        <v>96240</v>
      </c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</row>
    <row r="202" spans="1:527" s="22" customFormat="1" ht="94.5" x14ac:dyDescent="0.25">
      <c r="A202" s="60" t="s">
        <v>440</v>
      </c>
      <c r="B202" s="97">
        <v>6083</v>
      </c>
      <c r="C202" s="60" t="s">
        <v>69</v>
      </c>
      <c r="D202" s="11" t="s">
        <v>441</v>
      </c>
      <c r="E202" s="103">
        <f>F202+I202</f>
        <v>0</v>
      </c>
      <c r="F202" s="103"/>
      <c r="G202" s="103"/>
      <c r="H202" s="103"/>
      <c r="I202" s="103"/>
      <c r="J202" s="103">
        <f t="shared" si="82"/>
        <v>30000</v>
      </c>
      <c r="K202" s="103">
        <v>30000</v>
      </c>
      <c r="L202" s="103"/>
      <c r="M202" s="103"/>
      <c r="N202" s="103"/>
      <c r="O202" s="103">
        <v>30000</v>
      </c>
      <c r="P202" s="103">
        <f>E202+J202</f>
        <v>30000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</row>
    <row r="203" spans="1:527" s="24" customFormat="1" ht="126" hidden="1" x14ac:dyDescent="0.25">
      <c r="A203" s="88"/>
      <c r="B203" s="115"/>
      <c r="C203" s="88"/>
      <c r="D203" s="94" t="s">
        <v>448</v>
      </c>
      <c r="E203" s="103">
        <f>F203+I203</f>
        <v>0</v>
      </c>
      <c r="F203" s="105"/>
      <c r="G203" s="105"/>
      <c r="H203" s="105"/>
      <c r="I203" s="105"/>
      <c r="J203" s="103">
        <f t="shared" si="82"/>
        <v>0</v>
      </c>
      <c r="K203" s="105"/>
      <c r="L203" s="105"/>
      <c r="M203" s="105"/>
      <c r="N203" s="105"/>
      <c r="O203" s="105"/>
      <c r="P203" s="103">
        <f>E203+J203</f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  <c r="TF203" s="30"/>
      <c r="TG203" s="30"/>
    </row>
    <row r="204" spans="1:527" s="27" customFormat="1" ht="22.5" customHeight="1" x14ac:dyDescent="0.25">
      <c r="A204" s="114" t="s">
        <v>27</v>
      </c>
      <c r="B204" s="116"/>
      <c r="C204" s="116"/>
      <c r="D204" s="111" t="s">
        <v>337</v>
      </c>
      <c r="E204" s="99">
        <f>E205</f>
        <v>81903057</v>
      </c>
      <c r="F204" s="99">
        <f t="shared" ref="F204:J204" si="83">F205</f>
        <v>81903057</v>
      </c>
      <c r="G204" s="99">
        <f t="shared" si="83"/>
        <v>62366800</v>
      </c>
      <c r="H204" s="99">
        <f t="shared" si="83"/>
        <v>2305157</v>
      </c>
      <c r="I204" s="99">
        <f t="shared" si="83"/>
        <v>0</v>
      </c>
      <c r="J204" s="99">
        <f t="shared" si="83"/>
        <v>5080600</v>
      </c>
      <c r="K204" s="99">
        <f t="shared" ref="K204" si="84">K205</f>
        <v>2320500</v>
      </c>
      <c r="L204" s="99">
        <f t="shared" ref="L204" si="85">L205</f>
        <v>2756970</v>
      </c>
      <c r="M204" s="99">
        <f t="shared" ref="M204" si="86">M205</f>
        <v>2239004</v>
      </c>
      <c r="N204" s="99">
        <f t="shared" ref="N204" si="87">N205</f>
        <v>3300</v>
      </c>
      <c r="O204" s="99">
        <f t="shared" ref="O204:P204" si="88">O205</f>
        <v>2323630</v>
      </c>
      <c r="P204" s="99">
        <f t="shared" si="88"/>
        <v>86983657</v>
      </c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  <c r="IP204" s="32"/>
      <c r="IQ204" s="32"/>
      <c r="IR204" s="32"/>
      <c r="IS204" s="32"/>
      <c r="IT204" s="32"/>
      <c r="IU204" s="32"/>
      <c r="IV204" s="32"/>
      <c r="IW204" s="32"/>
      <c r="IX204" s="32"/>
      <c r="IY204" s="32"/>
      <c r="IZ204" s="32"/>
      <c r="JA204" s="32"/>
      <c r="JB204" s="32"/>
      <c r="JC204" s="32"/>
      <c r="JD204" s="32"/>
      <c r="JE204" s="32"/>
      <c r="JF204" s="32"/>
      <c r="JG204" s="32"/>
      <c r="JH204" s="32"/>
      <c r="JI204" s="32"/>
      <c r="JJ204" s="32"/>
      <c r="JK204" s="32"/>
      <c r="JL204" s="32"/>
      <c r="JM204" s="32"/>
      <c r="JN204" s="32"/>
      <c r="JO204" s="32"/>
      <c r="JP204" s="32"/>
      <c r="JQ204" s="32"/>
      <c r="JR204" s="32"/>
      <c r="JS204" s="32"/>
      <c r="JT204" s="32"/>
      <c r="JU204" s="32"/>
      <c r="JV204" s="32"/>
      <c r="JW204" s="32"/>
      <c r="JX204" s="32"/>
      <c r="JY204" s="32"/>
      <c r="JZ204" s="32"/>
      <c r="KA204" s="32"/>
      <c r="KB204" s="32"/>
      <c r="KC204" s="32"/>
      <c r="KD204" s="32"/>
      <c r="KE204" s="32"/>
      <c r="KF204" s="32"/>
      <c r="KG204" s="32"/>
      <c r="KH204" s="32"/>
      <c r="KI204" s="32"/>
      <c r="KJ204" s="32"/>
      <c r="KK204" s="32"/>
      <c r="KL204" s="32"/>
      <c r="KM204" s="32"/>
      <c r="KN204" s="32"/>
      <c r="KO204" s="32"/>
      <c r="KP204" s="32"/>
      <c r="KQ204" s="32"/>
      <c r="KR204" s="32"/>
      <c r="KS204" s="32"/>
      <c r="KT204" s="32"/>
      <c r="KU204" s="32"/>
      <c r="KV204" s="32"/>
      <c r="KW204" s="32"/>
      <c r="KX204" s="32"/>
      <c r="KY204" s="32"/>
      <c r="KZ204" s="32"/>
      <c r="LA204" s="32"/>
      <c r="LB204" s="32"/>
      <c r="LC204" s="32"/>
      <c r="LD204" s="32"/>
      <c r="LE204" s="32"/>
      <c r="LF204" s="32"/>
      <c r="LG204" s="32"/>
      <c r="LH204" s="32"/>
      <c r="LI204" s="32"/>
      <c r="LJ204" s="32"/>
      <c r="LK204" s="32"/>
      <c r="LL204" s="32"/>
      <c r="LM204" s="32"/>
      <c r="LN204" s="32"/>
      <c r="LO204" s="32"/>
      <c r="LP204" s="32"/>
      <c r="LQ204" s="32"/>
      <c r="LR204" s="32"/>
      <c r="LS204" s="32"/>
      <c r="LT204" s="32"/>
      <c r="LU204" s="32"/>
      <c r="LV204" s="32"/>
      <c r="LW204" s="32"/>
      <c r="LX204" s="32"/>
      <c r="LY204" s="32"/>
      <c r="LZ204" s="32"/>
      <c r="MA204" s="32"/>
      <c r="MB204" s="32"/>
      <c r="MC204" s="32"/>
      <c r="MD204" s="32"/>
      <c r="ME204" s="32"/>
      <c r="MF204" s="32"/>
      <c r="MG204" s="32"/>
      <c r="MH204" s="32"/>
      <c r="MI204" s="32"/>
      <c r="MJ204" s="32"/>
      <c r="MK204" s="32"/>
      <c r="ML204" s="32"/>
      <c r="MM204" s="32"/>
      <c r="MN204" s="32"/>
      <c r="MO204" s="32"/>
      <c r="MP204" s="32"/>
      <c r="MQ204" s="32"/>
      <c r="MR204" s="32"/>
      <c r="MS204" s="32"/>
      <c r="MT204" s="32"/>
      <c r="MU204" s="32"/>
      <c r="MV204" s="32"/>
      <c r="MW204" s="32"/>
      <c r="MX204" s="32"/>
      <c r="MY204" s="32"/>
      <c r="MZ204" s="32"/>
      <c r="NA204" s="32"/>
      <c r="NB204" s="32"/>
      <c r="NC204" s="32"/>
      <c r="ND204" s="32"/>
      <c r="NE204" s="32"/>
      <c r="NF204" s="32"/>
      <c r="NG204" s="32"/>
      <c r="NH204" s="32"/>
      <c r="NI204" s="32"/>
      <c r="NJ204" s="32"/>
      <c r="NK204" s="32"/>
      <c r="NL204" s="32"/>
      <c r="NM204" s="32"/>
      <c r="NN204" s="32"/>
      <c r="NO204" s="32"/>
      <c r="NP204" s="32"/>
      <c r="NQ204" s="32"/>
      <c r="NR204" s="32"/>
      <c r="NS204" s="32"/>
      <c r="NT204" s="32"/>
      <c r="NU204" s="32"/>
      <c r="NV204" s="32"/>
      <c r="NW204" s="32"/>
      <c r="NX204" s="32"/>
      <c r="NY204" s="32"/>
      <c r="NZ204" s="32"/>
      <c r="OA204" s="32"/>
      <c r="OB204" s="32"/>
      <c r="OC204" s="32"/>
      <c r="OD204" s="32"/>
      <c r="OE204" s="32"/>
      <c r="OF204" s="32"/>
      <c r="OG204" s="32"/>
      <c r="OH204" s="32"/>
      <c r="OI204" s="32"/>
      <c r="OJ204" s="32"/>
      <c r="OK204" s="32"/>
      <c r="OL204" s="32"/>
      <c r="OM204" s="32"/>
      <c r="ON204" s="32"/>
      <c r="OO204" s="32"/>
      <c r="OP204" s="32"/>
      <c r="OQ204" s="32"/>
      <c r="OR204" s="32"/>
      <c r="OS204" s="32"/>
      <c r="OT204" s="32"/>
      <c r="OU204" s="32"/>
      <c r="OV204" s="32"/>
      <c r="OW204" s="32"/>
      <c r="OX204" s="32"/>
      <c r="OY204" s="32"/>
      <c r="OZ204" s="32"/>
      <c r="PA204" s="32"/>
      <c r="PB204" s="32"/>
      <c r="PC204" s="32"/>
      <c r="PD204" s="32"/>
      <c r="PE204" s="32"/>
      <c r="PF204" s="32"/>
      <c r="PG204" s="32"/>
      <c r="PH204" s="32"/>
      <c r="PI204" s="32"/>
      <c r="PJ204" s="32"/>
      <c r="PK204" s="32"/>
      <c r="PL204" s="32"/>
      <c r="PM204" s="32"/>
      <c r="PN204" s="32"/>
      <c r="PO204" s="32"/>
      <c r="PP204" s="32"/>
      <c r="PQ204" s="32"/>
      <c r="PR204" s="32"/>
      <c r="PS204" s="32"/>
      <c r="PT204" s="32"/>
      <c r="PU204" s="32"/>
      <c r="PV204" s="32"/>
      <c r="PW204" s="32"/>
      <c r="PX204" s="32"/>
      <c r="PY204" s="32"/>
      <c r="PZ204" s="32"/>
      <c r="QA204" s="32"/>
      <c r="QB204" s="32"/>
      <c r="QC204" s="32"/>
      <c r="QD204" s="32"/>
      <c r="QE204" s="32"/>
      <c r="QF204" s="32"/>
      <c r="QG204" s="32"/>
      <c r="QH204" s="32"/>
      <c r="QI204" s="32"/>
      <c r="QJ204" s="32"/>
      <c r="QK204" s="32"/>
      <c r="QL204" s="32"/>
      <c r="QM204" s="32"/>
      <c r="QN204" s="32"/>
      <c r="QO204" s="32"/>
      <c r="QP204" s="32"/>
      <c r="QQ204" s="32"/>
      <c r="QR204" s="32"/>
      <c r="QS204" s="32"/>
      <c r="QT204" s="32"/>
      <c r="QU204" s="32"/>
      <c r="QV204" s="32"/>
      <c r="QW204" s="32"/>
      <c r="QX204" s="32"/>
      <c r="QY204" s="32"/>
      <c r="QZ204" s="32"/>
      <c r="RA204" s="32"/>
      <c r="RB204" s="32"/>
      <c r="RC204" s="32"/>
      <c r="RD204" s="32"/>
      <c r="RE204" s="32"/>
      <c r="RF204" s="32"/>
      <c r="RG204" s="32"/>
      <c r="RH204" s="32"/>
      <c r="RI204" s="32"/>
      <c r="RJ204" s="32"/>
      <c r="RK204" s="32"/>
      <c r="RL204" s="32"/>
      <c r="RM204" s="32"/>
      <c r="RN204" s="32"/>
      <c r="RO204" s="32"/>
      <c r="RP204" s="32"/>
      <c r="RQ204" s="32"/>
      <c r="RR204" s="32"/>
      <c r="RS204" s="32"/>
      <c r="RT204" s="32"/>
      <c r="RU204" s="32"/>
      <c r="RV204" s="32"/>
      <c r="RW204" s="32"/>
      <c r="RX204" s="32"/>
      <c r="RY204" s="32"/>
      <c r="RZ204" s="32"/>
      <c r="SA204" s="32"/>
      <c r="SB204" s="32"/>
      <c r="SC204" s="32"/>
      <c r="SD204" s="32"/>
      <c r="SE204" s="32"/>
      <c r="SF204" s="32"/>
      <c r="SG204" s="32"/>
      <c r="SH204" s="32"/>
      <c r="SI204" s="32"/>
      <c r="SJ204" s="32"/>
      <c r="SK204" s="32"/>
      <c r="SL204" s="32"/>
      <c r="SM204" s="32"/>
      <c r="SN204" s="32"/>
      <c r="SO204" s="32"/>
      <c r="SP204" s="32"/>
      <c r="SQ204" s="32"/>
      <c r="SR204" s="32"/>
      <c r="SS204" s="32"/>
      <c r="ST204" s="32"/>
      <c r="SU204" s="32"/>
      <c r="SV204" s="32"/>
      <c r="SW204" s="32"/>
      <c r="SX204" s="32"/>
      <c r="SY204" s="32"/>
      <c r="SZ204" s="32"/>
      <c r="TA204" s="32"/>
      <c r="TB204" s="32"/>
      <c r="TC204" s="32"/>
      <c r="TD204" s="32"/>
      <c r="TE204" s="32"/>
      <c r="TF204" s="32"/>
      <c r="TG204" s="32"/>
    </row>
    <row r="205" spans="1:527" s="34" customFormat="1" ht="21.75" customHeight="1" x14ac:dyDescent="0.25">
      <c r="A205" s="100" t="s">
        <v>194</v>
      </c>
      <c r="B205" s="113"/>
      <c r="C205" s="113"/>
      <c r="D205" s="81" t="s">
        <v>337</v>
      </c>
      <c r="E205" s="102">
        <f>E206+E207+E208+E210+E211++E213+E209+E212+E214</f>
        <v>81903057</v>
      </c>
      <c r="F205" s="102">
        <f t="shared" ref="F205:P205" si="89">F206+F207+F208+F210+F211++F213+F209+F212+F214</f>
        <v>81903057</v>
      </c>
      <c r="G205" s="102">
        <f t="shared" si="89"/>
        <v>62366800</v>
      </c>
      <c r="H205" s="102">
        <f t="shared" si="89"/>
        <v>2305157</v>
      </c>
      <c r="I205" s="102">
        <f t="shared" si="89"/>
        <v>0</v>
      </c>
      <c r="J205" s="102">
        <f t="shared" si="89"/>
        <v>5080600</v>
      </c>
      <c r="K205" s="102">
        <f t="shared" si="89"/>
        <v>2320500</v>
      </c>
      <c r="L205" s="102">
        <f t="shared" si="89"/>
        <v>2756970</v>
      </c>
      <c r="M205" s="102">
        <f t="shared" si="89"/>
        <v>2239004</v>
      </c>
      <c r="N205" s="102">
        <f t="shared" si="89"/>
        <v>3300</v>
      </c>
      <c r="O205" s="102">
        <f t="shared" si="89"/>
        <v>2323630</v>
      </c>
      <c r="P205" s="102">
        <f t="shared" si="89"/>
        <v>86983657</v>
      </c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</row>
    <row r="206" spans="1:527" s="22" customFormat="1" ht="47.25" x14ac:dyDescent="0.25">
      <c r="A206" s="60" t="s">
        <v>141</v>
      </c>
      <c r="B206" s="97" t="str">
        <f>'дод 8'!A19</f>
        <v>0160</v>
      </c>
      <c r="C206" s="97" t="str">
        <f>'дод 8'!B19</f>
        <v>0111</v>
      </c>
      <c r="D206" s="36" t="s">
        <v>503</v>
      </c>
      <c r="E206" s="103">
        <f t="shared" ref="E206:E214" si="90">F206+I206</f>
        <v>2167035</v>
      </c>
      <c r="F206" s="103">
        <f>2163700+3335</f>
        <v>2167035</v>
      </c>
      <c r="G206" s="103">
        <v>1695500</v>
      </c>
      <c r="H206" s="103">
        <f>18000+3335</f>
        <v>21335</v>
      </c>
      <c r="I206" s="103"/>
      <c r="J206" s="103">
        <f>L206+O206</f>
        <v>0</v>
      </c>
      <c r="K206" s="103"/>
      <c r="L206" s="103"/>
      <c r="M206" s="103"/>
      <c r="N206" s="103"/>
      <c r="O206" s="103"/>
      <c r="P206" s="103">
        <f t="shared" ref="P206:P214" si="91">E206+J206</f>
        <v>2167035</v>
      </c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</row>
    <row r="207" spans="1:527" s="22" customFormat="1" ht="19.5" customHeight="1" x14ac:dyDescent="0.25">
      <c r="A207" s="60" t="s">
        <v>518</v>
      </c>
      <c r="B207" s="97">
        <v>1080</v>
      </c>
      <c r="C207" s="60" t="s">
        <v>58</v>
      </c>
      <c r="D207" s="61" t="s">
        <v>519</v>
      </c>
      <c r="E207" s="103">
        <f t="shared" si="90"/>
        <v>50948015</v>
      </c>
      <c r="F207" s="103">
        <f>50652500+65000+20000+30000+15000+165515</f>
        <v>50948015</v>
      </c>
      <c r="G207" s="103">
        <v>40594000</v>
      </c>
      <c r="H207" s="103">
        <f>612300+165515</f>
        <v>777815</v>
      </c>
      <c r="I207" s="103"/>
      <c r="J207" s="103">
        <f t="shared" ref="J207:J214" si="92">L207+O207</f>
        <v>2729100</v>
      </c>
      <c r="K207" s="103"/>
      <c r="L207" s="103">
        <v>2725970</v>
      </c>
      <c r="M207" s="103">
        <v>2226904</v>
      </c>
      <c r="N207" s="103"/>
      <c r="O207" s="103">
        <v>3130</v>
      </c>
      <c r="P207" s="103">
        <f t="shared" si="91"/>
        <v>53677115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  <c r="TF207" s="23"/>
      <c r="TG207" s="23"/>
    </row>
    <row r="208" spans="1:527" s="22" customFormat="1" ht="21" customHeight="1" x14ac:dyDescent="0.25">
      <c r="A208" s="60" t="s">
        <v>195</v>
      </c>
      <c r="B208" s="97" t="str">
        <f>'дод 8'!A137</f>
        <v>4030</v>
      </c>
      <c r="C208" s="97" t="str">
        <f>'дод 8'!B137</f>
        <v>0824</v>
      </c>
      <c r="D208" s="61" t="str">
        <f>'дод 8'!C137</f>
        <v>Забезпечення діяльності бібліотек</v>
      </c>
      <c r="E208" s="103">
        <f t="shared" si="90"/>
        <v>23024164</v>
      </c>
      <c r="F208" s="103">
        <f>22627900+77000+112000+10000+2500+194764</f>
        <v>23024164</v>
      </c>
      <c r="G208" s="103">
        <v>16852700</v>
      </c>
      <c r="H208" s="103">
        <f>1133500+194764</f>
        <v>1328264</v>
      </c>
      <c r="I208" s="103"/>
      <c r="J208" s="103">
        <f t="shared" si="92"/>
        <v>252500</v>
      </c>
      <c r="K208" s="103">
        <f>195000+20000+5000+7500</f>
        <v>227500</v>
      </c>
      <c r="L208" s="103">
        <v>25000</v>
      </c>
      <c r="M208" s="103">
        <v>12100</v>
      </c>
      <c r="N208" s="103"/>
      <c r="O208" s="103">
        <f>195000+20000+5000+7500</f>
        <v>227500</v>
      </c>
      <c r="P208" s="103">
        <f t="shared" si="91"/>
        <v>23276664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  <c r="TF208" s="23"/>
      <c r="TG208" s="23"/>
    </row>
    <row r="209" spans="1:527" s="22" customFormat="1" ht="48.75" customHeight="1" x14ac:dyDescent="0.25">
      <c r="A209" s="60">
        <v>1014060</v>
      </c>
      <c r="B209" s="97" t="str">
        <f>'дод 8'!A138</f>
        <v>4060</v>
      </c>
      <c r="C209" s="97" t="str">
        <f>'дод 8'!B138</f>
        <v>0828</v>
      </c>
      <c r="D209" s="61" t="str">
        <f>'дод 8'!C138</f>
        <v>Забезпечення діяльності палаців i будинків культури, клубів, центрів дозвілля та iнших клубних закладів</v>
      </c>
      <c r="E209" s="103">
        <f t="shared" si="90"/>
        <v>2270616</v>
      </c>
      <c r="F209" s="103">
        <f>2160300+15160+20000+25000+40000+10156</f>
        <v>2270616</v>
      </c>
      <c r="G209" s="103">
        <v>1531600</v>
      </c>
      <c r="H209" s="103">
        <f>115700+15160+10156</f>
        <v>141016</v>
      </c>
      <c r="I209" s="103"/>
      <c r="J209" s="103">
        <f t="shared" si="92"/>
        <v>6000</v>
      </c>
      <c r="K209" s="103">
        <f>40000-40000</f>
        <v>0</v>
      </c>
      <c r="L209" s="103">
        <v>6000</v>
      </c>
      <c r="M209" s="103"/>
      <c r="N209" s="103">
        <v>3300</v>
      </c>
      <c r="O209" s="103">
        <f>40000-40000</f>
        <v>0</v>
      </c>
      <c r="P209" s="103">
        <f t="shared" si="91"/>
        <v>2276616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  <c r="TF209" s="23"/>
      <c r="TG209" s="23"/>
    </row>
    <row r="210" spans="1:527" s="24" customFormat="1" ht="33.75" customHeight="1" x14ac:dyDescent="0.25">
      <c r="A210" s="60">
        <v>1014081</v>
      </c>
      <c r="B210" s="97" t="str">
        <f>'дод 8'!A139</f>
        <v>4081</v>
      </c>
      <c r="C210" s="97" t="str">
        <f>'дод 8'!B139</f>
        <v>0829</v>
      </c>
      <c r="D210" s="61" t="str">
        <f>'дод 8'!C139</f>
        <v>Забезпечення діяльності інших закладів в галузі культури і мистецтва</v>
      </c>
      <c r="E210" s="103">
        <f t="shared" si="90"/>
        <v>2208227</v>
      </c>
      <c r="F210" s="103">
        <f>2206400+1827</f>
        <v>2208227</v>
      </c>
      <c r="G210" s="103">
        <v>1693000</v>
      </c>
      <c r="H210" s="103">
        <f>34900+1827</f>
        <v>36727</v>
      </c>
      <c r="I210" s="103"/>
      <c r="J210" s="103">
        <f t="shared" si="92"/>
        <v>23000</v>
      </c>
      <c r="K210" s="103">
        <v>23000</v>
      </c>
      <c r="L210" s="103"/>
      <c r="M210" s="103"/>
      <c r="N210" s="103"/>
      <c r="O210" s="103">
        <v>23000</v>
      </c>
      <c r="P210" s="103">
        <f t="shared" si="91"/>
        <v>2231227</v>
      </c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  <c r="ID210" s="30"/>
      <c r="IE210" s="30"/>
      <c r="IF210" s="30"/>
      <c r="IG210" s="30"/>
      <c r="IH210" s="30"/>
      <c r="II210" s="30"/>
      <c r="IJ210" s="30"/>
      <c r="IK210" s="30"/>
      <c r="IL210" s="30"/>
      <c r="IM210" s="30"/>
      <c r="IN210" s="30"/>
      <c r="IO210" s="30"/>
      <c r="IP210" s="30"/>
      <c r="IQ210" s="30"/>
      <c r="IR210" s="30"/>
      <c r="IS210" s="30"/>
      <c r="IT210" s="30"/>
      <c r="IU210" s="30"/>
      <c r="IV210" s="30"/>
      <c r="IW210" s="30"/>
      <c r="IX210" s="30"/>
      <c r="IY210" s="30"/>
      <c r="IZ210" s="30"/>
      <c r="JA210" s="30"/>
      <c r="JB210" s="30"/>
      <c r="JC210" s="30"/>
      <c r="JD210" s="30"/>
      <c r="JE210" s="30"/>
      <c r="JF210" s="30"/>
      <c r="JG210" s="30"/>
      <c r="JH210" s="30"/>
      <c r="JI210" s="30"/>
      <c r="JJ210" s="30"/>
      <c r="JK210" s="30"/>
      <c r="JL210" s="30"/>
      <c r="JM210" s="30"/>
      <c r="JN210" s="30"/>
      <c r="JO210" s="30"/>
      <c r="JP210" s="30"/>
      <c r="JQ210" s="30"/>
      <c r="JR210" s="30"/>
      <c r="JS210" s="30"/>
      <c r="JT210" s="30"/>
      <c r="JU210" s="30"/>
      <c r="JV210" s="30"/>
      <c r="JW210" s="30"/>
      <c r="JX210" s="30"/>
      <c r="JY210" s="30"/>
      <c r="JZ210" s="30"/>
      <c r="KA210" s="30"/>
      <c r="KB210" s="30"/>
      <c r="KC210" s="30"/>
      <c r="KD210" s="30"/>
      <c r="KE210" s="30"/>
      <c r="KF210" s="30"/>
      <c r="KG210" s="30"/>
      <c r="KH210" s="30"/>
      <c r="KI210" s="30"/>
      <c r="KJ210" s="30"/>
      <c r="KK210" s="30"/>
      <c r="KL210" s="30"/>
      <c r="KM210" s="30"/>
      <c r="KN210" s="30"/>
      <c r="KO210" s="30"/>
      <c r="KP210" s="30"/>
      <c r="KQ210" s="30"/>
      <c r="KR210" s="30"/>
      <c r="KS210" s="30"/>
      <c r="KT210" s="30"/>
      <c r="KU210" s="30"/>
      <c r="KV210" s="30"/>
      <c r="KW210" s="30"/>
      <c r="KX210" s="30"/>
      <c r="KY210" s="30"/>
      <c r="KZ210" s="30"/>
      <c r="LA210" s="30"/>
      <c r="LB210" s="30"/>
      <c r="LC210" s="30"/>
      <c r="LD210" s="30"/>
      <c r="LE210" s="30"/>
      <c r="LF210" s="30"/>
      <c r="LG210" s="30"/>
      <c r="LH210" s="30"/>
      <c r="LI210" s="30"/>
      <c r="LJ210" s="30"/>
      <c r="LK210" s="30"/>
      <c r="LL210" s="30"/>
      <c r="LM210" s="30"/>
      <c r="LN210" s="30"/>
      <c r="LO210" s="30"/>
      <c r="LP210" s="30"/>
      <c r="LQ210" s="30"/>
      <c r="LR210" s="30"/>
      <c r="LS210" s="30"/>
      <c r="LT210" s="30"/>
      <c r="LU210" s="30"/>
      <c r="LV210" s="30"/>
      <c r="LW210" s="30"/>
      <c r="LX210" s="30"/>
      <c r="LY210" s="30"/>
      <c r="LZ210" s="30"/>
      <c r="MA210" s="30"/>
      <c r="MB210" s="30"/>
      <c r="MC210" s="30"/>
      <c r="MD210" s="30"/>
      <c r="ME210" s="30"/>
      <c r="MF210" s="30"/>
      <c r="MG210" s="30"/>
      <c r="MH210" s="30"/>
      <c r="MI210" s="30"/>
      <c r="MJ210" s="30"/>
      <c r="MK210" s="30"/>
      <c r="ML210" s="30"/>
      <c r="MM210" s="30"/>
      <c r="MN210" s="30"/>
      <c r="MO210" s="30"/>
      <c r="MP210" s="30"/>
      <c r="MQ210" s="30"/>
      <c r="MR210" s="30"/>
      <c r="MS210" s="30"/>
      <c r="MT210" s="30"/>
      <c r="MU210" s="30"/>
      <c r="MV210" s="30"/>
      <c r="MW210" s="30"/>
      <c r="MX210" s="30"/>
      <c r="MY210" s="30"/>
      <c r="MZ210" s="30"/>
      <c r="NA210" s="30"/>
      <c r="NB210" s="30"/>
      <c r="NC210" s="30"/>
      <c r="ND210" s="30"/>
      <c r="NE210" s="30"/>
      <c r="NF210" s="30"/>
      <c r="NG210" s="30"/>
      <c r="NH210" s="30"/>
      <c r="NI210" s="30"/>
      <c r="NJ210" s="30"/>
      <c r="NK210" s="30"/>
      <c r="NL210" s="30"/>
      <c r="NM210" s="30"/>
      <c r="NN210" s="30"/>
      <c r="NO210" s="30"/>
      <c r="NP210" s="30"/>
      <c r="NQ210" s="30"/>
      <c r="NR210" s="30"/>
      <c r="NS210" s="30"/>
      <c r="NT210" s="30"/>
      <c r="NU210" s="30"/>
      <c r="NV210" s="30"/>
      <c r="NW210" s="30"/>
      <c r="NX210" s="30"/>
      <c r="NY210" s="30"/>
      <c r="NZ210" s="30"/>
      <c r="OA210" s="30"/>
      <c r="OB210" s="30"/>
      <c r="OC210" s="30"/>
      <c r="OD210" s="30"/>
      <c r="OE210" s="30"/>
      <c r="OF210" s="30"/>
      <c r="OG210" s="30"/>
      <c r="OH210" s="30"/>
      <c r="OI210" s="30"/>
      <c r="OJ210" s="30"/>
      <c r="OK210" s="30"/>
      <c r="OL210" s="30"/>
      <c r="OM210" s="30"/>
      <c r="ON210" s="30"/>
      <c r="OO210" s="30"/>
      <c r="OP210" s="30"/>
      <c r="OQ210" s="30"/>
      <c r="OR210" s="30"/>
      <c r="OS210" s="30"/>
      <c r="OT210" s="30"/>
      <c r="OU210" s="30"/>
      <c r="OV210" s="30"/>
      <c r="OW210" s="30"/>
      <c r="OX210" s="30"/>
      <c r="OY210" s="30"/>
      <c r="OZ210" s="30"/>
      <c r="PA210" s="30"/>
      <c r="PB210" s="30"/>
      <c r="PC210" s="30"/>
      <c r="PD210" s="30"/>
      <c r="PE210" s="30"/>
      <c r="PF210" s="30"/>
      <c r="PG210" s="30"/>
      <c r="PH210" s="30"/>
      <c r="PI210" s="30"/>
      <c r="PJ210" s="30"/>
      <c r="PK210" s="30"/>
      <c r="PL210" s="30"/>
      <c r="PM210" s="30"/>
      <c r="PN210" s="30"/>
      <c r="PO210" s="30"/>
      <c r="PP210" s="30"/>
      <c r="PQ210" s="30"/>
      <c r="PR210" s="30"/>
      <c r="PS210" s="30"/>
      <c r="PT210" s="30"/>
      <c r="PU210" s="30"/>
      <c r="PV210" s="30"/>
      <c r="PW210" s="30"/>
      <c r="PX210" s="30"/>
      <c r="PY210" s="30"/>
      <c r="PZ210" s="30"/>
      <c r="QA210" s="30"/>
      <c r="QB210" s="30"/>
      <c r="QC210" s="30"/>
      <c r="QD210" s="30"/>
      <c r="QE210" s="30"/>
      <c r="QF210" s="30"/>
      <c r="QG210" s="30"/>
      <c r="QH210" s="30"/>
      <c r="QI210" s="30"/>
      <c r="QJ210" s="30"/>
      <c r="QK210" s="30"/>
      <c r="QL210" s="30"/>
      <c r="QM210" s="30"/>
      <c r="QN210" s="30"/>
      <c r="QO210" s="30"/>
      <c r="QP210" s="30"/>
      <c r="QQ210" s="30"/>
      <c r="QR210" s="30"/>
      <c r="QS210" s="30"/>
      <c r="QT210" s="30"/>
      <c r="QU210" s="30"/>
      <c r="QV210" s="30"/>
      <c r="QW210" s="30"/>
      <c r="QX210" s="30"/>
      <c r="QY210" s="30"/>
      <c r="QZ210" s="30"/>
      <c r="RA210" s="30"/>
      <c r="RB210" s="30"/>
      <c r="RC210" s="30"/>
      <c r="RD210" s="30"/>
      <c r="RE210" s="30"/>
      <c r="RF210" s="30"/>
      <c r="RG210" s="30"/>
      <c r="RH210" s="30"/>
      <c r="RI210" s="30"/>
      <c r="RJ210" s="30"/>
      <c r="RK210" s="30"/>
      <c r="RL210" s="30"/>
      <c r="RM210" s="30"/>
      <c r="RN210" s="30"/>
      <c r="RO210" s="30"/>
      <c r="RP210" s="30"/>
      <c r="RQ210" s="30"/>
      <c r="RR210" s="30"/>
      <c r="RS210" s="30"/>
      <c r="RT210" s="30"/>
      <c r="RU210" s="30"/>
      <c r="RV210" s="30"/>
      <c r="RW210" s="30"/>
      <c r="RX210" s="30"/>
      <c r="RY210" s="30"/>
      <c r="RZ210" s="30"/>
      <c r="SA210" s="30"/>
      <c r="SB210" s="30"/>
      <c r="SC210" s="30"/>
      <c r="SD210" s="30"/>
      <c r="SE210" s="30"/>
      <c r="SF210" s="30"/>
      <c r="SG210" s="30"/>
      <c r="SH210" s="30"/>
      <c r="SI210" s="30"/>
      <c r="SJ210" s="30"/>
      <c r="SK210" s="30"/>
      <c r="SL210" s="30"/>
      <c r="SM210" s="30"/>
      <c r="SN210" s="30"/>
      <c r="SO210" s="30"/>
      <c r="SP210" s="30"/>
      <c r="SQ210" s="30"/>
      <c r="SR210" s="30"/>
      <c r="SS210" s="30"/>
      <c r="ST210" s="30"/>
      <c r="SU210" s="30"/>
      <c r="SV210" s="30"/>
      <c r="SW210" s="30"/>
      <c r="SX210" s="30"/>
      <c r="SY210" s="30"/>
      <c r="SZ210" s="30"/>
      <c r="TA210" s="30"/>
      <c r="TB210" s="30"/>
      <c r="TC210" s="30"/>
      <c r="TD210" s="30"/>
      <c r="TE210" s="30"/>
      <c r="TF210" s="30"/>
      <c r="TG210" s="30"/>
    </row>
    <row r="211" spans="1:527" s="24" customFormat="1" ht="25.5" customHeight="1" x14ac:dyDescent="0.25">
      <c r="A211" s="60">
        <v>1014082</v>
      </c>
      <c r="B211" s="97" t="str">
        <f>'дод 8'!A140</f>
        <v>4082</v>
      </c>
      <c r="C211" s="97" t="str">
        <f>'дод 8'!B140</f>
        <v>0829</v>
      </c>
      <c r="D211" s="61" t="str">
        <f>'дод 8'!C140</f>
        <v>Інші заходи в галузі культури і мистецтва</v>
      </c>
      <c r="E211" s="103">
        <f t="shared" si="90"/>
        <v>1285000</v>
      </c>
      <c r="F211" s="103">
        <f>1100000+100000+85000</f>
        <v>1285000</v>
      </c>
      <c r="G211" s="103"/>
      <c r="H211" s="103"/>
      <c r="I211" s="103"/>
      <c r="J211" s="103">
        <f t="shared" si="92"/>
        <v>0</v>
      </c>
      <c r="K211" s="103"/>
      <c r="L211" s="103"/>
      <c r="M211" s="103"/>
      <c r="N211" s="103"/>
      <c r="O211" s="103"/>
      <c r="P211" s="103">
        <f t="shared" si="91"/>
        <v>1285000</v>
      </c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  <c r="ID211" s="30"/>
      <c r="IE211" s="30"/>
      <c r="IF211" s="30"/>
      <c r="IG211" s="30"/>
      <c r="IH211" s="30"/>
      <c r="II211" s="30"/>
      <c r="IJ211" s="30"/>
      <c r="IK211" s="30"/>
      <c r="IL211" s="30"/>
      <c r="IM211" s="30"/>
      <c r="IN211" s="30"/>
      <c r="IO211" s="30"/>
      <c r="IP211" s="30"/>
      <c r="IQ211" s="30"/>
      <c r="IR211" s="30"/>
      <c r="IS211" s="30"/>
      <c r="IT211" s="30"/>
      <c r="IU211" s="30"/>
      <c r="IV211" s="30"/>
      <c r="IW211" s="30"/>
      <c r="IX211" s="30"/>
      <c r="IY211" s="30"/>
      <c r="IZ211" s="30"/>
      <c r="JA211" s="30"/>
      <c r="JB211" s="30"/>
      <c r="JC211" s="30"/>
      <c r="JD211" s="30"/>
      <c r="JE211" s="30"/>
      <c r="JF211" s="30"/>
      <c r="JG211" s="30"/>
      <c r="JH211" s="30"/>
      <c r="JI211" s="30"/>
      <c r="JJ211" s="30"/>
      <c r="JK211" s="30"/>
      <c r="JL211" s="30"/>
      <c r="JM211" s="30"/>
      <c r="JN211" s="30"/>
      <c r="JO211" s="30"/>
      <c r="JP211" s="30"/>
      <c r="JQ211" s="30"/>
      <c r="JR211" s="30"/>
      <c r="JS211" s="30"/>
      <c r="JT211" s="30"/>
      <c r="JU211" s="30"/>
      <c r="JV211" s="30"/>
      <c r="JW211" s="30"/>
      <c r="JX211" s="30"/>
      <c r="JY211" s="30"/>
      <c r="JZ211" s="30"/>
      <c r="KA211" s="30"/>
      <c r="KB211" s="30"/>
      <c r="KC211" s="30"/>
      <c r="KD211" s="30"/>
      <c r="KE211" s="30"/>
      <c r="KF211" s="30"/>
      <c r="KG211" s="30"/>
      <c r="KH211" s="30"/>
      <c r="KI211" s="30"/>
      <c r="KJ211" s="30"/>
      <c r="KK211" s="30"/>
      <c r="KL211" s="30"/>
      <c r="KM211" s="30"/>
      <c r="KN211" s="30"/>
      <c r="KO211" s="30"/>
      <c r="KP211" s="30"/>
      <c r="KQ211" s="30"/>
      <c r="KR211" s="30"/>
      <c r="KS211" s="30"/>
      <c r="KT211" s="30"/>
      <c r="KU211" s="30"/>
      <c r="KV211" s="30"/>
      <c r="KW211" s="30"/>
      <c r="KX211" s="30"/>
      <c r="KY211" s="30"/>
      <c r="KZ211" s="30"/>
      <c r="LA211" s="30"/>
      <c r="LB211" s="30"/>
      <c r="LC211" s="30"/>
      <c r="LD211" s="30"/>
      <c r="LE211" s="30"/>
      <c r="LF211" s="30"/>
      <c r="LG211" s="30"/>
      <c r="LH211" s="30"/>
      <c r="LI211" s="30"/>
      <c r="LJ211" s="30"/>
      <c r="LK211" s="30"/>
      <c r="LL211" s="30"/>
      <c r="LM211" s="30"/>
      <c r="LN211" s="30"/>
      <c r="LO211" s="30"/>
      <c r="LP211" s="30"/>
      <c r="LQ211" s="30"/>
      <c r="LR211" s="30"/>
      <c r="LS211" s="30"/>
      <c r="LT211" s="30"/>
      <c r="LU211" s="30"/>
      <c r="LV211" s="30"/>
      <c r="LW211" s="30"/>
      <c r="LX211" s="30"/>
      <c r="LY211" s="30"/>
      <c r="LZ211" s="30"/>
      <c r="MA211" s="30"/>
      <c r="MB211" s="30"/>
      <c r="MC211" s="30"/>
      <c r="MD211" s="30"/>
      <c r="ME211" s="30"/>
      <c r="MF211" s="30"/>
      <c r="MG211" s="30"/>
      <c r="MH211" s="30"/>
      <c r="MI211" s="30"/>
      <c r="MJ211" s="30"/>
      <c r="MK211" s="30"/>
      <c r="ML211" s="30"/>
      <c r="MM211" s="30"/>
      <c r="MN211" s="30"/>
      <c r="MO211" s="30"/>
      <c r="MP211" s="30"/>
      <c r="MQ211" s="30"/>
      <c r="MR211" s="30"/>
      <c r="MS211" s="30"/>
      <c r="MT211" s="30"/>
      <c r="MU211" s="30"/>
      <c r="MV211" s="30"/>
      <c r="MW211" s="30"/>
      <c r="MX211" s="30"/>
      <c r="MY211" s="30"/>
      <c r="MZ211" s="30"/>
      <c r="NA211" s="30"/>
      <c r="NB211" s="30"/>
      <c r="NC211" s="30"/>
      <c r="ND211" s="30"/>
      <c r="NE211" s="30"/>
      <c r="NF211" s="30"/>
      <c r="NG211" s="30"/>
      <c r="NH211" s="30"/>
      <c r="NI211" s="30"/>
      <c r="NJ211" s="30"/>
      <c r="NK211" s="30"/>
      <c r="NL211" s="30"/>
      <c r="NM211" s="30"/>
      <c r="NN211" s="30"/>
      <c r="NO211" s="30"/>
      <c r="NP211" s="30"/>
      <c r="NQ211" s="30"/>
      <c r="NR211" s="30"/>
      <c r="NS211" s="30"/>
      <c r="NT211" s="30"/>
      <c r="NU211" s="30"/>
      <c r="NV211" s="30"/>
      <c r="NW211" s="30"/>
      <c r="NX211" s="30"/>
      <c r="NY211" s="30"/>
      <c r="NZ211" s="30"/>
      <c r="OA211" s="30"/>
      <c r="OB211" s="30"/>
      <c r="OC211" s="30"/>
      <c r="OD211" s="30"/>
      <c r="OE211" s="30"/>
      <c r="OF211" s="30"/>
      <c r="OG211" s="30"/>
      <c r="OH211" s="30"/>
      <c r="OI211" s="30"/>
      <c r="OJ211" s="30"/>
      <c r="OK211" s="30"/>
      <c r="OL211" s="30"/>
      <c r="OM211" s="30"/>
      <c r="ON211" s="30"/>
      <c r="OO211" s="30"/>
      <c r="OP211" s="30"/>
      <c r="OQ211" s="30"/>
      <c r="OR211" s="30"/>
      <c r="OS211" s="30"/>
      <c r="OT211" s="30"/>
      <c r="OU211" s="30"/>
      <c r="OV211" s="30"/>
      <c r="OW211" s="30"/>
      <c r="OX211" s="30"/>
      <c r="OY211" s="30"/>
      <c r="OZ211" s="30"/>
      <c r="PA211" s="30"/>
      <c r="PB211" s="30"/>
      <c r="PC211" s="30"/>
      <c r="PD211" s="30"/>
      <c r="PE211" s="30"/>
      <c r="PF211" s="30"/>
      <c r="PG211" s="30"/>
      <c r="PH211" s="30"/>
      <c r="PI211" s="30"/>
      <c r="PJ211" s="30"/>
      <c r="PK211" s="30"/>
      <c r="PL211" s="30"/>
      <c r="PM211" s="30"/>
      <c r="PN211" s="30"/>
      <c r="PO211" s="30"/>
      <c r="PP211" s="30"/>
      <c r="PQ211" s="30"/>
      <c r="PR211" s="30"/>
      <c r="PS211" s="30"/>
      <c r="PT211" s="30"/>
      <c r="PU211" s="30"/>
      <c r="PV211" s="30"/>
      <c r="PW211" s="30"/>
      <c r="PX211" s="30"/>
      <c r="PY211" s="30"/>
      <c r="PZ211" s="30"/>
      <c r="QA211" s="30"/>
      <c r="QB211" s="30"/>
      <c r="QC211" s="30"/>
      <c r="QD211" s="30"/>
      <c r="QE211" s="30"/>
      <c r="QF211" s="30"/>
      <c r="QG211" s="30"/>
      <c r="QH211" s="30"/>
      <c r="QI211" s="30"/>
      <c r="QJ211" s="30"/>
      <c r="QK211" s="30"/>
      <c r="QL211" s="30"/>
      <c r="QM211" s="30"/>
      <c r="QN211" s="30"/>
      <c r="QO211" s="30"/>
      <c r="QP211" s="30"/>
      <c r="QQ211" s="30"/>
      <c r="QR211" s="30"/>
      <c r="QS211" s="30"/>
      <c r="QT211" s="30"/>
      <c r="QU211" s="30"/>
      <c r="QV211" s="30"/>
      <c r="QW211" s="30"/>
      <c r="QX211" s="30"/>
      <c r="QY211" s="30"/>
      <c r="QZ211" s="30"/>
      <c r="RA211" s="30"/>
      <c r="RB211" s="30"/>
      <c r="RC211" s="30"/>
      <c r="RD211" s="30"/>
      <c r="RE211" s="30"/>
      <c r="RF211" s="30"/>
      <c r="RG211" s="30"/>
      <c r="RH211" s="30"/>
      <c r="RI211" s="30"/>
      <c r="RJ211" s="30"/>
      <c r="RK211" s="30"/>
      <c r="RL211" s="30"/>
      <c r="RM211" s="30"/>
      <c r="RN211" s="30"/>
      <c r="RO211" s="30"/>
      <c r="RP211" s="30"/>
      <c r="RQ211" s="30"/>
      <c r="RR211" s="30"/>
      <c r="RS211" s="30"/>
      <c r="RT211" s="30"/>
      <c r="RU211" s="30"/>
      <c r="RV211" s="30"/>
      <c r="RW211" s="30"/>
      <c r="RX211" s="30"/>
      <c r="RY211" s="30"/>
      <c r="RZ211" s="30"/>
      <c r="SA211" s="30"/>
      <c r="SB211" s="30"/>
      <c r="SC211" s="30"/>
      <c r="SD211" s="30"/>
      <c r="SE211" s="30"/>
      <c r="SF211" s="30"/>
      <c r="SG211" s="30"/>
      <c r="SH211" s="30"/>
      <c r="SI211" s="30"/>
      <c r="SJ211" s="30"/>
      <c r="SK211" s="30"/>
      <c r="SL211" s="30"/>
      <c r="SM211" s="30"/>
      <c r="SN211" s="30"/>
      <c r="SO211" s="30"/>
      <c r="SP211" s="30"/>
      <c r="SQ211" s="30"/>
      <c r="SR211" s="30"/>
      <c r="SS211" s="30"/>
      <c r="ST211" s="30"/>
      <c r="SU211" s="30"/>
      <c r="SV211" s="30"/>
      <c r="SW211" s="30"/>
      <c r="SX211" s="30"/>
      <c r="SY211" s="30"/>
      <c r="SZ211" s="30"/>
      <c r="TA211" s="30"/>
      <c r="TB211" s="30"/>
      <c r="TC211" s="30"/>
      <c r="TD211" s="30"/>
      <c r="TE211" s="30"/>
      <c r="TF211" s="30"/>
      <c r="TG211" s="30"/>
    </row>
    <row r="212" spans="1:527" s="24" customFormat="1" ht="21.75" customHeight="1" x14ac:dyDescent="0.25">
      <c r="A212" s="60" t="s">
        <v>459</v>
      </c>
      <c r="B212" s="60" t="s">
        <v>460</v>
      </c>
      <c r="C212" s="60" t="s">
        <v>113</v>
      </c>
      <c r="D212" s="6" t="s">
        <v>568</v>
      </c>
      <c r="E212" s="103">
        <f t="shared" si="90"/>
        <v>0</v>
      </c>
      <c r="F212" s="103"/>
      <c r="G212" s="103"/>
      <c r="H212" s="103"/>
      <c r="I212" s="103"/>
      <c r="J212" s="103">
        <f t="shared" si="92"/>
        <v>570000</v>
      </c>
      <c r="K212" s="103">
        <f>950000+20000-400000</f>
        <v>570000</v>
      </c>
      <c r="L212" s="103"/>
      <c r="M212" s="103"/>
      <c r="N212" s="103"/>
      <c r="O212" s="103">
        <f>950000+20000-400000</f>
        <v>570000</v>
      </c>
      <c r="P212" s="103">
        <f t="shared" si="91"/>
        <v>570000</v>
      </c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</row>
    <row r="213" spans="1:527" s="22" customFormat="1" ht="22.5" customHeight="1" x14ac:dyDescent="0.25">
      <c r="A213" s="60" t="s">
        <v>147</v>
      </c>
      <c r="B213" s="97" t="str">
        <f>'дод 8'!A202</f>
        <v>7640</v>
      </c>
      <c r="C213" s="97" t="str">
        <f>'дод 8'!B202</f>
        <v>0470</v>
      </c>
      <c r="D213" s="61" t="s">
        <v>424</v>
      </c>
      <c r="E213" s="103">
        <f t="shared" si="90"/>
        <v>0</v>
      </c>
      <c r="F213" s="103"/>
      <c r="G213" s="103"/>
      <c r="H213" s="103"/>
      <c r="I213" s="103"/>
      <c r="J213" s="103">
        <f t="shared" si="92"/>
        <v>1500000</v>
      </c>
      <c r="K213" s="103">
        <v>1500000</v>
      </c>
      <c r="L213" s="103"/>
      <c r="M213" s="103"/>
      <c r="N213" s="103"/>
      <c r="O213" s="103">
        <v>1500000</v>
      </c>
      <c r="P213" s="103">
        <f t="shared" si="91"/>
        <v>1500000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</row>
    <row r="214" spans="1:527" s="22" customFormat="1" ht="22.5" hidden="1" customHeight="1" x14ac:dyDescent="0.25">
      <c r="A214" s="60">
        <v>1018340</v>
      </c>
      <c r="B214" s="97" t="str">
        <f>'дод 8'!A224</f>
        <v>8340</v>
      </c>
      <c r="C214" s="97" t="str">
        <f>'дод 8'!B224</f>
        <v>0540</v>
      </c>
      <c r="D214" s="121" t="str">
        <f>'дод 8'!C224</f>
        <v>Природоохоронні заходи за рахунок цільових фондів</v>
      </c>
      <c r="E214" s="103">
        <f t="shared" si="90"/>
        <v>0</v>
      </c>
      <c r="F214" s="103"/>
      <c r="G214" s="103"/>
      <c r="H214" s="103"/>
      <c r="I214" s="103"/>
      <c r="J214" s="103">
        <f t="shared" si="92"/>
        <v>0</v>
      </c>
      <c r="K214" s="103"/>
      <c r="L214" s="103"/>
      <c r="M214" s="103"/>
      <c r="N214" s="103"/>
      <c r="O214" s="103"/>
      <c r="P214" s="103">
        <f t="shared" si="91"/>
        <v>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</row>
    <row r="215" spans="1:527" s="27" customFormat="1" ht="34.5" customHeight="1" x14ac:dyDescent="0.25">
      <c r="A215" s="114" t="s">
        <v>196</v>
      </c>
      <c r="B215" s="116"/>
      <c r="C215" s="116"/>
      <c r="D215" s="111" t="s">
        <v>33</v>
      </c>
      <c r="E215" s="99">
        <f>E216</f>
        <v>327953635.13999999</v>
      </c>
      <c r="F215" s="99">
        <f t="shared" ref="F215:J215" si="93">F216</f>
        <v>295211676.65999997</v>
      </c>
      <c r="G215" s="99">
        <f t="shared" si="93"/>
        <v>11274000</v>
      </c>
      <c r="H215" s="99">
        <f t="shared" si="93"/>
        <v>35226635</v>
      </c>
      <c r="I215" s="99">
        <f t="shared" si="93"/>
        <v>32741958.48</v>
      </c>
      <c r="J215" s="99">
        <f t="shared" si="93"/>
        <v>162609749.72999996</v>
      </c>
      <c r="K215" s="99">
        <f t="shared" ref="K215" si="94">K216</f>
        <v>155604583.15999997</v>
      </c>
      <c r="L215" s="99">
        <f t="shared" ref="L215" si="95">L216</f>
        <v>1926086.57</v>
      </c>
      <c r="M215" s="99">
        <f t="shared" ref="M215" si="96">M216</f>
        <v>0</v>
      </c>
      <c r="N215" s="99">
        <f t="shared" ref="N215" si="97">N216</f>
        <v>0</v>
      </c>
      <c r="O215" s="99">
        <f t="shared" ref="O215:P215" si="98">O216</f>
        <v>160683663.15999997</v>
      </c>
      <c r="P215" s="99">
        <f t="shared" si="98"/>
        <v>490563384.87</v>
      </c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  <c r="IP215" s="32"/>
      <c r="IQ215" s="32"/>
      <c r="IR215" s="32"/>
      <c r="IS215" s="32"/>
      <c r="IT215" s="32"/>
      <c r="IU215" s="32"/>
      <c r="IV215" s="32"/>
      <c r="IW215" s="32"/>
      <c r="IX215" s="32"/>
      <c r="IY215" s="32"/>
      <c r="IZ215" s="32"/>
      <c r="JA215" s="32"/>
      <c r="JB215" s="32"/>
      <c r="JC215" s="32"/>
      <c r="JD215" s="32"/>
      <c r="JE215" s="32"/>
      <c r="JF215" s="32"/>
      <c r="JG215" s="32"/>
      <c r="JH215" s="32"/>
      <c r="JI215" s="32"/>
      <c r="JJ215" s="32"/>
      <c r="JK215" s="32"/>
      <c r="JL215" s="32"/>
      <c r="JM215" s="32"/>
      <c r="JN215" s="32"/>
      <c r="JO215" s="32"/>
      <c r="JP215" s="32"/>
      <c r="JQ215" s="32"/>
      <c r="JR215" s="32"/>
      <c r="JS215" s="32"/>
      <c r="JT215" s="32"/>
      <c r="JU215" s="32"/>
      <c r="JV215" s="32"/>
      <c r="JW215" s="32"/>
      <c r="JX215" s="32"/>
      <c r="JY215" s="32"/>
      <c r="JZ215" s="32"/>
      <c r="KA215" s="32"/>
      <c r="KB215" s="32"/>
      <c r="KC215" s="32"/>
      <c r="KD215" s="32"/>
      <c r="KE215" s="32"/>
      <c r="KF215" s="32"/>
      <c r="KG215" s="32"/>
      <c r="KH215" s="32"/>
      <c r="KI215" s="32"/>
      <c r="KJ215" s="32"/>
      <c r="KK215" s="32"/>
      <c r="KL215" s="32"/>
      <c r="KM215" s="32"/>
      <c r="KN215" s="32"/>
      <c r="KO215" s="32"/>
      <c r="KP215" s="32"/>
      <c r="KQ215" s="32"/>
      <c r="KR215" s="32"/>
      <c r="KS215" s="32"/>
      <c r="KT215" s="32"/>
      <c r="KU215" s="32"/>
      <c r="KV215" s="32"/>
      <c r="KW215" s="32"/>
      <c r="KX215" s="32"/>
      <c r="KY215" s="32"/>
      <c r="KZ215" s="32"/>
      <c r="LA215" s="32"/>
      <c r="LB215" s="32"/>
      <c r="LC215" s="32"/>
      <c r="LD215" s="32"/>
      <c r="LE215" s="32"/>
      <c r="LF215" s="32"/>
      <c r="LG215" s="32"/>
      <c r="LH215" s="32"/>
      <c r="LI215" s="32"/>
      <c r="LJ215" s="32"/>
      <c r="LK215" s="32"/>
      <c r="LL215" s="32"/>
      <c r="LM215" s="32"/>
      <c r="LN215" s="32"/>
      <c r="LO215" s="32"/>
      <c r="LP215" s="32"/>
      <c r="LQ215" s="32"/>
      <c r="LR215" s="32"/>
      <c r="LS215" s="32"/>
      <c r="LT215" s="32"/>
      <c r="LU215" s="32"/>
      <c r="LV215" s="32"/>
      <c r="LW215" s="32"/>
      <c r="LX215" s="32"/>
      <c r="LY215" s="32"/>
      <c r="LZ215" s="32"/>
      <c r="MA215" s="32"/>
      <c r="MB215" s="32"/>
      <c r="MC215" s="32"/>
      <c r="MD215" s="32"/>
      <c r="ME215" s="32"/>
      <c r="MF215" s="32"/>
      <c r="MG215" s="32"/>
      <c r="MH215" s="32"/>
      <c r="MI215" s="32"/>
      <c r="MJ215" s="32"/>
      <c r="MK215" s="32"/>
      <c r="ML215" s="32"/>
      <c r="MM215" s="32"/>
      <c r="MN215" s="32"/>
      <c r="MO215" s="32"/>
      <c r="MP215" s="32"/>
      <c r="MQ215" s="32"/>
      <c r="MR215" s="32"/>
      <c r="MS215" s="32"/>
      <c r="MT215" s="32"/>
      <c r="MU215" s="32"/>
      <c r="MV215" s="32"/>
      <c r="MW215" s="32"/>
      <c r="MX215" s="32"/>
      <c r="MY215" s="32"/>
      <c r="MZ215" s="32"/>
      <c r="NA215" s="32"/>
      <c r="NB215" s="32"/>
      <c r="NC215" s="32"/>
      <c r="ND215" s="32"/>
      <c r="NE215" s="32"/>
      <c r="NF215" s="32"/>
      <c r="NG215" s="32"/>
      <c r="NH215" s="32"/>
      <c r="NI215" s="32"/>
      <c r="NJ215" s="32"/>
      <c r="NK215" s="32"/>
      <c r="NL215" s="32"/>
      <c r="NM215" s="32"/>
      <c r="NN215" s="32"/>
      <c r="NO215" s="32"/>
      <c r="NP215" s="32"/>
      <c r="NQ215" s="32"/>
      <c r="NR215" s="32"/>
      <c r="NS215" s="32"/>
      <c r="NT215" s="32"/>
      <c r="NU215" s="32"/>
      <c r="NV215" s="32"/>
      <c r="NW215" s="32"/>
      <c r="NX215" s="32"/>
      <c r="NY215" s="32"/>
      <c r="NZ215" s="32"/>
      <c r="OA215" s="32"/>
      <c r="OB215" s="32"/>
      <c r="OC215" s="32"/>
      <c r="OD215" s="32"/>
      <c r="OE215" s="32"/>
      <c r="OF215" s="32"/>
      <c r="OG215" s="32"/>
      <c r="OH215" s="32"/>
      <c r="OI215" s="32"/>
      <c r="OJ215" s="32"/>
      <c r="OK215" s="32"/>
      <c r="OL215" s="32"/>
      <c r="OM215" s="32"/>
      <c r="ON215" s="32"/>
      <c r="OO215" s="32"/>
      <c r="OP215" s="32"/>
      <c r="OQ215" s="32"/>
      <c r="OR215" s="32"/>
      <c r="OS215" s="32"/>
      <c r="OT215" s="32"/>
      <c r="OU215" s="32"/>
      <c r="OV215" s="32"/>
      <c r="OW215" s="32"/>
      <c r="OX215" s="32"/>
      <c r="OY215" s="32"/>
      <c r="OZ215" s="32"/>
      <c r="PA215" s="32"/>
      <c r="PB215" s="32"/>
      <c r="PC215" s="32"/>
      <c r="PD215" s="32"/>
      <c r="PE215" s="32"/>
      <c r="PF215" s="32"/>
      <c r="PG215" s="32"/>
      <c r="PH215" s="32"/>
      <c r="PI215" s="32"/>
      <c r="PJ215" s="32"/>
      <c r="PK215" s="32"/>
      <c r="PL215" s="32"/>
      <c r="PM215" s="32"/>
      <c r="PN215" s="32"/>
      <c r="PO215" s="32"/>
      <c r="PP215" s="32"/>
      <c r="PQ215" s="32"/>
      <c r="PR215" s="32"/>
      <c r="PS215" s="32"/>
      <c r="PT215" s="32"/>
      <c r="PU215" s="32"/>
      <c r="PV215" s="32"/>
      <c r="PW215" s="32"/>
      <c r="PX215" s="32"/>
      <c r="PY215" s="32"/>
      <c r="PZ215" s="32"/>
      <c r="QA215" s="32"/>
      <c r="QB215" s="32"/>
      <c r="QC215" s="32"/>
      <c r="QD215" s="32"/>
      <c r="QE215" s="32"/>
      <c r="QF215" s="32"/>
      <c r="QG215" s="32"/>
      <c r="QH215" s="32"/>
      <c r="QI215" s="32"/>
      <c r="QJ215" s="32"/>
      <c r="QK215" s="32"/>
      <c r="QL215" s="32"/>
      <c r="QM215" s="32"/>
      <c r="QN215" s="32"/>
      <c r="QO215" s="32"/>
      <c r="QP215" s="32"/>
      <c r="QQ215" s="32"/>
      <c r="QR215" s="32"/>
      <c r="QS215" s="32"/>
      <c r="QT215" s="32"/>
      <c r="QU215" s="32"/>
      <c r="QV215" s="32"/>
      <c r="QW215" s="32"/>
      <c r="QX215" s="32"/>
      <c r="QY215" s="32"/>
      <c r="QZ215" s="32"/>
      <c r="RA215" s="32"/>
      <c r="RB215" s="32"/>
      <c r="RC215" s="32"/>
      <c r="RD215" s="32"/>
      <c r="RE215" s="32"/>
      <c r="RF215" s="32"/>
      <c r="RG215" s="32"/>
      <c r="RH215" s="32"/>
      <c r="RI215" s="32"/>
      <c r="RJ215" s="32"/>
      <c r="RK215" s="32"/>
      <c r="RL215" s="32"/>
      <c r="RM215" s="32"/>
      <c r="RN215" s="32"/>
      <c r="RO215" s="32"/>
      <c r="RP215" s="32"/>
      <c r="RQ215" s="32"/>
      <c r="RR215" s="32"/>
      <c r="RS215" s="32"/>
      <c r="RT215" s="32"/>
      <c r="RU215" s="32"/>
      <c r="RV215" s="32"/>
      <c r="RW215" s="32"/>
      <c r="RX215" s="32"/>
      <c r="RY215" s="32"/>
      <c r="RZ215" s="32"/>
      <c r="SA215" s="32"/>
      <c r="SB215" s="32"/>
      <c r="SC215" s="32"/>
      <c r="SD215" s="32"/>
      <c r="SE215" s="32"/>
      <c r="SF215" s="32"/>
      <c r="SG215" s="32"/>
      <c r="SH215" s="32"/>
      <c r="SI215" s="32"/>
      <c r="SJ215" s="32"/>
      <c r="SK215" s="32"/>
      <c r="SL215" s="32"/>
      <c r="SM215" s="32"/>
      <c r="SN215" s="32"/>
      <c r="SO215" s="32"/>
      <c r="SP215" s="32"/>
      <c r="SQ215" s="32"/>
      <c r="SR215" s="32"/>
      <c r="SS215" s="32"/>
      <c r="ST215" s="32"/>
      <c r="SU215" s="32"/>
      <c r="SV215" s="32"/>
      <c r="SW215" s="32"/>
      <c r="SX215" s="32"/>
      <c r="SY215" s="32"/>
      <c r="SZ215" s="32"/>
      <c r="TA215" s="32"/>
      <c r="TB215" s="32"/>
      <c r="TC215" s="32"/>
      <c r="TD215" s="32"/>
      <c r="TE215" s="32"/>
      <c r="TF215" s="32"/>
      <c r="TG215" s="32"/>
    </row>
    <row r="216" spans="1:527" s="34" customFormat="1" ht="36.75" customHeight="1" x14ac:dyDescent="0.25">
      <c r="A216" s="100" t="s">
        <v>197</v>
      </c>
      <c r="B216" s="113"/>
      <c r="C216" s="113"/>
      <c r="D216" s="81" t="s">
        <v>398</v>
      </c>
      <c r="E216" s="102">
        <f>E222+E223+E224+E225+E226+E227+E228+E229+E230+E231+E232+E233+E235+E234+E237+E242+E243+E244+E246+E249+E250+E251+E236+E239+E248+E247</f>
        <v>327953635.13999999</v>
      </c>
      <c r="F216" s="102">
        <f t="shared" ref="F216:P216" si="99">F222+F223+F224+F225+F226+F227+F228+F229+F230+F231+F232+F233+F235+F234+F237+F242+F243+F244+F246+F249+F250+F251+F236+F239+F248+F247</f>
        <v>295211676.65999997</v>
      </c>
      <c r="G216" s="102">
        <f t="shared" si="99"/>
        <v>11274000</v>
      </c>
      <c r="H216" s="102">
        <f t="shared" si="99"/>
        <v>35226635</v>
      </c>
      <c r="I216" s="102">
        <f t="shared" si="99"/>
        <v>32741958.48</v>
      </c>
      <c r="J216" s="102">
        <f t="shared" si="99"/>
        <v>162609749.72999996</v>
      </c>
      <c r="K216" s="102">
        <f t="shared" si="99"/>
        <v>155604583.15999997</v>
      </c>
      <c r="L216" s="102">
        <f t="shared" si="99"/>
        <v>1926086.57</v>
      </c>
      <c r="M216" s="102">
        <f t="shared" si="99"/>
        <v>0</v>
      </c>
      <c r="N216" s="102">
        <f t="shared" si="99"/>
        <v>0</v>
      </c>
      <c r="O216" s="102">
        <f t="shared" si="99"/>
        <v>160683663.15999997</v>
      </c>
      <c r="P216" s="102">
        <f t="shared" si="99"/>
        <v>490563384.87</v>
      </c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</row>
    <row r="217" spans="1:527" s="34" customFormat="1" ht="45" hidden="1" customHeight="1" x14ac:dyDescent="0.25">
      <c r="A217" s="100"/>
      <c r="B217" s="113"/>
      <c r="C217" s="113"/>
      <c r="D217" s="81" t="s">
        <v>390</v>
      </c>
      <c r="E217" s="102">
        <f>E238</f>
        <v>0</v>
      </c>
      <c r="F217" s="102">
        <f t="shared" ref="F217:P217" si="100">F238</f>
        <v>0</v>
      </c>
      <c r="G217" s="102">
        <f t="shared" si="100"/>
        <v>0</v>
      </c>
      <c r="H217" s="102">
        <f t="shared" si="100"/>
        <v>0</v>
      </c>
      <c r="I217" s="102">
        <f t="shared" si="100"/>
        <v>0</v>
      </c>
      <c r="J217" s="102">
        <f t="shared" si="100"/>
        <v>5000000</v>
      </c>
      <c r="K217" s="102">
        <f t="shared" si="100"/>
        <v>5000000</v>
      </c>
      <c r="L217" s="102">
        <f t="shared" si="100"/>
        <v>0</v>
      </c>
      <c r="M217" s="102">
        <f t="shared" si="100"/>
        <v>0</v>
      </c>
      <c r="N217" s="102">
        <f t="shared" si="100"/>
        <v>0</v>
      </c>
      <c r="O217" s="102">
        <f t="shared" si="100"/>
        <v>5000000</v>
      </c>
      <c r="P217" s="102">
        <f t="shared" si="100"/>
        <v>5000000</v>
      </c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  <c r="CE217" s="33"/>
      <c r="CF217" s="33"/>
      <c r="CG217" s="33"/>
      <c r="CH217" s="33"/>
      <c r="CI217" s="33"/>
      <c r="CJ217" s="33"/>
      <c r="CK217" s="33"/>
      <c r="CL217" s="33"/>
      <c r="CM217" s="33"/>
      <c r="CN217" s="33"/>
      <c r="CO217" s="33"/>
      <c r="CP217" s="33"/>
      <c r="CQ217" s="33"/>
      <c r="CR217" s="33"/>
      <c r="CS217" s="33"/>
      <c r="CT217" s="33"/>
      <c r="CU217" s="33"/>
      <c r="CV217" s="33"/>
      <c r="CW217" s="33"/>
      <c r="CX217" s="33"/>
      <c r="CY217" s="33"/>
      <c r="CZ217" s="33"/>
      <c r="DA217" s="33"/>
      <c r="DB217" s="33"/>
      <c r="DC217" s="33"/>
      <c r="DD217" s="33"/>
      <c r="DE217" s="33"/>
      <c r="DF217" s="33"/>
      <c r="DG217" s="33"/>
      <c r="DH217" s="33"/>
      <c r="DI217" s="33"/>
      <c r="DJ217" s="33"/>
      <c r="DK217" s="33"/>
      <c r="DL217" s="33"/>
      <c r="DM217" s="33"/>
      <c r="DN217" s="33"/>
      <c r="DO217" s="33"/>
      <c r="DP217" s="33"/>
      <c r="DQ217" s="33"/>
      <c r="DR217" s="33"/>
      <c r="DS217" s="33"/>
      <c r="DT217" s="33"/>
      <c r="DU217" s="33"/>
      <c r="DV217" s="33"/>
      <c r="DW217" s="33"/>
      <c r="DX217" s="33"/>
      <c r="DY217" s="33"/>
      <c r="DZ217" s="33"/>
      <c r="EA217" s="33"/>
      <c r="EB217" s="33"/>
      <c r="EC217" s="33"/>
      <c r="ED217" s="33"/>
      <c r="EE217" s="33"/>
      <c r="EF217" s="33"/>
      <c r="EG217" s="33"/>
      <c r="EH217" s="33"/>
      <c r="EI217" s="33"/>
      <c r="EJ217" s="33"/>
      <c r="EK217" s="33"/>
      <c r="EL217" s="33"/>
      <c r="EM217" s="33"/>
      <c r="EN217" s="33"/>
      <c r="EO217" s="33"/>
      <c r="EP217" s="33"/>
      <c r="EQ217" s="33"/>
      <c r="ER217" s="33"/>
      <c r="ES217" s="33"/>
      <c r="ET217" s="33"/>
      <c r="EU217" s="33"/>
      <c r="EV217" s="33"/>
      <c r="EW217" s="33"/>
      <c r="EX217" s="33"/>
      <c r="EY217" s="33"/>
      <c r="EZ217" s="33"/>
      <c r="FA217" s="33"/>
      <c r="FB217" s="33"/>
      <c r="FC217" s="33"/>
      <c r="FD217" s="33"/>
      <c r="FE217" s="33"/>
      <c r="FF217" s="33"/>
      <c r="FG217" s="33"/>
      <c r="FH217" s="33"/>
      <c r="FI217" s="33"/>
      <c r="FJ217" s="33"/>
      <c r="FK217" s="33"/>
      <c r="FL217" s="33"/>
      <c r="FM217" s="33"/>
      <c r="FN217" s="33"/>
      <c r="FO217" s="33"/>
      <c r="FP217" s="33"/>
      <c r="FQ217" s="33"/>
      <c r="FR217" s="33"/>
      <c r="FS217" s="33"/>
      <c r="FT217" s="33"/>
      <c r="FU217" s="33"/>
      <c r="FV217" s="33"/>
      <c r="FW217" s="33"/>
      <c r="FX217" s="33"/>
      <c r="FY217" s="33"/>
      <c r="FZ217" s="33"/>
      <c r="GA217" s="33"/>
      <c r="GB217" s="33"/>
      <c r="GC217" s="33"/>
      <c r="GD217" s="33"/>
      <c r="GE217" s="33"/>
      <c r="GF217" s="33"/>
      <c r="GG217" s="33"/>
      <c r="GH217" s="33"/>
      <c r="GI217" s="33"/>
      <c r="GJ217" s="33"/>
      <c r="GK217" s="33"/>
      <c r="GL217" s="33"/>
      <c r="GM217" s="33"/>
      <c r="GN217" s="33"/>
      <c r="GO217" s="33"/>
      <c r="GP217" s="33"/>
      <c r="GQ217" s="33"/>
      <c r="GR217" s="33"/>
      <c r="GS217" s="33"/>
      <c r="GT217" s="33"/>
      <c r="GU217" s="33"/>
      <c r="GV217" s="33"/>
      <c r="GW217" s="33"/>
      <c r="GX217" s="33"/>
      <c r="GY217" s="33"/>
      <c r="GZ217" s="33"/>
      <c r="HA217" s="33"/>
      <c r="HB217" s="33"/>
      <c r="HC217" s="33"/>
      <c r="HD217" s="3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3"/>
      <c r="KN217" s="33"/>
      <c r="KO217" s="33"/>
      <c r="KP217" s="33"/>
      <c r="KQ217" s="33"/>
      <c r="KR217" s="33"/>
      <c r="KS217" s="33"/>
      <c r="KT217" s="33"/>
      <c r="KU217" s="33"/>
      <c r="KV217" s="33"/>
      <c r="KW217" s="33"/>
      <c r="KX217" s="33"/>
      <c r="KY217" s="33"/>
      <c r="KZ217" s="33"/>
      <c r="LA217" s="33"/>
      <c r="LB217" s="33"/>
      <c r="LC217" s="33"/>
      <c r="LD217" s="33"/>
      <c r="LE217" s="33"/>
      <c r="LF217" s="33"/>
      <c r="LG217" s="33"/>
      <c r="LH217" s="33"/>
      <c r="LI217" s="33"/>
      <c r="LJ217" s="33"/>
      <c r="LK217" s="33"/>
      <c r="LL217" s="33"/>
      <c r="LM217" s="33"/>
      <c r="LN217" s="33"/>
      <c r="LO217" s="33"/>
      <c r="LP217" s="33"/>
      <c r="LQ217" s="33"/>
      <c r="LR217" s="33"/>
      <c r="LS217" s="33"/>
      <c r="LT217" s="33"/>
      <c r="LU217" s="33"/>
      <c r="LV217" s="33"/>
      <c r="LW217" s="33"/>
      <c r="LX217" s="33"/>
      <c r="LY217" s="33"/>
      <c r="LZ217" s="33"/>
      <c r="MA217" s="33"/>
      <c r="MB217" s="33"/>
      <c r="MC217" s="33"/>
      <c r="MD217" s="33"/>
      <c r="ME217" s="33"/>
      <c r="MF217" s="33"/>
      <c r="MG217" s="33"/>
      <c r="MH217" s="33"/>
      <c r="MI217" s="33"/>
      <c r="MJ217" s="33"/>
      <c r="MK217" s="33"/>
      <c r="ML217" s="33"/>
      <c r="MM217" s="33"/>
      <c r="MN217" s="33"/>
      <c r="MO217" s="33"/>
      <c r="MP217" s="33"/>
      <c r="MQ217" s="33"/>
      <c r="MR217" s="33"/>
      <c r="MS217" s="33"/>
      <c r="MT217" s="33"/>
      <c r="MU217" s="33"/>
      <c r="MV217" s="33"/>
      <c r="MW217" s="33"/>
      <c r="MX217" s="33"/>
      <c r="MY217" s="33"/>
      <c r="MZ217" s="33"/>
      <c r="NA217" s="33"/>
      <c r="NB217" s="33"/>
      <c r="NC217" s="33"/>
      <c r="ND217" s="33"/>
      <c r="NE217" s="33"/>
      <c r="NF217" s="33"/>
      <c r="NG217" s="33"/>
      <c r="NH217" s="33"/>
      <c r="NI217" s="33"/>
      <c r="NJ217" s="33"/>
      <c r="NK217" s="33"/>
      <c r="NL217" s="33"/>
      <c r="NM217" s="33"/>
      <c r="NN217" s="33"/>
      <c r="NO217" s="33"/>
      <c r="NP217" s="33"/>
      <c r="NQ217" s="33"/>
      <c r="NR217" s="33"/>
      <c r="NS217" s="33"/>
      <c r="NT217" s="33"/>
      <c r="NU217" s="33"/>
      <c r="NV217" s="33"/>
      <c r="NW217" s="33"/>
      <c r="NX217" s="33"/>
      <c r="NY217" s="33"/>
      <c r="NZ217" s="33"/>
      <c r="OA217" s="33"/>
      <c r="OB217" s="33"/>
      <c r="OC217" s="33"/>
      <c r="OD217" s="33"/>
      <c r="OE217" s="33"/>
      <c r="OF217" s="33"/>
      <c r="OG217" s="33"/>
      <c r="OH217" s="33"/>
      <c r="OI217" s="33"/>
      <c r="OJ217" s="33"/>
      <c r="OK217" s="33"/>
      <c r="OL217" s="33"/>
      <c r="OM217" s="33"/>
      <c r="ON217" s="33"/>
      <c r="OO217" s="33"/>
      <c r="OP217" s="33"/>
      <c r="OQ217" s="33"/>
      <c r="OR217" s="33"/>
      <c r="OS217" s="33"/>
      <c r="OT217" s="33"/>
      <c r="OU217" s="33"/>
      <c r="OV217" s="33"/>
      <c r="OW217" s="33"/>
      <c r="OX217" s="33"/>
      <c r="OY217" s="33"/>
      <c r="OZ217" s="33"/>
      <c r="PA217" s="33"/>
      <c r="PB217" s="33"/>
      <c r="PC217" s="33"/>
      <c r="PD217" s="33"/>
      <c r="PE217" s="33"/>
      <c r="PF217" s="33"/>
      <c r="PG217" s="33"/>
      <c r="PH217" s="33"/>
      <c r="PI217" s="33"/>
      <c r="PJ217" s="33"/>
      <c r="PK217" s="33"/>
      <c r="PL217" s="33"/>
      <c r="PM217" s="33"/>
      <c r="PN217" s="33"/>
      <c r="PO217" s="33"/>
      <c r="PP217" s="33"/>
      <c r="PQ217" s="33"/>
      <c r="PR217" s="33"/>
      <c r="PS217" s="33"/>
      <c r="PT217" s="33"/>
      <c r="PU217" s="33"/>
      <c r="PV217" s="33"/>
      <c r="PW217" s="33"/>
      <c r="PX217" s="33"/>
      <c r="PY217" s="33"/>
      <c r="PZ217" s="33"/>
      <c r="QA217" s="33"/>
      <c r="QB217" s="33"/>
      <c r="QC217" s="33"/>
      <c r="QD217" s="33"/>
      <c r="QE217" s="33"/>
      <c r="QF217" s="33"/>
      <c r="QG217" s="33"/>
      <c r="QH217" s="33"/>
      <c r="QI217" s="33"/>
      <c r="QJ217" s="33"/>
      <c r="QK217" s="33"/>
      <c r="QL217" s="33"/>
      <c r="QM217" s="33"/>
      <c r="QN217" s="33"/>
      <c r="QO217" s="33"/>
      <c r="QP217" s="33"/>
      <c r="QQ217" s="33"/>
      <c r="QR217" s="33"/>
      <c r="QS217" s="33"/>
      <c r="QT217" s="33"/>
      <c r="QU217" s="33"/>
      <c r="QV217" s="33"/>
      <c r="QW217" s="33"/>
      <c r="QX217" s="33"/>
      <c r="QY217" s="33"/>
      <c r="QZ217" s="33"/>
      <c r="RA217" s="33"/>
      <c r="RB217" s="33"/>
      <c r="RC217" s="33"/>
      <c r="RD217" s="33"/>
      <c r="RE217" s="33"/>
      <c r="RF217" s="33"/>
      <c r="RG217" s="33"/>
      <c r="RH217" s="33"/>
      <c r="RI217" s="33"/>
      <c r="RJ217" s="33"/>
      <c r="RK217" s="33"/>
      <c r="RL217" s="33"/>
      <c r="RM217" s="33"/>
      <c r="RN217" s="33"/>
      <c r="RO217" s="33"/>
      <c r="RP217" s="33"/>
      <c r="RQ217" s="33"/>
      <c r="RR217" s="33"/>
      <c r="RS217" s="33"/>
      <c r="RT217" s="33"/>
      <c r="RU217" s="33"/>
      <c r="RV217" s="33"/>
      <c r="RW217" s="33"/>
      <c r="RX217" s="33"/>
      <c r="RY217" s="33"/>
      <c r="RZ217" s="33"/>
      <c r="SA217" s="33"/>
      <c r="SB217" s="33"/>
      <c r="SC217" s="33"/>
      <c r="SD217" s="33"/>
      <c r="SE217" s="33"/>
      <c r="SF217" s="33"/>
      <c r="SG217" s="33"/>
      <c r="SH217" s="33"/>
      <c r="SI217" s="33"/>
      <c r="SJ217" s="33"/>
      <c r="SK217" s="33"/>
      <c r="SL217" s="33"/>
      <c r="SM217" s="33"/>
      <c r="SN217" s="33"/>
      <c r="SO217" s="33"/>
      <c r="SP217" s="33"/>
      <c r="SQ217" s="33"/>
      <c r="SR217" s="33"/>
      <c r="SS217" s="33"/>
      <c r="ST217" s="33"/>
      <c r="SU217" s="33"/>
      <c r="SV217" s="33"/>
      <c r="SW217" s="33"/>
      <c r="SX217" s="33"/>
      <c r="SY217" s="33"/>
      <c r="SZ217" s="33"/>
      <c r="TA217" s="33"/>
      <c r="TB217" s="33"/>
      <c r="TC217" s="33"/>
      <c r="TD217" s="33"/>
      <c r="TE217" s="33"/>
      <c r="TF217" s="33"/>
      <c r="TG217" s="33"/>
    </row>
    <row r="218" spans="1:527" s="34" customFormat="1" ht="96.75" hidden="1" customHeight="1" x14ac:dyDescent="0.25">
      <c r="A218" s="100"/>
      <c r="B218" s="113"/>
      <c r="C218" s="113"/>
      <c r="D218" s="81" t="s">
        <v>399</v>
      </c>
      <c r="E218" s="102">
        <f>E240</f>
        <v>0</v>
      </c>
      <c r="F218" s="102">
        <f t="shared" ref="F218:P218" si="101">F240</f>
        <v>0</v>
      </c>
      <c r="G218" s="102">
        <f t="shared" si="101"/>
        <v>0</v>
      </c>
      <c r="H218" s="102">
        <f t="shared" si="101"/>
        <v>0</v>
      </c>
      <c r="I218" s="102">
        <f t="shared" si="101"/>
        <v>0</v>
      </c>
      <c r="J218" s="102">
        <f t="shared" si="101"/>
        <v>0</v>
      </c>
      <c r="K218" s="102">
        <f t="shared" si="101"/>
        <v>0</v>
      </c>
      <c r="L218" s="102">
        <f t="shared" si="101"/>
        <v>0</v>
      </c>
      <c r="M218" s="102">
        <f t="shared" si="101"/>
        <v>0</v>
      </c>
      <c r="N218" s="102">
        <f t="shared" si="101"/>
        <v>0</v>
      </c>
      <c r="O218" s="102">
        <f t="shared" si="101"/>
        <v>0</v>
      </c>
      <c r="P218" s="102">
        <f t="shared" si="101"/>
        <v>0</v>
      </c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  <c r="CE218" s="33"/>
      <c r="CF218" s="33"/>
      <c r="CG218" s="33"/>
      <c r="CH218" s="33"/>
      <c r="CI218" s="33"/>
      <c r="CJ218" s="33"/>
      <c r="CK218" s="33"/>
      <c r="CL218" s="33"/>
      <c r="CM218" s="33"/>
      <c r="CN218" s="33"/>
      <c r="CO218" s="33"/>
      <c r="CP218" s="33"/>
      <c r="CQ218" s="33"/>
      <c r="CR218" s="33"/>
      <c r="CS218" s="33"/>
      <c r="CT218" s="33"/>
      <c r="CU218" s="33"/>
      <c r="CV218" s="33"/>
      <c r="CW218" s="33"/>
      <c r="CX218" s="33"/>
      <c r="CY218" s="33"/>
      <c r="CZ218" s="33"/>
      <c r="DA218" s="33"/>
      <c r="DB218" s="33"/>
      <c r="DC218" s="33"/>
      <c r="DD218" s="33"/>
      <c r="DE218" s="33"/>
      <c r="DF218" s="33"/>
      <c r="DG218" s="33"/>
      <c r="DH218" s="33"/>
      <c r="DI218" s="33"/>
      <c r="DJ218" s="33"/>
      <c r="DK218" s="33"/>
      <c r="DL218" s="33"/>
      <c r="DM218" s="33"/>
      <c r="DN218" s="33"/>
      <c r="DO218" s="33"/>
      <c r="DP218" s="33"/>
      <c r="DQ218" s="33"/>
      <c r="DR218" s="33"/>
      <c r="DS218" s="33"/>
      <c r="DT218" s="33"/>
      <c r="DU218" s="33"/>
      <c r="DV218" s="33"/>
      <c r="DW218" s="33"/>
      <c r="DX218" s="33"/>
      <c r="DY218" s="33"/>
      <c r="DZ218" s="33"/>
      <c r="EA218" s="33"/>
      <c r="EB218" s="33"/>
      <c r="EC218" s="33"/>
      <c r="ED218" s="33"/>
      <c r="EE218" s="33"/>
      <c r="EF218" s="33"/>
      <c r="EG218" s="33"/>
      <c r="EH218" s="33"/>
      <c r="EI218" s="33"/>
      <c r="EJ218" s="33"/>
      <c r="EK218" s="33"/>
      <c r="EL218" s="33"/>
      <c r="EM218" s="33"/>
      <c r="EN218" s="33"/>
      <c r="EO218" s="33"/>
      <c r="EP218" s="33"/>
      <c r="EQ218" s="33"/>
      <c r="ER218" s="33"/>
      <c r="ES218" s="33"/>
      <c r="ET218" s="33"/>
      <c r="EU218" s="33"/>
      <c r="EV218" s="33"/>
      <c r="EW218" s="33"/>
      <c r="EX218" s="33"/>
      <c r="EY218" s="33"/>
      <c r="EZ218" s="33"/>
      <c r="FA218" s="33"/>
      <c r="FB218" s="33"/>
      <c r="FC218" s="33"/>
      <c r="FD218" s="33"/>
      <c r="FE218" s="33"/>
      <c r="FF218" s="33"/>
      <c r="FG218" s="33"/>
      <c r="FH218" s="33"/>
      <c r="FI218" s="33"/>
      <c r="FJ218" s="33"/>
      <c r="FK218" s="33"/>
      <c r="FL218" s="33"/>
      <c r="FM218" s="33"/>
      <c r="FN218" s="33"/>
      <c r="FO218" s="33"/>
      <c r="FP218" s="33"/>
      <c r="FQ218" s="33"/>
      <c r="FR218" s="33"/>
      <c r="FS218" s="33"/>
      <c r="FT218" s="33"/>
      <c r="FU218" s="33"/>
      <c r="FV218" s="33"/>
      <c r="FW218" s="33"/>
      <c r="FX218" s="33"/>
      <c r="FY218" s="33"/>
      <c r="FZ218" s="33"/>
      <c r="GA218" s="33"/>
      <c r="GB218" s="33"/>
      <c r="GC218" s="33"/>
      <c r="GD218" s="33"/>
      <c r="GE218" s="33"/>
      <c r="GF218" s="33"/>
      <c r="GG218" s="33"/>
      <c r="GH218" s="33"/>
      <c r="GI218" s="33"/>
      <c r="GJ218" s="33"/>
      <c r="GK218" s="33"/>
      <c r="GL218" s="33"/>
      <c r="GM218" s="33"/>
      <c r="GN218" s="33"/>
      <c r="GO218" s="33"/>
      <c r="GP218" s="33"/>
      <c r="GQ218" s="33"/>
      <c r="GR218" s="33"/>
      <c r="GS218" s="33"/>
      <c r="GT218" s="33"/>
      <c r="GU218" s="33"/>
      <c r="GV218" s="33"/>
      <c r="GW218" s="33"/>
      <c r="GX218" s="33"/>
      <c r="GY218" s="33"/>
      <c r="GZ218" s="33"/>
      <c r="HA218" s="33"/>
      <c r="HB218" s="33"/>
      <c r="HC218" s="33"/>
      <c r="HD218" s="3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3"/>
      <c r="KN218" s="33"/>
      <c r="KO218" s="33"/>
      <c r="KP218" s="33"/>
      <c r="KQ218" s="33"/>
      <c r="KR218" s="33"/>
      <c r="KS218" s="33"/>
      <c r="KT218" s="33"/>
      <c r="KU218" s="33"/>
      <c r="KV218" s="33"/>
      <c r="KW218" s="33"/>
      <c r="KX218" s="33"/>
      <c r="KY218" s="33"/>
      <c r="KZ218" s="33"/>
      <c r="LA218" s="33"/>
      <c r="LB218" s="33"/>
      <c r="LC218" s="33"/>
      <c r="LD218" s="33"/>
      <c r="LE218" s="33"/>
      <c r="LF218" s="33"/>
      <c r="LG218" s="33"/>
      <c r="LH218" s="33"/>
      <c r="LI218" s="33"/>
      <c r="LJ218" s="33"/>
      <c r="LK218" s="33"/>
      <c r="LL218" s="33"/>
      <c r="LM218" s="33"/>
      <c r="LN218" s="33"/>
      <c r="LO218" s="33"/>
      <c r="LP218" s="33"/>
      <c r="LQ218" s="33"/>
      <c r="LR218" s="33"/>
      <c r="LS218" s="33"/>
      <c r="LT218" s="33"/>
      <c r="LU218" s="33"/>
      <c r="LV218" s="33"/>
      <c r="LW218" s="33"/>
      <c r="LX218" s="33"/>
      <c r="LY218" s="33"/>
      <c r="LZ218" s="33"/>
      <c r="MA218" s="33"/>
      <c r="MB218" s="33"/>
      <c r="MC218" s="33"/>
      <c r="MD218" s="33"/>
      <c r="ME218" s="33"/>
      <c r="MF218" s="33"/>
      <c r="MG218" s="33"/>
      <c r="MH218" s="33"/>
      <c r="MI218" s="33"/>
      <c r="MJ218" s="33"/>
      <c r="MK218" s="33"/>
      <c r="ML218" s="33"/>
      <c r="MM218" s="33"/>
      <c r="MN218" s="33"/>
      <c r="MO218" s="33"/>
      <c r="MP218" s="33"/>
      <c r="MQ218" s="33"/>
      <c r="MR218" s="33"/>
      <c r="MS218" s="33"/>
      <c r="MT218" s="33"/>
      <c r="MU218" s="33"/>
      <c r="MV218" s="33"/>
      <c r="MW218" s="33"/>
      <c r="MX218" s="33"/>
      <c r="MY218" s="33"/>
      <c r="MZ218" s="33"/>
      <c r="NA218" s="33"/>
      <c r="NB218" s="33"/>
      <c r="NC218" s="33"/>
      <c r="ND218" s="33"/>
      <c r="NE218" s="33"/>
      <c r="NF218" s="33"/>
      <c r="NG218" s="33"/>
      <c r="NH218" s="33"/>
      <c r="NI218" s="33"/>
      <c r="NJ218" s="33"/>
      <c r="NK218" s="33"/>
      <c r="NL218" s="33"/>
      <c r="NM218" s="33"/>
      <c r="NN218" s="33"/>
      <c r="NO218" s="33"/>
      <c r="NP218" s="33"/>
      <c r="NQ218" s="33"/>
      <c r="NR218" s="33"/>
      <c r="NS218" s="33"/>
      <c r="NT218" s="33"/>
      <c r="NU218" s="33"/>
      <c r="NV218" s="33"/>
      <c r="NW218" s="33"/>
      <c r="NX218" s="33"/>
      <c r="NY218" s="33"/>
      <c r="NZ218" s="33"/>
      <c r="OA218" s="33"/>
      <c r="OB218" s="33"/>
      <c r="OC218" s="33"/>
      <c r="OD218" s="33"/>
      <c r="OE218" s="33"/>
      <c r="OF218" s="33"/>
      <c r="OG218" s="33"/>
      <c r="OH218" s="33"/>
      <c r="OI218" s="33"/>
      <c r="OJ218" s="33"/>
      <c r="OK218" s="33"/>
      <c r="OL218" s="33"/>
      <c r="OM218" s="33"/>
      <c r="ON218" s="33"/>
      <c r="OO218" s="33"/>
      <c r="OP218" s="33"/>
      <c r="OQ218" s="33"/>
      <c r="OR218" s="33"/>
      <c r="OS218" s="33"/>
      <c r="OT218" s="33"/>
      <c r="OU218" s="33"/>
      <c r="OV218" s="33"/>
      <c r="OW218" s="33"/>
      <c r="OX218" s="33"/>
      <c r="OY218" s="33"/>
      <c r="OZ218" s="33"/>
      <c r="PA218" s="33"/>
      <c r="PB218" s="33"/>
      <c r="PC218" s="33"/>
      <c r="PD218" s="33"/>
      <c r="PE218" s="33"/>
      <c r="PF218" s="33"/>
      <c r="PG218" s="33"/>
      <c r="PH218" s="33"/>
      <c r="PI218" s="33"/>
      <c r="PJ218" s="33"/>
      <c r="PK218" s="33"/>
      <c r="PL218" s="33"/>
      <c r="PM218" s="33"/>
      <c r="PN218" s="33"/>
      <c r="PO218" s="33"/>
      <c r="PP218" s="33"/>
      <c r="PQ218" s="33"/>
      <c r="PR218" s="33"/>
      <c r="PS218" s="33"/>
      <c r="PT218" s="33"/>
      <c r="PU218" s="33"/>
      <c r="PV218" s="33"/>
      <c r="PW218" s="33"/>
      <c r="PX218" s="33"/>
      <c r="PY218" s="33"/>
      <c r="PZ218" s="33"/>
      <c r="QA218" s="33"/>
      <c r="QB218" s="33"/>
      <c r="QC218" s="33"/>
      <c r="QD218" s="33"/>
      <c r="QE218" s="33"/>
      <c r="QF218" s="33"/>
      <c r="QG218" s="33"/>
      <c r="QH218" s="33"/>
      <c r="QI218" s="33"/>
      <c r="QJ218" s="33"/>
      <c r="QK218" s="33"/>
      <c r="QL218" s="33"/>
      <c r="QM218" s="33"/>
      <c r="QN218" s="33"/>
      <c r="QO218" s="33"/>
      <c r="QP218" s="33"/>
      <c r="QQ218" s="33"/>
      <c r="QR218" s="33"/>
      <c r="QS218" s="33"/>
      <c r="QT218" s="33"/>
      <c r="QU218" s="33"/>
      <c r="QV218" s="33"/>
      <c r="QW218" s="33"/>
      <c r="QX218" s="33"/>
      <c r="QY218" s="33"/>
      <c r="QZ218" s="33"/>
      <c r="RA218" s="33"/>
      <c r="RB218" s="33"/>
      <c r="RC218" s="33"/>
      <c r="RD218" s="33"/>
      <c r="RE218" s="33"/>
      <c r="RF218" s="33"/>
      <c r="RG218" s="33"/>
      <c r="RH218" s="33"/>
      <c r="RI218" s="33"/>
      <c r="RJ218" s="33"/>
      <c r="RK218" s="33"/>
      <c r="RL218" s="33"/>
      <c r="RM218" s="33"/>
      <c r="RN218" s="33"/>
      <c r="RO218" s="33"/>
      <c r="RP218" s="33"/>
      <c r="RQ218" s="33"/>
      <c r="RR218" s="33"/>
      <c r="RS218" s="33"/>
      <c r="RT218" s="33"/>
      <c r="RU218" s="33"/>
      <c r="RV218" s="33"/>
      <c r="RW218" s="33"/>
      <c r="RX218" s="33"/>
      <c r="RY218" s="33"/>
      <c r="RZ218" s="33"/>
      <c r="SA218" s="33"/>
      <c r="SB218" s="33"/>
      <c r="SC218" s="33"/>
      <c r="SD218" s="33"/>
      <c r="SE218" s="33"/>
      <c r="SF218" s="33"/>
      <c r="SG218" s="33"/>
      <c r="SH218" s="33"/>
      <c r="SI218" s="33"/>
      <c r="SJ218" s="33"/>
      <c r="SK218" s="33"/>
      <c r="SL218" s="33"/>
      <c r="SM218" s="33"/>
      <c r="SN218" s="33"/>
      <c r="SO218" s="33"/>
      <c r="SP218" s="33"/>
      <c r="SQ218" s="33"/>
      <c r="SR218" s="33"/>
      <c r="SS218" s="33"/>
      <c r="ST218" s="33"/>
      <c r="SU218" s="33"/>
      <c r="SV218" s="33"/>
      <c r="SW218" s="33"/>
      <c r="SX218" s="33"/>
      <c r="SY218" s="33"/>
      <c r="SZ218" s="33"/>
      <c r="TA218" s="33"/>
      <c r="TB218" s="33"/>
      <c r="TC218" s="33"/>
      <c r="TD218" s="33"/>
      <c r="TE218" s="33"/>
      <c r="TF218" s="33"/>
      <c r="TG218" s="33"/>
    </row>
    <row r="219" spans="1:527" s="34" customFormat="1" ht="81.75" customHeight="1" x14ac:dyDescent="0.25">
      <c r="A219" s="100"/>
      <c r="B219" s="113"/>
      <c r="C219" s="113"/>
      <c r="D219" s="81" t="s">
        <v>557</v>
      </c>
      <c r="E219" s="102">
        <f>E241</f>
        <v>1527346</v>
      </c>
      <c r="F219" s="102">
        <f t="shared" ref="F219:P219" si="102">F241</f>
        <v>1527346</v>
      </c>
      <c r="G219" s="102">
        <f t="shared" si="102"/>
        <v>0</v>
      </c>
      <c r="H219" s="102">
        <f t="shared" si="102"/>
        <v>0</v>
      </c>
      <c r="I219" s="102">
        <f t="shared" si="102"/>
        <v>0</v>
      </c>
      <c r="J219" s="102">
        <f t="shared" si="102"/>
        <v>0</v>
      </c>
      <c r="K219" s="102">
        <f t="shared" si="102"/>
        <v>0</v>
      </c>
      <c r="L219" s="102">
        <f t="shared" si="102"/>
        <v>0</v>
      </c>
      <c r="M219" s="102">
        <f t="shared" si="102"/>
        <v>0</v>
      </c>
      <c r="N219" s="102">
        <f t="shared" si="102"/>
        <v>0</v>
      </c>
      <c r="O219" s="102">
        <f t="shared" si="102"/>
        <v>0</v>
      </c>
      <c r="P219" s="102">
        <f t="shared" si="102"/>
        <v>1527346</v>
      </c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  <c r="TF219" s="33"/>
      <c r="TG219" s="33"/>
    </row>
    <row r="220" spans="1:527" s="34" customFormat="1" ht="48.75" customHeight="1" x14ac:dyDescent="0.25">
      <c r="A220" s="100"/>
      <c r="B220" s="113"/>
      <c r="C220" s="113"/>
      <c r="D220" s="81" t="s">
        <v>572</v>
      </c>
      <c r="E220" s="102">
        <f>E238</f>
        <v>0</v>
      </c>
      <c r="F220" s="102">
        <f t="shared" ref="F220:P220" si="103">F238</f>
        <v>0</v>
      </c>
      <c r="G220" s="102">
        <f t="shared" si="103"/>
        <v>0</v>
      </c>
      <c r="H220" s="102">
        <f t="shared" si="103"/>
        <v>0</v>
      </c>
      <c r="I220" s="102">
        <f t="shared" si="103"/>
        <v>0</v>
      </c>
      <c r="J220" s="102">
        <f t="shared" si="103"/>
        <v>5000000</v>
      </c>
      <c r="K220" s="102">
        <f t="shared" si="103"/>
        <v>5000000</v>
      </c>
      <c r="L220" s="102">
        <f t="shared" si="103"/>
        <v>0</v>
      </c>
      <c r="M220" s="102">
        <f t="shared" si="103"/>
        <v>0</v>
      </c>
      <c r="N220" s="102">
        <f t="shared" si="103"/>
        <v>0</v>
      </c>
      <c r="O220" s="102">
        <f t="shared" si="103"/>
        <v>5000000</v>
      </c>
      <c r="P220" s="102">
        <f t="shared" si="103"/>
        <v>5000000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  <c r="TF220" s="33"/>
      <c r="TG220" s="33"/>
    </row>
    <row r="221" spans="1:527" s="34" customFormat="1" ht="15.75" x14ac:dyDescent="0.25">
      <c r="A221" s="100"/>
      <c r="B221" s="113"/>
      <c r="C221" s="113"/>
      <c r="D221" s="87" t="s">
        <v>421</v>
      </c>
      <c r="E221" s="102">
        <f>E245</f>
        <v>0</v>
      </c>
      <c r="F221" s="102">
        <f t="shared" ref="F221:P221" si="104">F245</f>
        <v>0</v>
      </c>
      <c r="G221" s="102">
        <f t="shared" si="104"/>
        <v>0</v>
      </c>
      <c r="H221" s="102">
        <f t="shared" si="104"/>
        <v>0</v>
      </c>
      <c r="I221" s="102">
        <f t="shared" si="104"/>
        <v>0</v>
      </c>
      <c r="J221" s="102">
        <f t="shared" si="104"/>
        <v>26250000</v>
      </c>
      <c r="K221" s="102">
        <f t="shared" si="104"/>
        <v>26250000</v>
      </c>
      <c r="L221" s="102">
        <f t="shared" si="104"/>
        <v>0</v>
      </c>
      <c r="M221" s="102">
        <f t="shared" si="104"/>
        <v>0</v>
      </c>
      <c r="N221" s="102">
        <f t="shared" si="104"/>
        <v>0</v>
      </c>
      <c r="O221" s="102">
        <f t="shared" si="104"/>
        <v>26250000</v>
      </c>
      <c r="P221" s="102">
        <f t="shared" si="104"/>
        <v>26250000</v>
      </c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  <c r="CE221" s="33"/>
      <c r="CF221" s="33"/>
      <c r="CG221" s="33"/>
      <c r="CH221" s="33"/>
      <c r="CI221" s="33"/>
      <c r="CJ221" s="33"/>
      <c r="CK221" s="33"/>
      <c r="CL221" s="33"/>
      <c r="CM221" s="33"/>
      <c r="CN221" s="33"/>
      <c r="CO221" s="33"/>
      <c r="CP221" s="33"/>
      <c r="CQ221" s="33"/>
      <c r="CR221" s="33"/>
      <c r="CS221" s="33"/>
      <c r="CT221" s="33"/>
      <c r="CU221" s="33"/>
      <c r="CV221" s="33"/>
      <c r="CW221" s="33"/>
      <c r="CX221" s="33"/>
      <c r="CY221" s="33"/>
      <c r="CZ221" s="33"/>
      <c r="DA221" s="33"/>
      <c r="DB221" s="33"/>
      <c r="DC221" s="33"/>
      <c r="DD221" s="33"/>
      <c r="DE221" s="33"/>
      <c r="DF221" s="33"/>
      <c r="DG221" s="33"/>
      <c r="DH221" s="33"/>
      <c r="DI221" s="33"/>
      <c r="DJ221" s="33"/>
      <c r="DK221" s="33"/>
      <c r="DL221" s="33"/>
      <c r="DM221" s="33"/>
      <c r="DN221" s="33"/>
      <c r="DO221" s="33"/>
      <c r="DP221" s="33"/>
      <c r="DQ221" s="33"/>
      <c r="DR221" s="33"/>
      <c r="DS221" s="33"/>
      <c r="DT221" s="33"/>
      <c r="DU221" s="33"/>
      <c r="DV221" s="33"/>
      <c r="DW221" s="33"/>
      <c r="DX221" s="33"/>
      <c r="DY221" s="33"/>
      <c r="DZ221" s="33"/>
      <c r="EA221" s="33"/>
      <c r="EB221" s="33"/>
      <c r="EC221" s="33"/>
      <c r="ED221" s="33"/>
      <c r="EE221" s="33"/>
      <c r="EF221" s="33"/>
      <c r="EG221" s="33"/>
      <c r="EH221" s="33"/>
      <c r="EI221" s="33"/>
      <c r="EJ221" s="33"/>
      <c r="EK221" s="33"/>
      <c r="EL221" s="33"/>
      <c r="EM221" s="33"/>
      <c r="EN221" s="33"/>
      <c r="EO221" s="33"/>
      <c r="EP221" s="33"/>
      <c r="EQ221" s="33"/>
      <c r="ER221" s="33"/>
      <c r="ES221" s="33"/>
      <c r="ET221" s="33"/>
      <c r="EU221" s="33"/>
      <c r="EV221" s="33"/>
      <c r="EW221" s="33"/>
      <c r="EX221" s="33"/>
      <c r="EY221" s="33"/>
      <c r="EZ221" s="33"/>
      <c r="FA221" s="33"/>
      <c r="FB221" s="33"/>
      <c r="FC221" s="33"/>
      <c r="FD221" s="33"/>
      <c r="FE221" s="33"/>
      <c r="FF221" s="33"/>
      <c r="FG221" s="33"/>
      <c r="FH221" s="33"/>
      <c r="FI221" s="33"/>
      <c r="FJ221" s="33"/>
      <c r="FK221" s="33"/>
      <c r="FL221" s="33"/>
      <c r="FM221" s="33"/>
      <c r="FN221" s="33"/>
      <c r="FO221" s="33"/>
      <c r="FP221" s="33"/>
      <c r="FQ221" s="33"/>
      <c r="FR221" s="33"/>
      <c r="FS221" s="33"/>
      <c r="FT221" s="33"/>
      <c r="FU221" s="33"/>
      <c r="FV221" s="33"/>
      <c r="FW221" s="33"/>
      <c r="FX221" s="33"/>
      <c r="FY221" s="33"/>
      <c r="FZ221" s="33"/>
      <c r="GA221" s="33"/>
      <c r="GB221" s="33"/>
      <c r="GC221" s="33"/>
      <c r="GD221" s="33"/>
      <c r="GE221" s="33"/>
      <c r="GF221" s="33"/>
      <c r="GG221" s="33"/>
      <c r="GH221" s="33"/>
      <c r="GI221" s="33"/>
      <c r="GJ221" s="33"/>
      <c r="GK221" s="33"/>
      <c r="GL221" s="33"/>
      <c r="GM221" s="33"/>
      <c r="GN221" s="33"/>
      <c r="GO221" s="33"/>
      <c r="GP221" s="33"/>
      <c r="GQ221" s="33"/>
      <c r="GR221" s="33"/>
      <c r="GS221" s="33"/>
      <c r="GT221" s="33"/>
      <c r="GU221" s="33"/>
      <c r="GV221" s="33"/>
      <c r="GW221" s="33"/>
      <c r="GX221" s="33"/>
      <c r="GY221" s="33"/>
      <c r="GZ221" s="33"/>
      <c r="HA221" s="33"/>
      <c r="HB221" s="33"/>
      <c r="HC221" s="33"/>
      <c r="HD221" s="33"/>
      <c r="HE221" s="33"/>
      <c r="HF221" s="33"/>
      <c r="HG221" s="33"/>
      <c r="HH221" s="33"/>
      <c r="HI221" s="33"/>
      <c r="HJ221" s="33"/>
      <c r="HK221" s="33"/>
      <c r="HL221" s="33"/>
      <c r="HM221" s="33"/>
      <c r="HN221" s="33"/>
      <c r="HO221" s="33"/>
      <c r="HP221" s="33"/>
      <c r="HQ221" s="33"/>
      <c r="HR221" s="33"/>
      <c r="HS221" s="33"/>
      <c r="HT221" s="33"/>
      <c r="HU221" s="33"/>
      <c r="HV221" s="33"/>
      <c r="HW221" s="33"/>
      <c r="HX221" s="33"/>
      <c r="HY221" s="33"/>
      <c r="HZ221" s="33"/>
      <c r="IA221" s="33"/>
      <c r="IB221" s="33"/>
      <c r="IC221" s="33"/>
      <c r="ID221" s="33"/>
      <c r="IE221" s="33"/>
      <c r="IF221" s="33"/>
      <c r="IG221" s="33"/>
      <c r="IH221" s="33"/>
      <c r="II221" s="33"/>
      <c r="IJ221" s="33"/>
      <c r="IK221" s="33"/>
      <c r="IL221" s="33"/>
      <c r="IM221" s="33"/>
      <c r="IN221" s="33"/>
      <c r="IO221" s="33"/>
      <c r="IP221" s="33"/>
      <c r="IQ221" s="33"/>
      <c r="IR221" s="33"/>
      <c r="IS221" s="33"/>
      <c r="IT221" s="33"/>
      <c r="IU221" s="33"/>
      <c r="IV221" s="33"/>
      <c r="IW221" s="33"/>
      <c r="IX221" s="33"/>
      <c r="IY221" s="33"/>
      <c r="IZ221" s="33"/>
      <c r="JA221" s="33"/>
      <c r="JB221" s="33"/>
      <c r="JC221" s="33"/>
      <c r="JD221" s="33"/>
      <c r="JE221" s="33"/>
      <c r="JF221" s="33"/>
      <c r="JG221" s="33"/>
      <c r="JH221" s="33"/>
      <c r="JI221" s="33"/>
      <c r="JJ221" s="33"/>
      <c r="JK221" s="33"/>
      <c r="JL221" s="33"/>
      <c r="JM221" s="33"/>
      <c r="JN221" s="33"/>
      <c r="JO221" s="33"/>
      <c r="JP221" s="33"/>
      <c r="JQ221" s="33"/>
      <c r="JR221" s="33"/>
      <c r="JS221" s="33"/>
      <c r="JT221" s="33"/>
      <c r="JU221" s="33"/>
      <c r="JV221" s="33"/>
      <c r="JW221" s="33"/>
      <c r="JX221" s="33"/>
      <c r="JY221" s="33"/>
      <c r="JZ221" s="33"/>
      <c r="KA221" s="33"/>
      <c r="KB221" s="33"/>
      <c r="KC221" s="33"/>
      <c r="KD221" s="33"/>
      <c r="KE221" s="33"/>
      <c r="KF221" s="33"/>
      <c r="KG221" s="33"/>
      <c r="KH221" s="33"/>
      <c r="KI221" s="33"/>
      <c r="KJ221" s="33"/>
      <c r="KK221" s="33"/>
      <c r="KL221" s="33"/>
      <c r="KM221" s="33"/>
      <c r="KN221" s="33"/>
      <c r="KO221" s="33"/>
      <c r="KP221" s="33"/>
      <c r="KQ221" s="33"/>
      <c r="KR221" s="33"/>
      <c r="KS221" s="33"/>
      <c r="KT221" s="33"/>
      <c r="KU221" s="33"/>
      <c r="KV221" s="33"/>
      <c r="KW221" s="33"/>
      <c r="KX221" s="33"/>
      <c r="KY221" s="33"/>
      <c r="KZ221" s="33"/>
      <c r="LA221" s="33"/>
      <c r="LB221" s="33"/>
      <c r="LC221" s="33"/>
      <c r="LD221" s="33"/>
      <c r="LE221" s="33"/>
      <c r="LF221" s="33"/>
      <c r="LG221" s="33"/>
      <c r="LH221" s="33"/>
      <c r="LI221" s="33"/>
      <c r="LJ221" s="33"/>
      <c r="LK221" s="33"/>
      <c r="LL221" s="33"/>
      <c r="LM221" s="33"/>
      <c r="LN221" s="33"/>
      <c r="LO221" s="33"/>
      <c r="LP221" s="33"/>
      <c r="LQ221" s="33"/>
      <c r="LR221" s="33"/>
      <c r="LS221" s="33"/>
      <c r="LT221" s="33"/>
      <c r="LU221" s="33"/>
      <c r="LV221" s="33"/>
      <c r="LW221" s="33"/>
      <c r="LX221" s="33"/>
      <c r="LY221" s="33"/>
      <c r="LZ221" s="33"/>
      <c r="MA221" s="33"/>
      <c r="MB221" s="33"/>
      <c r="MC221" s="33"/>
      <c r="MD221" s="33"/>
      <c r="ME221" s="33"/>
      <c r="MF221" s="33"/>
      <c r="MG221" s="33"/>
      <c r="MH221" s="33"/>
      <c r="MI221" s="33"/>
      <c r="MJ221" s="33"/>
      <c r="MK221" s="33"/>
      <c r="ML221" s="33"/>
      <c r="MM221" s="33"/>
      <c r="MN221" s="33"/>
      <c r="MO221" s="33"/>
      <c r="MP221" s="33"/>
      <c r="MQ221" s="33"/>
      <c r="MR221" s="33"/>
      <c r="MS221" s="33"/>
      <c r="MT221" s="33"/>
      <c r="MU221" s="33"/>
      <c r="MV221" s="33"/>
      <c r="MW221" s="33"/>
      <c r="MX221" s="33"/>
      <c r="MY221" s="33"/>
      <c r="MZ221" s="33"/>
      <c r="NA221" s="33"/>
      <c r="NB221" s="33"/>
      <c r="NC221" s="33"/>
      <c r="ND221" s="33"/>
      <c r="NE221" s="33"/>
      <c r="NF221" s="33"/>
      <c r="NG221" s="33"/>
      <c r="NH221" s="33"/>
      <c r="NI221" s="33"/>
      <c r="NJ221" s="33"/>
      <c r="NK221" s="33"/>
      <c r="NL221" s="33"/>
      <c r="NM221" s="33"/>
      <c r="NN221" s="33"/>
      <c r="NO221" s="33"/>
      <c r="NP221" s="33"/>
      <c r="NQ221" s="33"/>
      <c r="NR221" s="33"/>
      <c r="NS221" s="33"/>
      <c r="NT221" s="33"/>
      <c r="NU221" s="33"/>
      <c r="NV221" s="33"/>
      <c r="NW221" s="33"/>
      <c r="NX221" s="33"/>
      <c r="NY221" s="33"/>
      <c r="NZ221" s="33"/>
      <c r="OA221" s="33"/>
      <c r="OB221" s="33"/>
      <c r="OC221" s="33"/>
      <c r="OD221" s="33"/>
      <c r="OE221" s="33"/>
      <c r="OF221" s="33"/>
      <c r="OG221" s="33"/>
      <c r="OH221" s="33"/>
      <c r="OI221" s="33"/>
      <c r="OJ221" s="33"/>
      <c r="OK221" s="33"/>
      <c r="OL221" s="33"/>
      <c r="OM221" s="33"/>
      <c r="ON221" s="33"/>
      <c r="OO221" s="33"/>
      <c r="OP221" s="33"/>
      <c r="OQ221" s="33"/>
      <c r="OR221" s="33"/>
      <c r="OS221" s="33"/>
      <c r="OT221" s="33"/>
      <c r="OU221" s="33"/>
      <c r="OV221" s="33"/>
      <c r="OW221" s="33"/>
      <c r="OX221" s="33"/>
      <c r="OY221" s="33"/>
      <c r="OZ221" s="33"/>
      <c r="PA221" s="33"/>
      <c r="PB221" s="33"/>
      <c r="PC221" s="33"/>
      <c r="PD221" s="33"/>
      <c r="PE221" s="33"/>
      <c r="PF221" s="33"/>
      <c r="PG221" s="33"/>
      <c r="PH221" s="33"/>
      <c r="PI221" s="33"/>
      <c r="PJ221" s="33"/>
      <c r="PK221" s="33"/>
      <c r="PL221" s="33"/>
      <c r="PM221" s="33"/>
      <c r="PN221" s="33"/>
      <c r="PO221" s="33"/>
      <c r="PP221" s="33"/>
      <c r="PQ221" s="33"/>
      <c r="PR221" s="33"/>
      <c r="PS221" s="33"/>
      <c r="PT221" s="33"/>
      <c r="PU221" s="33"/>
      <c r="PV221" s="33"/>
      <c r="PW221" s="33"/>
      <c r="PX221" s="33"/>
      <c r="PY221" s="33"/>
      <c r="PZ221" s="33"/>
      <c r="QA221" s="33"/>
      <c r="QB221" s="33"/>
      <c r="QC221" s="33"/>
      <c r="QD221" s="33"/>
      <c r="QE221" s="33"/>
      <c r="QF221" s="33"/>
      <c r="QG221" s="33"/>
      <c r="QH221" s="33"/>
      <c r="QI221" s="33"/>
      <c r="QJ221" s="33"/>
      <c r="QK221" s="33"/>
      <c r="QL221" s="33"/>
      <c r="QM221" s="33"/>
      <c r="QN221" s="33"/>
      <c r="QO221" s="33"/>
      <c r="QP221" s="33"/>
      <c r="QQ221" s="33"/>
      <c r="QR221" s="33"/>
      <c r="QS221" s="33"/>
      <c r="QT221" s="33"/>
      <c r="QU221" s="33"/>
      <c r="QV221" s="33"/>
      <c r="QW221" s="33"/>
      <c r="QX221" s="33"/>
      <c r="QY221" s="33"/>
      <c r="QZ221" s="33"/>
      <c r="RA221" s="33"/>
      <c r="RB221" s="33"/>
      <c r="RC221" s="33"/>
      <c r="RD221" s="33"/>
      <c r="RE221" s="33"/>
      <c r="RF221" s="33"/>
      <c r="RG221" s="33"/>
      <c r="RH221" s="33"/>
      <c r="RI221" s="33"/>
      <c r="RJ221" s="33"/>
      <c r="RK221" s="33"/>
      <c r="RL221" s="33"/>
      <c r="RM221" s="33"/>
      <c r="RN221" s="33"/>
      <c r="RO221" s="33"/>
      <c r="RP221" s="33"/>
      <c r="RQ221" s="33"/>
      <c r="RR221" s="33"/>
      <c r="RS221" s="33"/>
      <c r="RT221" s="33"/>
      <c r="RU221" s="33"/>
      <c r="RV221" s="33"/>
      <c r="RW221" s="33"/>
      <c r="RX221" s="33"/>
      <c r="RY221" s="33"/>
      <c r="RZ221" s="33"/>
      <c r="SA221" s="33"/>
      <c r="SB221" s="33"/>
      <c r="SC221" s="33"/>
      <c r="SD221" s="33"/>
      <c r="SE221" s="33"/>
      <c r="SF221" s="33"/>
      <c r="SG221" s="33"/>
      <c r="SH221" s="33"/>
      <c r="SI221" s="33"/>
      <c r="SJ221" s="33"/>
      <c r="SK221" s="33"/>
      <c r="SL221" s="33"/>
      <c r="SM221" s="33"/>
      <c r="SN221" s="33"/>
      <c r="SO221" s="33"/>
      <c r="SP221" s="33"/>
      <c r="SQ221" s="33"/>
      <c r="SR221" s="33"/>
      <c r="SS221" s="33"/>
      <c r="ST221" s="33"/>
      <c r="SU221" s="33"/>
      <c r="SV221" s="33"/>
      <c r="SW221" s="33"/>
      <c r="SX221" s="33"/>
      <c r="SY221" s="33"/>
      <c r="SZ221" s="33"/>
      <c r="TA221" s="33"/>
      <c r="TB221" s="33"/>
      <c r="TC221" s="33"/>
      <c r="TD221" s="33"/>
      <c r="TE221" s="33"/>
      <c r="TF221" s="33"/>
      <c r="TG221" s="33"/>
    </row>
    <row r="222" spans="1:527" s="22" customFormat="1" ht="47.25" x14ac:dyDescent="0.25">
      <c r="A222" s="60" t="s">
        <v>198</v>
      </c>
      <c r="B222" s="60" t="str">
        <f>'дод 8'!A19</f>
        <v>0160</v>
      </c>
      <c r="C222" s="60" t="str">
        <f>'дод 8'!B19</f>
        <v>0111</v>
      </c>
      <c r="D222" s="98" t="s">
        <v>503</v>
      </c>
      <c r="E222" s="103">
        <f t="shared" ref="E222:E251" si="105">F222+I222</f>
        <v>14442475</v>
      </c>
      <c r="F222" s="103">
        <f>14436900+5575</f>
        <v>14442475</v>
      </c>
      <c r="G222" s="103">
        <v>11274000</v>
      </c>
      <c r="H222" s="103">
        <f>203100+5575</f>
        <v>208675</v>
      </c>
      <c r="I222" s="103"/>
      <c r="J222" s="103">
        <f>L222+O222</f>
        <v>0</v>
      </c>
      <c r="K222" s="103"/>
      <c r="L222" s="103"/>
      <c r="M222" s="103"/>
      <c r="N222" s="103"/>
      <c r="O222" s="103"/>
      <c r="P222" s="103">
        <f t="shared" ref="P222:P251" si="106">E222+J222</f>
        <v>14442475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</row>
    <row r="223" spans="1:527" s="22" customFormat="1" ht="23.25" customHeight="1" x14ac:dyDescent="0.25">
      <c r="A223" s="60" t="s">
        <v>560</v>
      </c>
      <c r="B223" s="60" t="s">
        <v>46</v>
      </c>
      <c r="C223" s="60" t="s">
        <v>95</v>
      </c>
      <c r="D223" s="98" t="s">
        <v>244</v>
      </c>
      <c r="E223" s="103">
        <f t="shared" si="105"/>
        <v>1000000</v>
      </c>
      <c r="F223" s="103">
        <v>1000000</v>
      </c>
      <c r="G223" s="103"/>
      <c r="H223" s="103"/>
      <c r="I223" s="103"/>
      <c r="J223" s="103">
        <f>L223+O223</f>
        <v>0</v>
      </c>
      <c r="K223" s="103"/>
      <c r="L223" s="103"/>
      <c r="M223" s="103"/>
      <c r="N223" s="103"/>
      <c r="O223" s="103"/>
      <c r="P223" s="103">
        <f t="shared" si="106"/>
        <v>1000000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</row>
    <row r="224" spans="1:527" s="22" customFormat="1" ht="19.5" customHeight="1" x14ac:dyDescent="0.25">
      <c r="A224" s="107" t="s">
        <v>304</v>
      </c>
      <c r="B224" s="42" t="str">
        <f>'дод 8'!A126</f>
        <v>3210</v>
      </c>
      <c r="C224" s="42" t="str">
        <f>'дод 8'!B126</f>
        <v>1050</v>
      </c>
      <c r="D224" s="36" t="str">
        <f>'дод 8'!C126</f>
        <v>Організація та проведення громадських робіт</v>
      </c>
      <c r="E224" s="103">
        <f t="shared" si="105"/>
        <v>160000</v>
      </c>
      <c r="F224" s="103">
        <f>200000-40000</f>
        <v>160000</v>
      </c>
      <c r="G224" s="103"/>
      <c r="H224" s="103"/>
      <c r="I224" s="103"/>
      <c r="J224" s="103">
        <f t="shared" ref="J224:J251" si="107">L224+O224</f>
        <v>0</v>
      </c>
      <c r="K224" s="103"/>
      <c r="L224" s="103"/>
      <c r="M224" s="103"/>
      <c r="N224" s="103"/>
      <c r="O224" s="103"/>
      <c r="P224" s="103">
        <f t="shared" si="106"/>
        <v>160000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</row>
    <row r="225" spans="1:527" s="22" customFormat="1" ht="33.75" customHeight="1" x14ac:dyDescent="0.25">
      <c r="A225" s="60" t="s">
        <v>199</v>
      </c>
      <c r="B225" s="97" t="str">
        <f>'дод 8'!A152</f>
        <v>6011</v>
      </c>
      <c r="C225" s="97" t="str">
        <f>'дод 8'!B152</f>
        <v>0610</v>
      </c>
      <c r="D225" s="61" t="str">
        <f>'дод 8'!C152</f>
        <v>Експлуатація та технічне обслуговування житлового фонду</v>
      </c>
      <c r="E225" s="103">
        <f t="shared" si="105"/>
        <v>0</v>
      </c>
      <c r="F225" s="103"/>
      <c r="G225" s="103"/>
      <c r="H225" s="103"/>
      <c r="I225" s="103"/>
      <c r="J225" s="103">
        <f t="shared" si="107"/>
        <v>8602296</v>
      </c>
      <c r="K225" s="103">
        <f>7054092-807126.65+807126.65+172300+40000+154400+169950+593700+23900-19300+37614+100560+126700+49900+62000</f>
        <v>8565816</v>
      </c>
      <c r="L225" s="103"/>
      <c r="M225" s="103"/>
      <c r="N225" s="103"/>
      <c r="O225" s="103">
        <f>7090572-807126.65+807126.65+172300+40000+154400+169950+593700+23900-19300+37614+100560+126700+49900+62000</f>
        <v>8602296</v>
      </c>
      <c r="P225" s="103">
        <f t="shared" si="106"/>
        <v>8602296</v>
      </c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</row>
    <row r="226" spans="1:527" s="22" customFormat="1" ht="31.5" x14ac:dyDescent="0.25">
      <c r="A226" s="60" t="s">
        <v>200</v>
      </c>
      <c r="B226" s="97" t="str">
        <f>'дод 8'!A153</f>
        <v>6013</v>
      </c>
      <c r="C226" s="97" t="str">
        <f>'дод 8'!B153</f>
        <v>0620</v>
      </c>
      <c r="D226" s="61" t="str">
        <f>'дод 8'!C153</f>
        <v>Забезпечення діяльності водопровідно-каналізаційного господарства</v>
      </c>
      <c r="E226" s="103">
        <f t="shared" si="105"/>
        <v>29614040</v>
      </c>
      <c r="F226" s="103">
        <f>3610000-3000000+164040+30000+40000+270000</f>
        <v>1114040</v>
      </c>
      <c r="G226" s="103"/>
      <c r="H226" s="103"/>
      <c r="I226" s="103">
        <f>25250000-100000+3350000</f>
        <v>28500000</v>
      </c>
      <c r="J226" s="103">
        <f t="shared" si="107"/>
        <v>200000</v>
      </c>
      <c r="K226" s="103">
        <f>230000-30000</f>
        <v>200000</v>
      </c>
      <c r="L226" s="103"/>
      <c r="M226" s="103"/>
      <c r="N226" s="103"/>
      <c r="O226" s="103">
        <f>230000-30000</f>
        <v>200000</v>
      </c>
      <c r="P226" s="103">
        <f t="shared" si="106"/>
        <v>29814040</v>
      </c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</row>
    <row r="227" spans="1:527" s="22" customFormat="1" ht="33" customHeight="1" x14ac:dyDescent="0.25">
      <c r="A227" s="60" t="s">
        <v>261</v>
      </c>
      <c r="B227" s="97" t="str">
        <f>'дод 8'!A154</f>
        <v>6015</v>
      </c>
      <c r="C227" s="97" t="str">
        <f>'дод 8'!B154</f>
        <v>0620</v>
      </c>
      <c r="D227" s="61" t="str">
        <f>'дод 8'!C154</f>
        <v>Забезпечення надійної та безперебійної експлуатації ліфтів</v>
      </c>
      <c r="E227" s="103">
        <f t="shared" si="105"/>
        <v>115980</v>
      </c>
      <c r="F227" s="103">
        <f>99980+8000+16000+8000-16000</f>
        <v>115980</v>
      </c>
      <c r="G227" s="103"/>
      <c r="H227" s="103"/>
      <c r="I227" s="103"/>
      <c r="J227" s="103">
        <f t="shared" si="107"/>
        <v>32680050</v>
      </c>
      <c r="K227" s="103">
        <f>6600000-96212+96212+4439600+1450000+700000+590000+232000-200000-200000+50000+318000+80000+592000+16000+65000+17450000+447450</f>
        <v>32630050</v>
      </c>
      <c r="L227" s="103"/>
      <c r="M227" s="103"/>
      <c r="N227" s="103"/>
      <c r="O227" s="103">
        <f>6650000-96212+96212+4439600+1450000+700000+590000+232000-200000-200000+50000+318000+80000+592000+16000+65000+17450000+447450</f>
        <v>32680050</v>
      </c>
      <c r="P227" s="103">
        <f t="shared" si="106"/>
        <v>32796030</v>
      </c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</row>
    <row r="228" spans="1:527" s="22" customFormat="1" ht="32.25" customHeight="1" x14ac:dyDescent="0.25">
      <c r="A228" s="60" t="s">
        <v>264</v>
      </c>
      <c r="B228" s="97" t="str">
        <f>'дод 8'!A155</f>
        <v>6017</v>
      </c>
      <c r="C228" s="97" t="str">
        <f>'дод 8'!B155</f>
        <v>0620</v>
      </c>
      <c r="D228" s="61" t="str">
        <f>'дод 8'!C155</f>
        <v>Інша діяльність, пов’язана з експлуатацією об’єктів житлово-комунального господарства</v>
      </c>
      <c r="E228" s="103">
        <f t="shared" si="105"/>
        <v>100000</v>
      </c>
      <c r="F228" s="103">
        <v>100000</v>
      </c>
      <c r="G228" s="103"/>
      <c r="H228" s="103"/>
      <c r="I228" s="103"/>
      <c r="J228" s="103">
        <f t="shared" si="107"/>
        <v>0</v>
      </c>
      <c r="K228" s="103"/>
      <c r="L228" s="103"/>
      <c r="M228" s="103"/>
      <c r="N228" s="103"/>
      <c r="O228" s="103"/>
      <c r="P228" s="103">
        <f t="shared" si="106"/>
        <v>100000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</row>
    <row r="229" spans="1:527" s="22" customFormat="1" ht="47.25" x14ac:dyDescent="0.25">
      <c r="A229" s="60" t="s">
        <v>201</v>
      </c>
      <c r="B229" s="97" t="str">
        <f>'дод 8'!A156</f>
        <v>6020</v>
      </c>
      <c r="C229" s="97" t="str">
        <f>'дод 8'!B156</f>
        <v>0620</v>
      </c>
      <c r="D229" s="61" t="str">
        <f>'дод 8'!C156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9" s="103">
        <f t="shared" si="105"/>
        <v>1871258.48</v>
      </c>
      <c r="F229" s="103">
        <f>29300</f>
        <v>29300</v>
      </c>
      <c r="G229" s="103"/>
      <c r="H229" s="103"/>
      <c r="I229" s="103">
        <f>300000+1541958.48</f>
        <v>1841958.48</v>
      </c>
      <c r="J229" s="103">
        <f t="shared" si="107"/>
        <v>0</v>
      </c>
      <c r="K229" s="103"/>
      <c r="L229" s="103"/>
      <c r="M229" s="103"/>
      <c r="N229" s="103"/>
      <c r="O229" s="103"/>
      <c r="P229" s="103">
        <f t="shared" si="106"/>
        <v>1871258.48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</row>
    <row r="230" spans="1:527" s="22" customFormat="1" ht="24.75" customHeight="1" x14ac:dyDescent="0.25">
      <c r="A230" s="60" t="s">
        <v>202</v>
      </c>
      <c r="B230" s="97" t="str">
        <f>'дод 8'!A157</f>
        <v>6030</v>
      </c>
      <c r="C230" s="97" t="str">
        <f>'дод 8'!B157</f>
        <v>0620</v>
      </c>
      <c r="D230" s="61" t="str">
        <f>'дод 8'!C157</f>
        <v>Організація благоустрою населених пунктів</v>
      </c>
      <c r="E230" s="103">
        <f t="shared" si="105"/>
        <v>225440075.50999999</v>
      </c>
      <c r="F230" s="103">
        <f>220864874.13-7011318-49900-211983.47+990000+100000+72800+872900-100000-18473.69+60000-45080.64-164040+1592924+340394+200000-50500+299310+199600+1500000+98000+310136+40000+1000000+129000-29300+1012980+853612.73-90000+87900+371540.45+253200+30000-200000+31500+500000+250000+1250000</f>
        <v>225340075.50999999</v>
      </c>
      <c r="G230" s="103"/>
      <c r="H230" s="103">
        <f>34504500-600000-164040+1250000</f>
        <v>34990460</v>
      </c>
      <c r="I230" s="103">
        <v>100000</v>
      </c>
      <c r="J230" s="103">
        <f t="shared" si="107"/>
        <v>30163628.579999991</v>
      </c>
      <c r="K230" s="103">
        <f>28422020-300000+7011318-1359437.09+1978809.98+72800-72800+129900+18473.69-60000+170000+50000-1500000+49900+49900-2800000-1150000+250000-2000000+5000000+49000+90000+49000-30000-1000000+694744-7000000+350000+3000000+528294.5-528294.5</f>
        <v>30163628.579999991</v>
      </c>
      <c r="L230" s="117"/>
      <c r="M230" s="103"/>
      <c r="N230" s="103"/>
      <c r="O230" s="103">
        <f>28422020-300000+7011318-1359437.09+1978809.98+72800-72800+129900+18473.69-60000+170000+50000-1500000+49900+49900-2800000-1150000+250000-2000000+5000000+49000+90000+49000-30000-1000000+694744-7000000+350000+3000000+528294.5-528294.5</f>
        <v>30163628.579999991</v>
      </c>
      <c r="P230" s="103">
        <f t="shared" si="106"/>
        <v>255603704.08999997</v>
      </c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</row>
    <row r="231" spans="1:527" s="22" customFormat="1" ht="31.5" customHeight="1" x14ac:dyDescent="0.25">
      <c r="A231" s="60" t="s">
        <v>254</v>
      </c>
      <c r="B231" s="97" t="str">
        <f>'дод 8'!A161</f>
        <v>6090</v>
      </c>
      <c r="C231" s="97" t="str">
        <f>'дод 8'!B161</f>
        <v>0640</v>
      </c>
      <c r="D231" s="61" t="str">
        <f>'дод 8'!C161</f>
        <v>Інша діяльність у сфері житлово-комунального господарства</v>
      </c>
      <c r="E231" s="103">
        <f t="shared" si="105"/>
        <v>16754966.280000001</v>
      </c>
      <c r="F231" s="103">
        <f>47773888-76000+38050-9241451.18+49000-200000-6163260-25000-20000+45080.64-300000-4102174-1899640+200000+19300+50500-101200-418760+20000-263600-25000-184814-1453016-25000-78100-179000-2382803-1663012.73-1050451+2500-371540.45-1522530+3000</f>
        <v>16454966.280000001</v>
      </c>
      <c r="G231" s="103"/>
      <c r="H231" s="103">
        <f>24500+3000</f>
        <v>27500</v>
      </c>
      <c r="I231" s="103">
        <v>300000</v>
      </c>
      <c r="J231" s="103">
        <f t="shared" si="107"/>
        <v>1785000</v>
      </c>
      <c r="K231" s="103"/>
      <c r="L231" s="103"/>
      <c r="M231" s="103"/>
      <c r="N231" s="103"/>
      <c r="O231" s="103">
        <v>1785000</v>
      </c>
      <c r="P231" s="103">
        <f t="shared" si="106"/>
        <v>18539966.280000001</v>
      </c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</row>
    <row r="232" spans="1:527" s="22" customFormat="1" ht="34.5" x14ac:dyDescent="0.25">
      <c r="A232" s="60" t="s">
        <v>273</v>
      </c>
      <c r="B232" s="97" t="str">
        <f>'дод 8'!A170</f>
        <v>7310</v>
      </c>
      <c r="C232" s="97" t="str">
        <f>'дод 8'!B170</f>
        <v>0443</v>
      </c>
      <c r="D232" s="6" t="s">
        <v>569</v>
      </c>
      <c r="E232" s="103">
        <f t="shared" si="105"/>
        <v>0</v>
      </c>
      <c r="F232" s="103"/>
      <c r="G232" s="103"/>
      <c r="H232" s="103"/>
      <c r="I232" s="103"/>
      <c r="J232" s="103">
        <f t="shared" si="107"/>
        <v>20078713</v>
      </c>
      <c r="K232" s="103">
        <f>19836513+300000-38050+50000+200000-169950-49900-49900+49900-49900</f>
        <v>20078713</v>
      </c>
      <c r="L232" s="103"/>
      <c r="M232" s="103"/>
      <c r="N232" s="103"/>
      <c r="O232" s="103">
        <f>19836513+300000-38050+50000+200000-169950-49900-49900+49900-49900</f>
        <v>20078713</v>
      </c>
      <c r="P232" s="103">
        <f t="shared" si="106"/>
        <v>20078713</v>
      </c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</row>
    <row r="233" spans="1:527" s="22" customFormat="1" ht="21" customHeight="1" x14ac:dyDescent="0.25">
      <c r="A233" s="60" t="s">
        <v>275</v>
      </c>
      <c r="B233" s="97" t="str">
        <f>'дод 8'!A176</f>
        <v>7330</v>
      </c>
      <c r="C233" s="97" t="str">
        <f>'дод 8'!B176</f>
        <v>0443</v>
      </c>
      <c r="D233" s="6" t="s">
        <v>564</v>
      </c>
      <c r="E233" s="103">
        <f t="shared" si="105"/>
        <v>0</v>
      </c>
      <c r="F233" s="103"/>
      <c r="G233" s="103"/>
      <c r="H233" s="103"/>
      <c r="I233" s="103"/>
      <c r="J233" s="103">
        <f t="shared" si="107"/>
        <v>19676375.579999998</v>
      </c>
      <c r="K233" s="103">
        <f>22088598+49900-407389.42-200000+3500000-4000000+500000+30000+250000+49900-70000+1000000-726244-230045-3300000+990000+151656+1300000-1300000</f>
        <v>19676375.579999998</v>
      </c>
      <c r="L233" s="103"/>
      <c r="M233" s="103"/>
      <c r="N233" s="103"/>
      <c r="O233" s="103">
        <f>22088598+49900-407389.42-200000+3500000-4000000+500000+30000+250000+49900-70000+1000000-726244-230045-3300000+990000+151656+1300000-1300000</f>
        <v>19676375.579999998</v>
      </c>
      <c r="P233" s="103">
        <f t="shared" si="106"/>
        <v>19676375.579999998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</row>
    <row r="234" spans="1:527" s="22" customFormat="1" ht="33" customHeight="1" x14ac:dyDescent="0.25">
      <c r="A234" s="60" t="s">
        <v>203</v>
      </c>
      <c r="B234" s="97">
        <v>7340</v>
      </c>
      <c r="C234" s="97" t="str">
        <f>'дод 8'!B175</f>
        <v>0443</v>
      </c>
      <c r="D234" s="61" t="str">
        <f>'дод 8'!C177</f>
        <v>Проектування, реставрація та охорона пам'яток архітектури</v>
      </c>
      <c r="E234" s="103">
        <f t="shared" ref="E234" si="108">F234+I234</f>
        <v>0</v>
      </c>
      <c r="F234" s="103"/>
      <c r="G234" s="103"/>
      <c r="H234" s="103"/>
      <c r="I234" s="103"/>
      <c r="J234" s="103">
        <f t="shared" ref="J234" si="109">L234+O234</f>
        <v>3250000</v>
      </c>
      <c r="K234" s="103">
        <f>3250000</f>
        <v>3250000</v>
      </c>
      <c r="L234" s="103"/>
      <c r="M234" s="103"/>
      <c r="N234" s="103"/>
      <c r="O234" s="103">
        <f>3250000</f>
        <v>3250000</v>
      </c>
      <c r="P234" s="103">
        <f t="shared" ref="P234" si="110">E234+J234</f>
        <v>3250000</v>
      </c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</row>
    <row r="235" spans="1:527" s="22" customFormat="1" ht="49.5" hidden="1" customHeight="1" x14ac:dyDescent="0.25">
      <c r="A235" s="60" t="s">
        <v>372</v>
      </c>
      <c r="B235" s="97">
        <f>'дод 8'!A179</f>
        <v>7361</v>
      </c>
      <c r="C235" s="97" t="str">
        <f>'дод 8'!B179</f>
        <v>0490</v>
      </c>
      <c r="D235" s="61" t="str">
        <f>'дод 8'!C179</f>
        <v>Співфінансування інвестиційних проектів, що реалізуються за рахунок коштів державного фонду регіонального розвитку</v>
      </c>
      <c r="E235" s="103">
        <f t="shared" si="105"/>
        <v>0</v>
      </c>
      <c r="F235" s="103"/>
      <c r="G235" s="103"/>
      <c r="H235" s="103"/>
      <c r="I235" s="103"/>
      <c r="J235" s="103">
        <f t="shared" si="107"/>
        <v>0</v>
      </c>
      <c r="K235" s="103"/>
      <c r="L235" s="103"/>
      <c r="M235" s="103"/>
      <c r="N235" s="103"/>
      <c r="O235" s="103"/>
      <c r="P235" s="103">
        <f t="shared" si="106"/>
        <v>0</v>
      </c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</row>
    <row r="236" spans="1:527" s="22" customFormat="1" ht="30" hidden="1" customHeight="1" x14ac:dyDescent="0.25">
      <c r="A236" s="60">
        <v>1217362</v>
      </c>
      <c r="B236" s="97">
        <f>'дод 8'!A180</f>
        <v>7362</v>
      </c>
      <c r="C236" s="97" t="str">
        <f>'дод 8'!B180</f>
        <v>0490</v>
      </c>
      <c r="D236" s="61" t="str">
        <f>'дод 8'!C180</f>
        <v>Виконання інвестиційних проектів в рамках підтримки розвитку об'єднаних територіальних громад</v>
      </c>
      <c r="E236" s="103">
        <f t="shared" si="105"/>
        <v>0</v>
      </c>
      <c r="F236" s="103"/>
      <c r="G236" s="103"/>
      <c r="H236" s="103"/>
      <c r="I236" s="103"/>
      <c r="J236" s="103">
        <f t="shared" si="107"/>
        <v>0</v>
      </c>
      <c r="K236" s="103"/>
      <c r="L236" s="103"/>
      <c r="M236" s="103"/>
      <c r="N236" s="103"/>
      <c r="O236" s="103"/>
      <c r="P236" s="103">
        <f t="shared" si="106"/>
        <v>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</row>
    <row r="237" spans="1:527" s="22" customFormat="1" ht="47.25" x14ac:dyDescent="0.25">
      <c r="A237" s="60" t="s">
        <v>370</v>
      </c>
      <c r="B237" s="97">
        <v>7363</v>
      </c>
      <c r="C237" s="37" t="s">
        <v>84</v>
      </c>
      <c r="D237" s="36" t="s">
        <v>400</v>
      </c>
      <c r="E237" s="103">
        <f t="shared" si="105"/>
        <v>0</v>
      </c>
      <c r="F237" s="103"/>
      <c r="G237" s="103"/>
      <c r="H237" s="103"/>
      <c r="I237" s="103"/>
      <c r="J237" s="103">
        <f t="shared" si="107"/>
        <v>7800000</v>
      </c>
      <c r="K237" s="103">
        <f>2800000+5000000</f>
        <v>7800000</v>
      </c>
      <c r="L237" s="103"/>
      <c r="M237" s="103"/>
      <c r="N237" s="103"/>
      <c r="O237" s="103">
        <f>2800000+5000000</f>
        <v>7800000</v>
      </c>
      <c r="P237" s="103">
        <f t="shared" si="106"/>
        <v>7800000</v>
      </c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</row>
    <row r="238" spans="1:527" s="24" customFormat="1" ht="50.25" customHeight="1" x14ac:dyDescent="0.25">
      <c r="A238" s="88"/>
      <c r="B238" s="115"/>
      <c r="C238" s="115"/>
      <c r="D238" s="91" t="s">
        <v>572</v>
      </c>
      <c r="E238" s="105">
        <f t="shared" si="105"/>
        <v>0</v>
      </c>
      <c r="F238" s="105"/>
      <c r="G238" s="105"/>
      <c r="H238" s="105"/>
      <c r="I238" s="105"/>
      <c r="J238" s="105">
        <f t="shared" si="107"/>
        <v>5000000</v>
      </c>
      <c r="K238" s="105">
        <v>5000000</v>
      </c>
      <c r="L238" s="105"/>
      <c r="M238" s="105"/>
      <c r="N238" s="105"/>
      <c r="O238" s="105">
        <v>5000000</v>
      </c>
      <c r="P238" s="105">
        <f t="shared" si="106"/>
        <v>5000000</v>
      </c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  <c r="ID238" s="30"/>
      <c r="IE238" s="30"/>
      <c r="IF238" s="30"/>
      <c r="IG238" s="30"/>
      <c r="IH238" s="30"/>
      <c r="II238" s="30"/>
      <c r="IJ238" s="30"/>
      <c r="IK238" s="30"/>
      <c r="IL238" s="30"/>
      <c r="IM238" s="30"/>
      <c r="IN238" s="30"/>
      <c r="IO238" s="30"/>
      <c r="IP238" s="30"/>
      <c r="IQ238" s="30"/>
      <c r="IR238" s="30"/>
      <c r="IS238" s="30"/>
      <c r="IT238" s="30"/>
      <c r="IU238" s="30"/>
      <c r="IV238" s="30"/>
      <c r="IW238" s="30"/>
      <c r="IX238" s="30"/>
      <c r="IY238" s="30"/>
      <c r="IZ238" s="30"/>
      <c r="JA238" s="30"/>
      <c r="JB238" s="30"/>
      <c r="JC238" s="30"/>
      <c r="JD238" s="30"/>
      <c r="JE238" s="30"/>
      <c r="JF238" s="30"/>
      <c r="JG238" s="30"/>
      <c r="JH238" s="30"/>
      <c r="JI238" s="30"/>
      <c r="JJ238" s="30"/>
      <c r="JK238" s="30"/>
      <c r="JL238" s="30"/>
      <c r="JM238" s="30"/>
      <c r="JN238" s="30"/>
      <c r="JO238" s="30"/>
      <c r="JP238" s="30"/>
      <c r="JQ238" s="30"/>
      <c r="JR238" s="30"/>
      <c r="JS238" s="30"/>
      <c r="JT238" s="30"/>
      <c r="JU238" s="30"/>
      <c r="JV238" s="30"/>
      <c r="JW238" s="30"/>
      <c r="JX238" s="30"/>
      <c r="JY238" s="30"/>
      <c r="JZ238" s="30"/>
      <c r="KA238" s="30"/>
      <c r="KB238" s="30"/>
      <c r="KC238" s="30"/>
      <c r="KD238" s="30"/>
      <c r="KE238" s="30"/>
      <c r="KF238" s="30"/>
      <c r="KG238" s="30"/>
      <c r="KH238" s="30"/>
      <c r="KI238" s="30"/>
      <c r="KJ238" s="30"/>
      <c r="KK238" s="30"/>
      <c r="KL238" s="30"/>
      <c r="KM238" s="30"/>
      <c r="KN238" s="30"/>
      <c r="KO238" s="30"/>
      <c r="KP238" s="30"/>
      <c r="KQ238" s="30"/>
      <c r="KR238" s="30"/>
      <c r="KS238" s="30"/>
      <c r="KT238" s="30"/>
      <c r="KU238" s="30"/>
      <c r="KV238" s="30"/>
      <c r="KW238" s="30"/>
      <c r="KX238" s="30"/>
      <c r="KY238" s="30"/>
      <c r="KZ238" s="30"/>
      <c r="LA238" s="30"/>
      <c r="LB238" s="30"/>
      <c r="LC238" s="30"/>
      <c r="LD238" s="30"/>
      <c r="LE238" s="30"/>
      <c r="LF238" s="30"/>
      <c r="LG238" s="30"/>
      <c r="LH238" s="30"/>
      <c r="LI238" s="30"/>
      <c r="LJ238" s="30"/>
      <c r="LK238" s="30"/>
      <c r="LL238" s="30"/>
      <c r="LM238" s="30"/>
      <c r="LN238" s="30"/>
      <c r="LO238" s="30"/>
      <c r="LP238" s="30"/>
      <c r="LQ238" s="30"/>
      <c r="LR238" s="30"/>
      <c r="LS238" s="30"/>
      <c r="LT238" s="30"/>
      <c r="LU238" s="30"/>
      <c r="LV238" s="30"/>
      <c r="LW238" s="30"/>
      <c r="LX238" s="30"/>
      <c r="LY238" s="30"/>
      <c r="LZ238" s="30"/>
      <c r="MA238" s="30"/>
      <c r="MB238" s="30"/>
      <c r="MC238" s="30"/>
      <c r="MD238" s="30"/>
      <c r="ME238" s="30"/>
      <c r="MF238" s="30"/>
      <c r="MG238" s="30"/>
      <c r="MH238" s="30"/>
      <c r="MI238" s="30"/>
      <c r="MJ238" s="30"/>
      <c r="MK238" s="30"/>
      <c r="ML238" s="30"/>
      <c r="MM238" s="30"/>
      <c r="MN238" s="30"/>
      <c r="MO238" s="30"/>
      <c r="MP238" s="30"/>
      <c r="MQ238" s="30"/>
      <c r="MR238" s="30"/>
      <c r="MS238" s="30"/>
      <c r="MT238" s="30"/>
      <c r="MU238" s="30"/>
      <c r="MV238" s="30"/>
      <c r="MW238" s="30"/>
      <c r="MX238" s="30"/>
      <c r="MY238" s="30"/>
      <c r="MZ238" s="30"/>
      <c r="NA238" s="30"/>
      <c r="NB238" s="30"/>
      <c r="NC238" s="30"/>
      <c r="ND238" s="30"/>
      <c r="NE238" s="30"/>
      <c r="NF238" s="30"/>
      <c r="NG238" s="30"/>
      <c r="NH238" s="30"/>
      <c r="NI238" s="30"/>
      <c r="NJ238" s="30"/>
      <c r="NK238" s="30"/>
      <c r="NL238" s="30"/>
      <c r="NM238" s="30"/>
      <c r="NN238" s="30"/>
      <c r="NO238" s="30"/>
      <c r="NP238" s="30"/>
      <c r="NQ238" s="30"/>
      <c r="NR238" s="30"/>
      <c r="NS238" s="30"/>
      <c r="NT238" s="30"/>
      <c r="NU238" s="30"/>
      <c r="NV238" s="30"/>
      <c r="NW238" s="30"/>
      <c r="NX238" s="30"/>
      <c r="NY238" s="30"/>
      <c r="NZ238" s="30"/>
      <c r="OA238" s="30"/>
      <c r="OB238" s="30"/>
      <c r="OC238" s="30"/>
      <c r="OD238" s="30"/>
      <c r="OE238" s="30"/>
      <c r="OF238" s="30"/>
      <c r="OG238" s="30"/>
      <c r="OH238" s="30"/>
      <c r="OI238" s="30"/>
      <c r="OJ238" s="30"/>
      <c r="OK238" s="30"/>
      <c r="OL238" s="30"/>
      <c r="OM238" s="30"/>
      <c r="ON238" s="30"/>
      <c r="OO238" s="30"/>
      <c r="OP238" s="30"/>
      <c r="OQ238" s="30"/>
      <c r="OR238" s="30"/>
      <c r="OS238" s="30"/>
      <c r="OT238" s="30"/>
      <c r="OU238" s="30"/>
      <c r="OV238" s="30"/>
      <c r="OW238" s="30"/>
      <c r="OX238" s="30"/>
      <c r="OY238" s="30"/>
      <c r="OZ238" s="30"/>
      <c r="PA238" s="30"/>
      <c r="PB238" s="30"/>
      <c r="PC238" s="30"/>
      <c r="PD238" s="30"/>
      <c r="PE238" s="30"/>
      <c r="PF238" s="30"/>
      <c r="PG238" s="30"/>
      <c r="PH238" s="30"/>
      <c r="PI238" s="30"/>
      <c r="PJ238" s="30"/>
      <c r="PK238" s="30"/>
      <c r="PL238" s="30"/>
      <c r="PM238" s="30"/>
      <c r="PN238" s="30"/>
      <c r="PO238" s="30"/>
      <c r="PP238" s="30"/>
      <c r="PQ238" s="30"/>
      <c r="PR238" s="30"/>
      <c r="PS238" s="30"/>
      <c r="PT238" s="30"/>
      <c r="PU238" s="30"/>
      <c r="PV238" s="30"/>
      <c r="PW238" s="30"/>
      <c r="PX238" s="30"/>
      <c r="PY238" s="30"/>
      <c r="PZ238" s="30"/>
      <c r="QA238" s="30"/>
      <c r="QB238" s="30"/>
      <c r="QC238" s="30"/>
      <c r="QD238" s="30"/>
      <c r="QE238" s="30"/>
      <c r="QF238" s="30"/>
      <c r="QG238" s="30"/>
      <c r="QH238" s="30"/>
      <c r="QI238" s="30"/>
      <c r="QJ238" s="30"/>
      <c r="QK238" s="30"/>
      <c r="QL238" s="30"/>
      <c r="QM238" s="30"/>
      <c r="QN238" s="30"/>
      <c r="QO238" s="30"/>
      <c r="QP238" s="30"/>
      <c r="QQ238" s="30"/>
      <c r="QR238" s="30"/>
      <c r="QS238" s="30"/>
      <c r="QT238" s="30"/>
      <c r="QU238" s="30"/>
      <c r="QV238" s="30"/>
      <c r="QW238" s="30"/>
      <c r="QX238" s="30"/>
      <c r="QY238" s="30"/>
      <c r="QZ238" s="30"/>
      <c r="RA238" s="30"/>
      <c r="RB238" s="30"/>
      <c r="RC238" s="30"/>
      <c r="RD238" s="30"/>
      <c r="RE238" s="30"/>
      <c r="RF238" s="30"/>
      <c r="RG238" s="30"/>
      <c r="RH238" s="30"/>
      <c r="RI238" s="30"/>
      <c r="RJ238" s="30"/>
      <c r="RK238" s="30"/>
      <c r="RL238" s="30"/>
      <c r="RM238" s="30"/>
      <c r="RN238" s="30"/>
      <c r="RO238" s="30"/>
      <c r="RP238" s="30"/>
      <c r="RQ238" s="30"/>
      <c r="RR238" s="30"/>
      <c r="RS238" s="30"/>
      <c r="RT238" s="30"/>
      <c r="RU238" s="30"/>
      <c r="RV238" s="30"/>
      <c r="RW238" s="30"/>
      <c r="RX238" s="30"/>
      <c r="RY238" s="30"/>
      <c r="RZ238" s="30"/>
      <c r="SA238" s="30"/>
      <c r="SB238" s="30"/>
      <c r="SC238" s="30"/>
      <c r="SD238" s="30"/>
      <c r="SE238" s="30"/>
      <c r="SF238" s="30"/>
      <c r="SG238" s="30"/>
      <c r="SH238" s="30"/>
      <c r="SI238" s="30"/>
      <c r="SJ238" s="30"/>
      <c r="SK238" s="30"/>
      <c r="SL238" s="30"/>
      <c r="SM238" s="30"/>
      <c r="SN238" s="30"/>
      <c r="SO238" s="30"/>
      <c r="SP238" s="30"/>
      <c r="SQ238" s="30"/>
      <c r="SR238" s="30"/>
      <c r="SS238" s="30"/>
      <c r="ST238" s="30"/>
      <c r="SU238" s="30"/>
      <c r="SV238" s="30"/>
      <c r="SW238" s="30"/>
      <c r="SX238" s="30"/>
      <c r="SY238" s="30"/>
      <c r="SZ238" s="30"/>
      <c r="TA238" s="30"/>
      <c r="TB238" s="30"/>
      <c r="TC238" s="30"/>
      <c r="TD238" s="30"/>
      <c r="TE238" s="30"/>
      <c r="TF238" s="30"/>
      <c r="TG238" s="30"/>
    </row>
    <row r="239" spans="1:527" s="22" customFormat="1" ht="47.25" x14ac:dyDescent="0.25">
      <c r="A239" s="60" t="s">
        <v>376</v>
      </c>
      <c r="B239" s="97">
        <f>'дод 8'!A191</f>
        <v>7462</v>
      </c>
      <c r="C239" s="60" t="s">
        <v>402</v>
      </c>
      <c r="D239" s="121" t="s">
        <v>401</v>
      </c>
      <c r="E239" s="103">
        <f t="shared" ref="E239:E242" si="111">F239+I239</f>
        <v>1527346</v>
      </c>
      <c r="F239" s="103">
        <v>1527346</v>
      </c>
      <c r="G239" s="103"/>
      <c r="H239" s="103"/>
      <c r="I239" s="103"/>
      <c r="J239" s="103">
        <f t="shared" ref="J239:J242" si="112">L239+O239</f>
        <v>0</v>
      </c>
      <c r="K239" s="103"/>
      <c r="L239" s="103"/>
      <c r="M239" s="103"/>
      <c r="N239" s="103"/>
      <c r="O239" s="103"/>
      <c r="P239" s="103">
        <f t="shared" ref="P239:P242" si="113">E239+J239</f>
        <v>1527346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  <c r="TF239" s="23"/>
      <c r="TG239" s="23"/>
    </row>
    <row r="240" spans="1:527" s="24" customFormat="1" ht="110.25" hidden="1" customHeight="1" x14ac:dyDescent="0.25">
      <c r="A240" s="88"/>
      <c r="B240" s="115"/>
      <c r="C240" s="115"/>
      <c r="D240" s="91" t="s">
        <v>399</v>
      </c>
      <c r="E240" s="105">
        <f t="shared" si="111"/>
        <v>0</v>
      </c>
      <c r="F240" s="105"/>
      <c r="G240" s="105"/>
      <c r="H240" s="105"/>
      <c r="I240" s="105"/>
      <c r="J240" s="105">
        <f t="shared" si="112"/>
        <v>0</v>
      </c>
      <c r="K240" s="105"/>
      <c r="L240" s="105"/>
      <c r="M240" s="105"/>
      <c r="N240" s="105"/>
      <c r="O240" s="105"/>
      <c r="P240" s="105">
        <f t="shared" si="113"/>
        <v>0</v>
      </c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  <c r="ID240" s="30"/>
      <c r="IE240" s="30"/>
      <c r="IF240" s="30"/>
      <c r="IG240" s="30"/>
      <c r="IH240" s="30"/>
      <c r="II240" s="30"/>
      <c r="IJ240" s="30"/>
      <c r="IK240" s="30"/>
      <c r="IL240" s="30"/>
      <c r="IM240" s="30"/>
      <c r="IN240" s="30"/>
      <c r="IO240" s="30"/>
      <c r="IP240" s="30"/>
      <c r="IQ240" s="30"/>
      <c r="IR240" s="30"/>
      <c r="IS240" s="30"/>
      <c r="IT240" s="30"/>
      <c r="IU240" s="30"/>
      <c r="IV240" s="30"/>
      <c r="IW240" s="30"/>
      <c r="IX240" s="30"/>
      <c r="IY240" s="30"/>
      <c r="IZ240" s="30"/>
      <c r="JA240" s="30"/>
      <c r="JB240" s="30"/>
      <c r="JC240" s="30"/>
      <c r="JD240" s="30"/>
      <c r="JE240" s="30"/>
      <c r="JF240" s="30"/>
      <c r="JG240" s="30"/>
      <c r="JH240" s="30"/>
      <c r="JI240" s="30"/>
      <c r="JJ240" s="30"/>
      <c r="JK240" s="30"/>
      <c r="JL240" s="30"/>
      <c r="JM240" s="30"/>
      <c r="JN240" s="30"/>
      <c r="JO240" s="30"/>
      <c r="JP240" s="30"/>
      <c r="JQ240" s="30"/>
      <c r="JR240" s="30"/>
      <c r="JS240" s="30"/>
      <c r="JT240" s="30"/>
      <c r="JU240" s="30"/>
      <c r="JV240" s="30"/>
      <c r="JW240" s="30"/>
      <c r="JX240" s="30"/>
      <c r="JY240" s="30"/>
      <c r="JZ240" s="30"/>
      <c r="KA240" s="30"/>
      <c r="KB240" s="30"/>
      <c r="KC240" s="30"/>
      <c r="KD240" s="30"/>
      <c r="KE240" s="30"/>
      <c r="KF240" s="30"/>
      <c r="KG240" s="30"/>
      <c r="KH240" s="30"/>
      <c r="KI240" s="30"/>
      <c r="KJ240" s="30"/>
      <c r="KK240" s="30"/>
      <c r="KL240" s="30"/>
      <c r="KM240" s="30"/>
      <c r="KN240" s="30"/>
      <c r="KO240" s="30"/>
      <c r="KP240" s="30"/>
      <c r="KQ240" s="30"/>
      <c r="KR240" s="30"/>
      <c r="KS240" s="30"/>
      <c r="KT240" s="30"/>
      <c r="KU240" s="30"/>
      <c r="KV240" s="30"/>
      <c r="KW240" s="30"/>
      <c r="KX240" s="30"/>
      <c r="KY240" s="30"/>
      <c r="KZ240" s="30"/>
      <c r="LA240" s="30"/>
      <c r="LB240" s="30"/>
      <c r="LC240" s="30"/>
      <c r="LD240" s="30"/>
      <c r="LE240" s="30"/>
      <c r="LF240" s="30"/>
      <c r="LG240" s="30"/>
      <c r="LH240" s="30"/>
      <c r="LI240" s="30"/>
      <c r="LJ240" s="30"/>
      <c r="LK240" s="30"/>
      <c r="LL240" s="30"/>
      <c r="LM240" s="30"/>
      <c r="LN240" s="30"/>
      <c r="LO240" s="30"/>
      <c r="LP240" s="30"/>
      <c r="LQ240" s="30"/>
      <c r="LR240" s="30"/>
      <c r="LS240" s="30"/>
      <c r="LT240" s="30"/>
      <c r="LU240" s="30"/>
      <c r="LV240" s="30"/>
      <c r="LW240" s="30"/>
      <c r="LX240" s="30"/>
      <c r="LY240" s="30"/>
      <c r="LZ240" s="30"/>
      <c r="MA240" s="30"/>
      <c r="MB240" s="30"/>
      <c r="MC240" s="30"/>
      <c r="MD240" s="30"/>
      <c r="ME240" s="30"/>
      <c r="MF240" s="30"/>
      <c r="MG240" s="30"/>
      <c r="MH240" s="30"/>
      <c r="MI240" s="30"/>
      <c r="MJ240" s="30"/>
      <c r="MK240" s="30"/>
      <c r="ML240" s="30"/>
      <c r="MM240" s="30"/>
      <c r="MN240" s="30"/>
      <c r="MO240" s="30"/>
      <c r="MP240" s="30"/>
      <c r="MQ240" s="30"/>
      <c r="MR240" s="30"/>
      <c r="MS240" s="30"/>
      <c r="MT240" s="30"/>
      <c r="MU240" s="30"/>
      <c r="MV240" s="30"/>
      <c r="MW240" s="30"/>
      <c r="MX240" s="30"/>
      <c r="MY240" s="30"/>
      <c r="MZ240" s="30"/>
      <c r="NA240" s="30"/>
      <c r="NB240" s="30"/>
      <c r="NC240" s="30"/>
      <c r="ND240" s="30"/>
      <c r="NE240" s="30"/>
      <c r="NF240" s="30"/>
      <c r="NG240" s="30"/>
      <c r="NH240" s="30"/>
      <c r="NI240" s="30"/>
      <c r="NJ240" s="30"/>
      <c r="NK240" s="30"/>
      <c r="NL240" s="30"/>
      <c r="NM240" s="30"/>
      <c r="NN240" s="30"/>
      <c r="NO240" s="30"/>
      <c r="NP240" s="30"/>
      <c r="NQ240" s="30"/>
      <c r="NR240" s="30"/>
      <c r="NS240" s="30"/>
      <c r="NT240" s="30"/>
      <c r="NU240" s="30"/>
      <c r="NV240" s="30"/>
      <c r="NW240" s="30"/>
      <c r="NX240" s="30"/>
      <c r="NY240" s="30"/>
      <c r="NZ240" s="30"/>
      <c r="OA240" s="30"/>
      <c r="OB240" s="30"/>
      <c r="OC240" s="30"/>
      <c r="OD240" s="30"/>
      <c r="OE240" s="30"/>
      <c r="OF240" s="30"/>
      <c r="OG240" s="30"/>
      <c r="OH240" s="30"/>
      <c r="OI240" s="30"/>
      <c r="OJ240" s="30"/>
      <c r="OK240" s="30"/>
      <c r="OL240" s="30"/>
      <c r="OM240" s="30"/>
      <c r="ON240" s="30"/>
      <c r="OO240" s="30"/>
      <c r="OP240" s="30"/>
      <c r="OQ240" s="30"/>
      <c r="OR240" s="30"/>
      <c r="OS240" s="30"/>
      <c r="OT240" s="30"/>
      <c r="OU240" s="30"/>
      <c r="OV240" s="30"/>
      <c r="OW240" s="30"/>
      <c r="OX240" s="30"/>
      <c r="OY240" s="30"/>
      <c r="OZ240" s="30"/>
      <c r="PA240" s="30"/>
      <c r="PB240" s="30"/>
      <c r="PC240" s="30"/>
      <c r="PD240" s="30"/>
      <c r="PE240" s="30"/>
      <c r="PF240" s="30"/>
      <c r="PG240" s="30"/>
      <c r="PH240" s="30"/>
      <c r="PI240" s="30"/>
      <c r="PJ240" s="30"/>
      <c r="PK240" s="30"/>
      <c r="PL240" s="30"/>
      <c r="PM240" s="30"/>
      <c r="PN240" s="30"/>
      <c r="PO240" s="30"/>
      <c r="PP240" s="30"/>
      <c r="PQ240" s="30"/>
      <c r="PR240" s="30"/>
      <c r="PS240" s="30"/>
      <c r="PT240" s="30"/>
      <c r="PU240" s="30"/>
      <c r="PV240" s="30"/>
      <c r="PW240" s="30"/>
      <c r="PX240" s="30"/>
      <c r="PY240" s="30"/>
      <c r="PZ240" s="30"/>
      <c r="QA240" s="30"/>
      <c r="QB240" s="30"/>
      <c r="QC240" s="30"/>
      <c r="QD240" s="30"/>
      <c r="QE240" s="30"/>
      <c r="QF240" s="30"/>
      <c r="QG240" s="30"/>
      <c r="QH240" s="30"/>
      <c r="QI240" s="30"/>
      <c r="QJ240" s="30"/>
      <c r="QK240" s="30"/>
      <c r="QL240" s="30"/>
      <c r="QM240" s="30"/>
      <c r="QN240" s="30"/>
      <c r="QO240" s="30"/>
      <c r="QP240" s="30"/>
      <c r="QQ240" s="30"/>
      <c r="QR240" s="30"/>
      <c r="QS240" s="30"/>
      <c r="QT240" s="30"/>
      <c r="QU240" s="30"/>
      <c r="QV240" s="30"/>
      <c r="QW240" s="30"/>
      <c r="QX240" s="30"/>
      <c r="QY240" s="30"/>
      <c r="QZ240" s="30"/>
      <c r="RA240" s="30"/>
      <c r="RB240" s="30"/>
      <c r="RC240" s="30"/>
      <c r="RD240" s="30"/>
      <c r="RE240" s="30"/>
      <c r="RF240" s="30"/>
      <c r="RG240" s="30"/>
      <c r="RH240" s="30"/>
      <c r="RI240" s="30"/>
      <c r="RJ240" s="30"/>
      <c r="RK240" s="30"/>
      <c r="RL240" s="30"/>
      <c r="RM240" s="30"/>
      <c r="RN240" s="30"/>
      <c r="RO240" s="30"/>
      <c r="RP240" s="30"/>
      <c r="RQ240" s="30"/>
      <c r="RR240" s="30"/>
      <c r="RS240" s="30"/>
      <c r="RT240" s="30"/>
      <c r="RU240" s="30"/>
      <c r="RV240" s="30"/>
      <c r="RW240" s="30"/>
      <c r="RX240" s="30"/>
      <c r="RY240" s="30"/>
      <c r="RZ240" s="30"/>
      <c r="SA240" s="30"/>
      <c r="SB240" s="30"/>
      <c r="SC240" s="30"/>
      <c r="SD240" s="30"/>
      <c r="SE240" s="30"/>
      <c r="SF240" s="30"/>
      <c r="SG240" s="30"/>
      <c r="SH240" s="30"/>
      <c r="SI240" s="30"/>
      <c r="SJ240" s="30"/>
      <c r="SK240" s="30"/>
      <c r="SL240" s="30"/>
      <c r="SM240" s="30"/>
      <c r="SN240" s="30"/>
      <c r="SO240" s="30"/>
      <c r="SP240" s="30"/>
      <c r="SQ240" s="30"/>
      <c r="SR240" s="30"/>
      <c r="SS240" s="30"/>
      <c r="ST240" s="30"/>
      <c r="SU240" s="30"/>
      <c r="SV240" s="30"/>
      <c r="SW240" s="30"/>
      <c r="SX240" s="30"/>
      <c r="SY240" s="30"/>
      <c r="SZ240" s="30"/>
      <c r="TA240" s="30"/>
      <c r="TB240" s="30"/>
      <c r="TC240" s="30"/>
      <c r="TD240" s="30"/>
      <c r="TE240" s="30"/>
      <c r="TF240" s="30"/>
      <c r="TG240" s="30"/>
    </row>
    <row r="241" spans="1:527" s="24" customFormat="1" ht="78.75" x14ac:dyDescent="0.25">
      <c r="A241" s="88"/>
      <c r="B241" s="115"/>
      <c r="C241" s="115"/>
      <c r="D241" s="91" t="s">
        <v>557</v>
      </c>
      <c r="E241" s="105">
        <f t="shared" si="111"/>
        <v>1527346</v>
      </c>
      <c r="F241" s="105">
        <v>1527346</v>
      </c>
      <c r="G241" s="105"/>
      <c r="H241" s="105"/>
      <c r="I241" s="105"/>
      <c r="J241" s="105">
        <f t="shared" si="112"/>
        <v>0</v>
      </c>
      <c r="K241" s="105"/>
      <c r="L241" s="105"/>
      <c r="M241" s="105"/>
      <c r="N241" s="105"/>
      <c r="O241" s="105"/>
      <c r="P241" s="105">
        <f t="shared" si="113"/>
        <v>1527346</v>
      </c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  <c r="ID241" s="30"/>
      <c r="IE241" s="30"/>
      <c r="IF241" s="30"/>
      <c r="IG241" s="30"/>
      <c r="IH241" s="30"/>
      <c r="II241" s="30"/>
      <c r="IJ241" s="30"/>
      <c r="IK241" s="30"/>
      <c r="IL241" s="30"/>
      <c r="IM241" s="30"/>
      <c r="IN241" s="30"/>
      <c r="IO241" s="30"/>
      <c r="IP241" s="30"/>
      <c r="IQ241" s="30"/>
      <c r="IR241" s="30"/>
      <c r="IS241" s="30"/>
      <c r="IT241" s="30"/>
      <c r="IU241" s="30"/>
      <c r="IV241" s="30"/>
      <c r="IW241" s="30"/>
      <c r="IX241" s="30"/>
      <c r="IY241" s="30"/>
      <c r="IZ241" s="30"/>
      <c r="JA241" s="30"/>
      <c r="JB241" s="30"/>
      <c r="JC241" s="30"/>
      <c r="JD241" s="30"/>
      <c r="JE241" s="30"/>
      <c r="JF241" s="30"/>
      <c r="JG241" s="30"/>
      <c r="JH241" s="30"/>
      <c r="JI241" s="30"/>
      <c r="JJ241" s="30"/>
      <c r="JK241" s="30"/>
      <c r="JL241" s="30"/>
      <c r="JM241" s="30"/>
      <c r="JN241" s="30"/>
      <c r="JO241" s="30"/>
      <c r="JP241" s="30"/>
      <c r="JQ241" s="30"/>
      <c r="JR241" s="30"/>
      <c r="JS241" s="30"/>
      <c r="JT241" s="30"/>
      <c r="JU241" s="30"/>
      <c r="JV241" s="30"/>
      <c r="JW241" s="30"/>
      <c r="JX241" s="30"/>
      <c r="JY241" s="30"/>
      <c r="JZ241" s="30"/>
      <c r="KA241" s="30"/>
      <c r="KB241" s="30"/>
      <c r="KC241" s="30"/>
      <c r="KD241" s="30"/>
      <c r="KE241" s="30"/>
      <c r="KF241" s="30"/>
      <c r="KG241" s="30"/>
      <c r="KH241" s="30"/>
      <c r="KI241" s="30"/>
      <c r="KJ241" s="30"/>
      <c r="KK241" s="30"/>
      <c r="KL241" s="30"/>
      <c r="KM241" s="30"/>
      <c r="KN241" s="30"/>
      <c r="KO241" s="30"/>
      <c r="KP241" s="30"/>
      <c r="KQ241" s="30"/>
      <c r="KR241" s="30"/>
      <c r="KS241" s="30"/>
      <c r="KT241" s="30"/>
      <c r="KU241" s="30"/>
      <c r="KV241" s="30"/>
      <c r="KW241" s="30"/>
      <c r="KX241" s="30"/>
      <c r="KY241" s="30"/>
      <c r="KZ241" s="30"/>
      <c r="LA241" s="30"/>
      <c r="LB241" s="30"/>
      <c r="LC241" s="30"/>
      <c r="LD241" s="30"/>
      <c r="LE241" s="30"/>
      <c r="LF241" s="30"/>
      <c r="LG241" s="30"/>
      <c r="LH241" s="30"/>
      <c r="LI241" s="30"/>
      <c r="LJ241" s="30"/>
      <c r="LK241" s="30"/>
      <c r="LL241" s="30"/>
      <c r="LM241" s="30"/>
      <c r="LN241" s="30"/>
      <c r="LO241" s="30"/>
      <c r="LP241" s="30"/>
      <c r="LQ241" s="30"/>
      <c r="LR241" s="30"/>
      <c r="LS241" s="30"/>
      <c r="LT241" s="30"/>
      <c r="LU241" s="30"/>
      <c r="LV241" s="30"/>
      <c r="LW241" s="30"/>
      <c r="LX241" s="30"/>
      <c r="LY241" s="30"/>
      <c r="LZ241" s="30"/>
      <c r="MA241" s="30"/>
      <c r="MB241" s="30"/>
      <c r="MC241" s="30"/>
      <c r="MD241" s="30"/>
      <c r="ME241" s="30"/>
      <c r="MF241" s="30"/>
      <c r="MG241" s="30"/>
      <c r="MH241" s="30"/>
      <c r="MI241" s="30"/>
      <c r="MJ241" s="30"/>
      <c r="MK241" s="30"/>
      <c r="ML241" s="30"/>
      <c r="MM241" s="30"/>
      <c r="MN241" s="30"/>
      <c r="MO241" s="30"/>
      <c r="MP241" s="30"/>
      <c r="MQ241" s="30"/>
      <c r="MR241" s="30"/>
      <c r="MS241" s="30"/>
      <c r="MT241" s="30"/>
      <c r="MU241" s="30"/>
      <c r="MV241" s="30"/>
      <c r="MW241" s="30"/>
      <c r="MX241" s="30"/>
      <c r="MY241" s="30"/>
      <c r="MZ241" s="30"/>
      <c r="NA241" s="30"/>
      <c r="NB241" s="30"/>
      <c r="NC241" s="30"/>
      <c r="ND241" s="30"/>
      <c r="NE241" s="30"/>
      <c r="NF241" s="30"/>
      <c r="NG241" s="30"/>
      <c r="NH241" s="30"/>
      <c r="NI241" s="30"/>
      <c r="NJ241" s="30"/>
      <c r="NK241" s="30"/>
      <c r="NL241" s="30"/>
      <c r="NM241" s="30"/>
      <c r="NN241" s="30"/>
      <c r="NO241" s="30"/>
      <c r="NP241" s="30"/>
      <c r="NQ241" s="30"/>
      <c r="NR241" s="30"/>
      <c r="NS241" s="30"/>
      <c r="NT241" s="30"/>
      <c r="NU241" s="30"/>
      <c r="NV241" s="30"/>
      <c r="NW241" s="30"/>
      <c r="NX241" s="30"/>
      <c r="NY241" s="30"/>
      <c r="NZ241" s="30"/>
      <c r="OA241" s="30"/>
      <c r="OB241" s="30"/>
      <c r="OC241" s="30"/>
      <c r="OD241" s="30"/>
      <c r="OE241" s="30"/>
      <c r="OF241" s="30"/>
      <c r="OG241" s="30"/>
      <c r="OH241" s="30"/>
      <c r="OI241" s="30"/>
      <c r="OJ241" s="30"/>
      <c r="OK241" s="30"/>
      <c r="OL241" s="30"/>
      <c r="OM241" s="30"/>
      <c r="ON241" s="30"/>
      <c r="OO241" s="30"/>
      <c r="OP241" s="30"/>
      <c r="OQ241" s="30"/>
      <c r="OR241" s="30"/>
      <c r="OS241" s="30"/>
      <c r="OT241" s="30"/>
      <c r="OU241" s="30"/>
      <c r="OV241" s="30"/>
      <c r="OW241" s="30"/>
      <c r="OX241" s="30"/>
      <c r="OY241" s="30"/>
      <c r="OZ241" s="30"/>
      <c r="PA241" s="30"/>
      <c r="PB241" s="30"/>
      <c r="PC241" s="30"/>
      <c r="PD241" s="30"/>
      <c r="PE241" s="30"/>
      <c r="PF241" s="30"/>
      <c r="PG241" s="30"/>
      <c r="PH241" s="30"/>
      <c r="PI241" s="30"/>
      <c r="PJ241" s="30"/>
      <c r="PK241" s="30"/>
      <c r="PL241" s="30"/>
      <c r="PM241" s="30"/>
      <c r="PN241" s="30"/>
      <c r="PO241" s="30"/>
      <c r="PP241" s="30"/>
      <c r="PQ241" s="30"/>
      <c r="PR241" s="30"/>
      <c r="PS241" s="30"/>
      <c r="PT241" s="30"/>
      <c r="PU241" s="30"/>
      <c r="PV241" s="30"/>
      <c r="PW241" s="30"/>
      <c r="PX241" s="30"/>
      <c r="PY241" s="30"/>
      <c r="PZ241" s="30"/>
      <c r="QA241" s="30"/>
      <c r="QB241" s="30"/>
      <c r="QC241" s="30"/>
      <c r="QD241" s="30"/>
      <c r="QE241" s="30"/>
      <c r="QF241" s="30"/>
      <c r="QG241" s="30"/>
      <c r="QH241" s="30"/>
      <c r="QI241" s="30"/>
      <c r="QJ241" s="30"/>
      <c r="QK241" s="30"/>
      <c r="QL241" s="30"/>
      <c r="QM241" s="30"/>
      <c r="QN241" s="30"/>
      <c r="QO241" s="30"/>
      <c r="QP241" s="30"/>
      <c r="QQ241" s="30"/>
      <c r="QR241" s="30"/>
      <c r="QS241" s="30"/>
      <c r="QT241" s="30"/>
      <c r="QU241" s="30"/>
      <c r="QV241" s="30"/>
      <c r="QW241" s="30"/>
      <c r="QX241" s="30"/>
      <c r="QY241" s="30"/>
      <c r="QZ241" s="30"/>
      <c r="RA241" s="30"/>
      <c r="RB241" s="30"/>
      <c r="RC241" s="30"/>
      <c r="RD241" s="30"/>
      <c r="RE241" s="30"/>
      <c r="RF241" s="30"/>
      <c r="RG241" s="30"/>
      <c r="RH241" s="30"/>
      <c r="RI241" s="30"/>
      <c r="RJ241" s="30"/>
      <c r="RK241" s="30"/>
      <c r="RL241" s="30"/>
      <c r="RM241" s="30"/>
      <c r="RN241" s="30"/>
      <c r="RO241" s="30"/>
      <c r="RP241" s="30"/>
      <c r="RQ241" s="30"/>
      <c r="RR241" s="30"/>
      <c r="RS241" s="30"/>
      <c r="RT241" s="30"/>
      <c r="RU241" s="30"/>
      <c r="RV241" s="30"/>
      <c r="RW241" s="30"/>
      <c r="RX241" s="30"/>
      <c r="RY241" s="30"/>
      <c r="RZ241" s="30"/>
      <c r="SA241" s="30"/>
      <c r="SB241" s="30"/>
      <c r="SC241" s="30"/>
      <c r="SD241" s="30"/>
      <c r="SE241" s="30"/>
      <c r="SF241" s="30"/>
      <c r="SG241" s="30"/>
      <c r="SH241" s="30"/>
      <c r="SI241" s="30"/>
      <c r="SJ241" s="30"/>
      <c r="SK241" s="30"/>
      <c r="SL241" s="30"/>
      <c r="SM241" s="30"/>
      <c r="SN241" s="30"/>
      <c r="SO241" s="30"/>
      <c r="SP241" s="30"/>
      <c r="SQ241" s="30"/>
      <c r="SR241" s="30"/>
      <c r="SS241" s="30"/>
      <c r="ST241" s="30"/>
      <c r="SU241" s="30"/>
      <c r="SV241" s="30"/>
      <c r="SW241" s="30"/>
      <c r="SX241" s="30"/>
      <c r="SY241" s="30"/>
      <c r="SZ241" s="30"/>
      <c r="TA241" s="30"/>
      <c r="TB241" s="30"/>
      <c r="TC241" s="30"/>
      <c r="TD241" s="30"/>
      <c r="TE241" s="30"/>
      <c r="TF241" s="30"/>
      <c r="TG241" s="30"/>
    </row>
    <row r="242" spans="1:527" s="24" customFormat="1" ht="31.5" hidden="1" customHeight="1" x14ac:dyDescent="0.25">
      <c r="A242" s="60" t="s">
        <v>431</v>
      </c>
      <c r="B242" s="97">
        <v>7530</v>
      </c>
      <c r="C242" s="60" t="s">
        <v>238</v>
      </c>
      <c r="D242" s="98" t="s">
        <v>236</v>
      </c>
      <c r="E242" s="103">
        <f t="shared" si="111"/>
        <v>0</v>
      </c>
      <c r="F242" s="103"/>
      <c r="G242" s="105"/>
      <c r="H242" s="105"/>
      <c r="I242" s="105"/>
      <c r="J242" s="103">
        <f t="shared" si="112"/>
        <v>0</v>
      </c>
      <c r="K242" s="103"/>
      <c r="L242" s="103"/>
      <c r="M242" s="103"/>
      <c r="N242" s="103"/>
      <c r="O242" s="103"/>
      <c r="P242" s="103">
        <f t="shared" si="113"/>
        <v>0</v>
      </c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  <c r="ID242" s="30"/>
      <c r="IE242" s="30"/>
      <c r="IF242" s="30"/>
      <c r="IG242" s="30"/>
      <c r="IH242" s="30"/>
      <c r="II242" s="30"/>
      <c r="IJ242" s="30"/>
      <c r="IK242" s="30"/>
      <c r="IL242" s="30"/>
      <c r="IM242" s="30"/>
      <c r="IN242" s="30"/>
      <c r="IO242" s="30"/>
      <c r="IP242" s="30"/>
      <c r="IQ242" s="30"/>
      <c r="IR242" s="30"/>
      <c r="IS242" s="30"/>
      <c r="IT242" s="30"/>
      <c r="IU242" s="30"/>
      <c r="IV242" s="30"/>
      <c r="IW242" s="30"/>
      <c r="IX242" s="30"/>
      <c r="IY242" s="30"/>
      <c r="IZ242" s="30"/>
      <c r="JA242" s="30"/>
      <c r="JB242" s="30"/>
      <c r="JC242" s="30"/>
      <c r="JD242" s="30"/>
      <c r="JE242" s="30"/>
      <c r="JF242" s="30"/>
      <c r="JG242" s="30"/>
      <c r="JH242" s="30"/>
      <c r="JI242" s="30"/>
      <c r="JJ242" s="30"/>
      <c r="JK242" s="30"/>
      <c r="JL242" s="30"/>
      <c r="JM242" s="30"/>
      <c r="JN242" s="30"/>
      <c r="JO242" s="30"/>
      <c r="JP242" s="30"/>
      <c r="JQ242" s="30"/>
      <c r="JR242" s="30"/>
      <c r="JS242" s="30"/>
      <c r="JT242" s="30"/>
      <c r="JU242" s="30"/>
      <c r="JV242" s="30"/>
      <c r="JW242" s="30"/>
      <c r="JX242" s="30"/>
      <c r="JY242" s="30"/>
      <c r="JZ242" s="30"/>
      <c r="KA242" s="30"/>
      <c r="KB242" s="30"/>
      <c r="KC242" s="30"/>
      <c r="KD242" s="30"/>
      <c r="KE242" s="30"/>
      <c r="KF242" s="30"/>
      <c r="KG242" s="30"/>
      <c r="KH242" s="30"/>
      <c r="KI242" s="30"/>
      <c r="KJ242" s="30"/>
      <c r="KK242" s="30"/>
      <c r="KL242" s="30"/>
      <c r="KM242" s="30"/>
      <c r="KN242" s="30"/>
      <c r="KO242" s="30"/>
      <c r="KP242" s="30"/>
      <c r="KQ242" s="30"/>
      <c r="KR242" s="30"/>
      <c r="KS242" s="30"/>
      <c r="KT242" s="30"/>
      <c r="KU242" s="30"/>
      <c r="KV242" s="30"/>
      <c r="KW242" s="30"/>
      <c r="KX242" s="30"/>
      <c r="KY242" s="30"/>
      <c r="KZ242" s="30"/>
      <c r="LA242" s="30"/>
      <c r="LB242" s="30"/>
      <c r="LC242" s="30"/>
      <c r="LD242" s="30"/>
      <c r="LE242" s="30"/>
      <c r="LF242" s="30"/>
      <c r="LG242" s="30"/>
      <c r="LH242" s="30"/>
      <c r="LI242" s="30"/>
      <c r="LJ242" s="30"/>
      <c r="LK242" s="30"/>
      <c r="LL242" s="30"/>
      <c r="LM242" s="30"/>
      <c r="LN242" s="30"/>
      <c r="LO242" s="30"/>
      <c r="LP242" s="30"/>
      <c r="LQ242" s="30"/>
      <c r="LR242" s="30"/>
      <c r="LS242" s="30"/>
      <c r="LT242" s="30"/>
      <c r="LU242" s="30"/>
      <c r="LV242" s="30"/>
      <c r="LW242" s="30"/>
      <c r="LX242" s="30"/>
      <c r="LY242" s="30"/>
      <c r="LZ242" s="30"/>
      <c r="MA242" s="30"/>
      <c r="MB242" s="30"/>
      <c r="MC242" s="30"/>
      <c r="MD242" s="30"/>
      <c r="ME242" s="30"/>
      <c r="MF242" s="30"/>
      <c r="MG242" s="30"/>
      <c r="MH242" s="30"/>
      <c r="MI242" s="30"/>
      <c r="MJ242" s="30"/>
      <c r="MK242" s="30"/>
      <c r="ML242" s="30"/>
      <c r="MM242" s="30"/>
      <c r="MN242" s="30"/>
      <c r="MO242" s="30"/>
      <c r="MP242" s="30"/>
      <c r="MQ242" s="30"/>
      <c r="MR242" s="30"/>
      <c r="MS242" s="30"/>
      <c r="MT242" s="30"/>
      <c r="MU242" s="30"/>
      <c r="MV242" s="30"/>
      <c r="MW242" s="30"/>
      <c r="MX242" s="30"/>
      <c r="MY242" s="30"/>
      <c r="MZ242" s="30"/>
      <c r="NA242" s="30"/>
      <c r="NB242" s="30"/>
      <c r="NC242" s="30"/>
      <c r="ND242" s="30"/>
      <c r="NE242" s="30"/>
      <c r="NF242" s="30"/>
      <c r="NG242" s="30"/>
      <c r="NH242" s="30"/>
      <c r="NI242" s="30"/>
      <c r="NJ242" s="30"/>
      <c r="NK242" s="30"/>
      <c r="NL242" s="30"/>
      <c r="NM242" s="30"/>
      <c r="NN242" s="30"/>
      <c r="NO242" s="30"/>
      <c r="NP242" s="30"/>
      <c r="NQ242" s="30"/>
      <c r="NR242" s="30"/>
      <c r="NS242" s="30"/>
      <c r="NT242" s="30"/>
      <c r="NU242" s="30"/>
      <c r="NV242" s="30"/>
      <c r="NW242" s="30"/>
      <c r="NX242" s="30"/>
      <c r="NY242" s="30"/>
      <c r="NZ242" s="30"/>
      <c r="OA242" s="30"/>
      <c r="OB242" s="30"/>
      <c r="OC242" s="30"/>
      <c r="OD242" s="30"/>
      <c r="OE242" s="30"/>
      <c r="OF242" s="30"/>
      <c r="OG242" s="30"/>
      <c r="OH242" s="30"/>
      <c r="OI242" s="30"/>
      <c r="OJ242" s="30"/>
      <c r="OK242" s="30"/>
      <c r="OL242" s="30"/>
      <c r="OM242" s="30"/>
      <c r="ON242" s="30"/>
      <c r="OO242" s="30"/>
      <c r="OP242" s="30"/>
      <c r="OQ242" s="30"/>
      <c r="OR242" s="30"/>
      <c r="OS242" s="30"/>
      <c r="OT242" s="30"/>
      <c r="OU242" s="30"/>
      <c r="OV242" s="30"/>
      <c r="OW242" s="30"/>
      <c r="OX242" s="30"/>
      <c r="OY242" s="30"/>
      <c r="OZ242" s="30"/>
      <c r="PA242" s="30"/>
      <c r="PB242" s="30"/>
      <c r="PC242" s="30"/>
      <c r="PD242" s="30"/>
      <c r="PE242" s="30"/>
      <c r="PF242" s="30"/>
      <c r="PG242" s="30"/>
      <c r="PH242" s="30"/>
      <c r="PI242" s="30"/>
      <c r="PJ242" s="30"/>
      <c r="PK242" s="30"/>
      <c r="PL242" s="30"/>
      <c r="PM242" s="30"/>
      <c r="PN242" s="30"/>
      <c r="PO242" s="30"/>
      <c r="PP242" s="30"/>
      <c r="PQ242" s="30"/>
      <c r="PR242" s="30"/>
      <c r="PS242" s="30"/>
      <c r="PT242" s="30"/>
      <c r="PU242" s="30"/>
      <c r="PV242" s="30"/>
      <c r="PW242" s="30"/>
      <c r="PX242" s="30"/>
      <c r="PY242" s="30"/>
      <c r="PZ242" s="30"/>
      <c r="QA242" s="30"/>
      <c r="QB242" s="30"/>
      <c r="QC242" s="30"/>
      <c r="QD242" s="30"/>
      <c r="QE242" s="30"/>
      <c r="QF242" s="30"/>
      <c r="QG242" s="30"/>
      <c r="QH242" s="30"/>
      <c r="QI242" s="30"/>
      <c r="QJ242" s="30"/>
      <c r="QK242" s="30"/>
      <c r="QL242" s="30"/>
      <c r="QM242" s="30"/>
      <c r="QN242" s="30"/>
      <c r="QO242" s="30"/>
      <c r="QP242" s="30"/>
      <c r="QQ242" s="30"/>
      <c r="QR242" s="30"/>
      <c r="QS242" s="30"/>
      <c r="QT242" s="30"/>
      <c r="QU242" s="30"/>
      <c r="QV242" s="30"/>
      <c r="QW242" s="30"/>
      <c r="QX242" s="30"/>
      <c r="QY242" s="30"/>
      <c r="QZ242" s="30"/>
      <c r="RA242" s="30"/>
      <c r="RB242" s="30"/>
      <c r="RC242" s="30"/>
      <c r="RD242" s="30"/>
      <c r="RE242" s="30"/>
      <c r="RF242" s="30"/>
      <c r="RG242" s="30"/>
      <c r="RH242" s="30"/>
      <c r="RI242" s="30"/>
      <c r="RJ242" s="30"/>
      <c r="RK242" s="30"/>
      <c r="RL242" s="30"/>
      <c r="RM242" s="30"/>
      <c r="RN242" s="30"/>
      <c r="RO242" s="30"/>
      <c r="RP242" s="30"/>
      <c r="RQ242" s="30"/>
      <c r="RR242" s="30"/>
      <c r="RS242" s="30"/>
      <c r="RT242" s="30"/>
      <c r="RU242" s="30"/>
      <c r="RV242" s="30"/>
      <c r="RW242" s="30"/>
      <c r="RX242" s="30"/>
      <c r="RY242" s="30"/>
      <c r="RZ242" s="30"/>
      <c r="SA242" s="30"/>
      <c r="SB242" s="30"/>
      <c r="SC242" s="30"/>
      <c r="SD242" s="30"/>
      <c r="SE242" s="30"/>
      <c r="SF242" s="30"/>
      <c r="SG242" s="30"/>
      <c r="SH242" s="30"/>
      <c r="SI242" s="30"/>
      <c r="SJ242" s="30"/>
      <c r="SK242" s="30"/>
      <c r="SL242" s="30"/>
      <c r="SM242" s="30"/>
      <c r="SN242" s="30"/>
      <c r="SO242" s="30"/>
      <c r="SP242" s="30"/>
      <c r="SQ242" s="30"/>
      <c r="SR242" s="30"/>
      <c r="SS242" s="30"/>
      <c r="ST242" s="30"/>
      <c r="SU242" s="30"/>
      <c r="SV242" s="30"/>
      <c r="SW242" s="30"/>
      <c r="SX242" s="30"/>
      <c r="SY242" s="30"/>
      <c r="SZ242" s="30"/>
      <c r="TA242" s="30"/>
      <c r="TB242" s="30"/>
      <c r="TC242" s="30"/>
      <c r="TD242" s="30"/>
      <c r="TE242" s="30"/>
      <c r="TF242" s="30"/>
      <c r="TG242" s="30"/>
    </row>
    <row r="243" spans="1:527" s="22" customFormat="1" ht="20.25" customHeight="1" x14ac:dyDescent="0.25">
      <c r="A243" s="60" t="s">
        <v>204</v>
      </c>
      <c r="B243" s="97" t="str">
        <f>'дод 8'!A202</f>
        <v>7640</v>
      </c>
      <c r="C243" s="97" t="str">
        <f>'дод 8'!B202</f>
        <v>0470</v>
      </c>
      <c r="D243" s="61" t="s">
        <v>424</v>
      </c>
      <c r="E243" s="103">
        <f t="shared" si="105"/>
        <v>2700000</v>
      </c>
      <c r="F243" s="103">
        <v>700000</v>
      </c>
      <c r="G243" s="103"/>
      <c r="H243" s="103"/>
      <c r="I243" s="103">
        <f>1500000+500000</f>
        <v>2000000</v>
      </c>
      <c r="J243" s="103">
        <f t="shared" si="107"/>
        <v>0</v>
      </c>
      <c r="K243" s="103"/>
      <c r="L243" s="103"/>
      <c r="M243" s="103"/>
      <c r="N243" s="103"/>
      <c r="O243" s="103"/>
      <c r="P243" s="103">
        <f t="shared" si="106"/>
        <v>2700000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</row>
    <row r="244" spans="1:527" s="22" customFormat="1" ht="30" customHeight="1" x14ac:dyDescent="0.25">
      <c r="A244" s="60" t="s">
        <v>333</v>
      </c>
      <c r="B244" s="97" t="str">
        <f>'дод 8'!A206</f>
        <v>7670</v>
      </c>
      <c r="C244" s="97" t="str">
        <f>'дод 8'!B206</f>
        <v>0490</v>
      </c>
      <c r="D244" s="61" t="str">
        <f>'дод 8'!C206</f>
        <v>Внески до статутного капіталу суб’єктів господарювання, у т. ч. за рахунок:</v>
      </c>
      <c r="E244" s="103">
        <f t="shared" si="105"/>
        <v>0</v>
      </c>
      <c r="F244" s="103"/>
      <c r="G244" s="103"/>
      <c r="H244" s="103"/>
      <c r="I244" s="103"/>
      <c r="J244" s="103">
        <f t="shared" si="107"/>
        <v>26790000</v>
      </c>
      <c r="K244" s="103">
        <f>46790000-20000000</f>
        <v>26790000</v>
      </c>
      <c r="L244" s="103"/>
      <c r="M244" s="103"/>
      <c r="N244" s="103"/>
      <c r="O244" s="103">
        <f>46790000-20000000</f>
        <v>26790000</v>
      </c>
      <c r="P244" s="103">
        <f t="shared" si="106"/>
        <v>26790000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</row>
    <row r="245" spans="1:527" s="24" customFormat="1" ht="18.75" customHeight="1" x14ac:dyDescent="0.25">
      <c r="A245" s="88"/>
      <c r="B245" s="115"/>
      <c r="C245" s="115"/>
      <c r="D245" s="89" t="s">
        <v>421</v>
      </c>
      <c r="E245" s="105">
        <f t="shared" si="105"/>
        <v>0</v>
      </c>
      <c r="F245" s="105"/>
      <c r="G245" s="105"/>
      <c r="H245" s="105"/>
      <c r="I245" s="105"/>
      <c r="J245" s="105">
        <f t="shared" si="107"/>
        <v>26250000</v>
      </c>
      <c r="K245" s="105">
        <v>26250000</v>
      </c>
      <c r="L245" s="105"/>
      <c r="M245" s="105"/>
      <c r="N245" s="105"/>
      <c r="O245" s="105">
        <v>26250000</v>
      </c>
      <c r="P245" s="105">
        <f t="shared" si="106"/>
        <v>26250000</v>
      </c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  <c r="SO245" s="30"/>
      <c r="SP245" s="30"/>
      <c r="SQ245" s="30"/>
      <c r="SR245" s="30"/>
      <c r="SS245" s="30"/>
      <c r="ST245" s="30"/>
      <c r="SU245" s="30"/>
      <c r="SV245" s="30"/>
      <c r="SW245" s="30"/>
      <c r="SX245" s="30"/>
      <c r="SY245" s="30"/>
      <c r="SZ245" s="30"/>
      <c r="TA245" s="30"/>
      <c r="TB245" s="30"/>
      <c r="TC245" s="30"/>
      <c r="TD245" s="30"/>
      <c r="TE245" s="30"/>
      <c r="TF245" s="30"/>
      <c r="TG245" s="30"/>
    </row>
    <row r="246" spans="1:527" s="22" customFormat="1" ht="126" x14ac:dyDescent="0.25">
      <c r="A246" s="107" t="s">
        <v>302</v>
      </c>
      <c r="B246" s="42">
        <v>7691</v>
      </c>
      <c r="C246" s="42" t="s">
        <v>84</v>
      </c>
      <c r="D246" s="36" t="str">
        <f>'дод 8'!C209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6" s="103">
        <f t="shared" si="105"/>
        <v>0</v>
      </c>
      <c r="F246" s="103"/>
      <c r="G246" s="103"/>
      <c r="H246" s="103"/>
      <c r="I246" s="103"/>
      <c r="J246" s="103">
        <f t="shared" si="107"/>
        <v>2205686.5699999998</v>
      </c>
      <c r="K246" s="103"/>
      <c r="L246" s="103">
        <f>169598+128488.57</f>
        <v>298086.57</v>
      </c>
      <c r="M246" s="103"/>
      <c r="N246" s="103"/>
      <c r="O246" s="103">
        <f>1900000+7600</f>
        <v>1907600</v>
      </c>
      <c r="P246" s="103">
        <f t="shared" si="106"/>
        <v>2205686.5699999998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</row>
    <row r="247" spans="1:527" s="22" customFormat="1" ht="31.5" x14ac:dyDescent="0.25">
      <c r="A247" s="107" t="s">
        <v>382</v>
      </c>
      <c r="B247" s="42" t="str">
        <f>'дод 8'!A217</f>
        <v>8110</v>
      </c>
      <c r="C247" s="42" t="str">
        <f>'дод 8'!B217</f>
        <v>0320</v>
      </c>
      <c r="D247" s="108" t="str">
        <f>'дод 8'!C217</f>
        <v>Заходи із запобігання та ліквідації надзвичайних ситуацій та наслідків стихійного лиха</v>
      </c>
      <c r="E247" s="103">
        <f t="shared" ref="E247" si="114">F247+I247</f>
        <v>677493.87</v>
      </c>
      <c r="F247" s="103">
        <v>677493.87</v>
      </c>
      <c r="G247" s="103"/>
      <c r="H247" s="103"/>
      <c r="I247" s="103"/>
      <c r="J247" s="103">
        <f t="shared" ref="J247" si="115">L247+O247</f>
        <v>0</v>
      </c>
      <c r="K247" s="103"/>
      <c r="L247" s="103"/>
      <c r="M247" s="103"/>
      <c r="N247" s="103"/>
      <c r="O247" s="103"/>
      <c r="P247" s="103">
        <f t="shared" ref="P247" si="116">E247+J247</f>
        <v>677493.87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</row>
    <row r="248" spans="1:527" s="22" customFormat="1" ht="15.75" hidden="1" customHeight="1" x14ac:dyDescent="0.25">
      <c r="A248" s="107" t="s">
        <v>381</v>
      </c>
      <c r="B248" s="42" t="str">
        <f>'дод 8'!A221</f>
        <v>8230</v>
      </c>
      <c r="C248" s="42" t="str">
        <f>'дод 8'!B221</f>
        <v>0380</v>
      </c>
      <c r="D248" s="108" t="str">
        <f>'дод 8'!C221</f>
        <v>Інші заходи громадського порядку та безпеки</v>
      </c>
      <c r="E248" s="103">
        <f t="shared" ref="E248" si="117">F248+I248</f>
        <v>0</v>
      </c>
      <c r="F248" s="103"/>
      <c r="G248" s="103"/>
      <c r="H248" s="103"/>
      <c r="I248" s="103"/>
      <c r="J248" s="103">
        <f t="shared" ref="J248" si="118">L248+O248</f>
        <v>0</v>
      </c>
      <c r="K248" s="103"/>
      <c r="L248" s="103"/>
      <c r="M248" s="103"/>
      <c r="N248" s="103"/>
      <c r="O248" s="103"/>
      <c r="P248" s="103">
        <f t="shared" ref="P248" si="119">E248+J248</f>
        <v>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</row>
    <row r="249" spans="1:527" s="22" customFormat="1" ht="35.25" customHeight="1" x14ac:dyDescent="0.25">
      <c r="A249" s="60" t="s">
        <v>205</v>
      </c>
      <c r="B249" s="97" t="str">
        <f>'дод 8'!A224</f>
        <v>8340</v>
      </c>
      <c r="C249" s="97" t="str">
        <f>'дод 8'!B224</f>
        <v>0540</v>
      </c>
      <c r="D249" s="61" t="str">
        <f>'дод 8'!C224</f>
        <v>Природоохоронні заходи за рахунок цільових фондів</v>
      </c>
      <c r="E249" s="103">
        <f t="shared" si="105"/>
        <v>0</v>
      </c>
      <c r="F249" s="103"/>
      <c r="G249" s="103"/>
      <c r="H249" s="103"/>
      <c r="I249" s="103"/>
      <c r="J249" s="103">
        <f t="shared" si="107"/>
        <v>2928000</v>
      </c>
      <c r="K249" s="103"/>
      <c r="L249" s="103">
        <f>1442000+186000</f>
        <v>1628000</v>
      </c>
      <c r="M249" s="103"/>
      <c r="N249" s="103"/>
      <c r="O249" s="103">
        <v>1300000</v>
      </c>
      <c r="P249" s="103">
        <f t="shared" si="106"/>
        <v>2928000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</row>
    <row r="250" spans="1:527" s="22" customFormat="1" ht="78.75" x14ac:dyDescent="0.25">
      <c r="A250" s="60" t="s">
        <v>594</v>
      </c>
      <c r="B250" s="97">
        <v>9730</v>
      </c>
      <c r="C250" s="60" t="s">
        <v>46</v>
      </c>
      <c r="D250" s="61" t="s">
        <v>595</v>
      </c>
      <c r="E250" s="103">
        <f t="shared" si="105"/>
        <v>25000000</v>
      </c>
      <c r="F250" s="103">
        <v>25000000</v>
      </c>
      <c r="G250" s="103"/>
      <c r="H250" s="103"/>
      <c r="I250" s="103"/>
      <c r="J250" s="103">
        <f t="shared" si="107"/>
        <v>0</v>
      </c>
      <c r="K250" s="103"/>
      <c r="L250" s="103"/>
      <c r="M250" s="103"/>
      <c r="N250" s="103"/>
      <c r="O250" s="103"/>
      <c r="P250" s="103">
        <f t="shared" si="106"/>
        <v>25000000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</row>
    <row r="251" spans="1:527" s="22" customFormat="1" ht="20.25" customHeight="1" x14ac:dyDescent="0.25">
      <c r="A251" s="60" t="s">
        <v>206</v>
      </c>
      <c r="B251" s="97" t="str">
        <f>'дод 8'!A240</f>
        <v>9770</v>
      </c>
      <c r="C251" s="97" t="str">
        <f>'дод 8'!B240</f>
        <v>0180</v>
      </c>
      <c r="D251" s="61" t="str">
        <f>'дод 8'!C240</f>
        <v>Інші субвенції з місцевого бюджету</v>
      </c>
      <c r="E251" s="103">
        <f t="shared" si="105"/>
        <v>8550000</v>
      </c>
      <c r="F251" s="103">
        <f>4000000+4550000</f>
        <v>8550000</v>
      </c>
      <c r="G251" s="103"/>
      <c r="H251" s="103"/>
      <c r="I251" s="103"/>
      <c r="J251" s="103">
        <f t="shared" si="107"/>
        <v>6450000</v>
      </c>
      <c r="K251" s="103">
        <f>7000000-4000000+3450000</f>
        <v>6450000</v>
      </c>
      <c r="L251" s="103"/>
      <c r="M251" s="103"/>
      <c r="N251" s="103"/>
      <c r="O251" s="103">
        <f>7000000-4000000+3450000</f>
        <v>6450000</v>
      </c>
      <c r="P251" s="103">
        <f t="shared" si="106"/>
        <v>15000000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</row>
    <row r="252" spans="1:527" s="27" customFormat="1" ht="33.75" customHeight="1" x14ac:dyDescent="0.25">
      <c r="A252" s="114" t="s">
        <v>28</v>
      </c>
      <c r="B252" s="116"/>
      <c r="C252" s="116"/>
      <c r="D252" s="111" t="s">
        <v>35</v>
      </c>
      <c r="E252" s="99">
        <f>E253</f>
        <v>6412819</v>
      </c>
      <c r="F252" s="99">
        <f t="shared" ref="F252:J253" si="120">F253</f>
        <v>6412819</v>
      </c>
      <c r="G252" s="99">
        <f t="shared" si="120"/>
        <v>5019800</v>
      </c>
      <c r="H252" s="99">
        <f t="shared" si="120"/>
        <v>102319</v>
      </c>
      <c r="I252" s="99">
        <f t="shared" si="120"/>
        <v>0</v>
      </c>
      <c r="J252" s="99">
        <f t="shared" si="120"/>
        <v>0</v>
      </c>
      <c r="K252" s="99">
        <f t="shared" ref="K252:K253" si="121">K253</f>
        <v>0</v>
      </c>
      <c r="L252" s="99">
        <f t="shared" ref="L252:L253" si="122">L253</f>
        <v>0</v>
      </c>
      <c r="M252" s="99">
        <f t="shared" ref="M252:M253" si="123">M253</f>
        <v>0</v>
      </c>
      <c r="N252" s="99">
        <f t="shared" ref="N252:N253" si="124">N253</f>
        <v>0</v>
      </c>
      <c r="O252" s="99">
        <f t="shared" ref="O252:P253" si="125">O253</f>
        <v>0</v>
      </c>
      <c r="P252" s="99">
        <f t="shared" si="125"/>
        <v>6412819</v>
      </c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  <c r="IP252" s="32"/>
      <c r="IQ252" s="32"/>
      <c r="IR252" s="32"/>
      <c r="IS252" s="32"/>
      <c r="IT252" s="32"/>
      <c r="IU252" s="32"/>
      <c r="IV252" s="32"/>
      <c r="IW252" s="32"/>
      <c r="IX252" s="32"/>
      <c r="IY252" s="32"/>
      <c r="IZ252" s="32"/>
      <c r="JA252" s="32"/>
      <c r="JB252" s="32"/>
      <c r="JC252" s="32"/>
      <c r="JD252" s="32"/>
      <c r="JE252" s="32"/>
      <c r="JF252" s="32"/>
      <c r="JG252" s="32"/>
      <c r="JH252" s="32"/>
      <c r="JI252" s="32"/>
      <c r="JJ252" s="32"/>
      <c r="JK252" s="32"/>
      <c r="JL252" s="32"/>
      <c r="JM252" s="32"/>
      <c r="JN252" s="32"/>
      <c r="JO252" s="32"/>
      <c r="JP252" s="32"/>
      <c r="JQ252" s="32"/>
      <c r="JR252" s="32"/>
      <c r="JS252" s="32"/>
      <c r="JT252" s="32"/>
      <c r="JU252" s="32"/>
      <c r="JV252" s="32"/>
      <c r="JW252" s="32"/>
      <c r="JX252" s="32"/>
      <c r="JY252" s="32"/>
      <c r="JZ252" s="32"/>
      <c r="KA252" s="32"/>
      <c r="KB252" s="32"/>
      <c r="KC252" s="32"/>
      <c r="KD252" s="32"/>
      <c r="KE252" s="32"/>
      <c r="KF252" s="32"/>
      <c r="KG252" s="32"/>
      <c r="KH252" s="32"/>
      <c r="KI252" s="32"/>
      <c r="KJ252" s="32"/>
      <c r="KK252" s="32"/>
      <c r="KL252" s="32"/>
      <c r="KM252" s="32"/>
      <c r="KN252" s="32"/>
      <c r="KO252" s="32"/>
      <c r="KP252" s="32"/>
      <c r="KQ252" s="32"/>
      <c r="KR252" s="32"/>
      <c r="KS252" s="32"/>
      <c r="KT252" s="32"/>
      <c r="KU252" s="32"/>
      <c r="KV252" s="32"/>
      <c r="KW252" s="32"/>
      <c r="KX252" s="32"/>
      <c r="KY252" s="32"/>
      <c r="KZ252" s="32"/>
      <c r="LA252" s="32"/>
      <c r="LB252" s="32"/>
      <c r="LC252" s="32"/>
      <c r="LD252" s="32"/>
      <c r="LE252" s="32"/>
      <c r="LF252" s="32"/>
      <c r="LG252" s="32"/>
      <c r="LH252" s="32"/>
      <c r="LI252" s="32"/>
      <c r="LJ252" s="32"/>
      <c r="LK252" s="32"/>
      <c r="LL252" s="32"/>
      <c r="LM252" s="32"/>
      <c r="LN252" s="32"/>
      <c r="LO252" s="32"/>
      <c r="LP252" s="32"/>
      <c r="LQ252" s="32"/>
      <c r="LR252" s="32"/>
      <c r="LS252" s="32"/>
      <c r="LT252" s="32"/>
      <c r="LU252" s="32"/>
      <c r="LV252" s="32"/>
      <c r="LW252" s="32"/>
      <c r="LX252" s="32"/>
      <c r="LY252" s="32"/>
      <c r="LZ252" s="32"/>
      <c r="MA252" s="32"/>
      <c r="MB252" s="32"/>
      <c r="MC252" s="32"/>
      <c r="MD252" s="32"/>
      <c r="ME252" s="32"/>
      <c r="MF252" s="32"/>
      <c r="MG252" s="32"/>
      <c r="MH252" s="32"/>
      <c r="MI252" s="32"/>
      <c r="MJ252" s="32"/>
      <c r="MK252" s="32"/>
      <c r="ML252" s="32"/>
      <c r="MM252" s="32"/>
      <c r="MN252" s="32"/>
      <c r="MO252" s="32"/>
      <c r="MP252" s="32"/>
      <c r="MQ252" s="32"/>
      <c r="MR252" s="32"/>
      <c r="MS252" s="32"/>
      <c r="MT252" s="32"/>
      <c r="MU252" s="32"/>
      <c r="MV252" s="32"/>
      <c r="MW252" s="32"/>
      <c r="MX252" s="32"/>
      <c r="MY252" s="32"/>
      <c r="MZ252" s="32"/>
      <c r="NA252" s="32"/>
      <c r="NB252" s="32"/>
      <c r="NC252" s="32"/>
      <c r="ND252" s="32"/>
      <c r="NE252" s="32"/>
      <c r="NF252" s="32"/>
      <c r="NG252" s="32"/>
      <c r="NH252" s="32"/>
      <c r="NI252" s="32"/>
      <c r="NJ252" s="32"/>
      <c r="NK252" s="32"/>
      <c r="NL252" s="32"/>
      <c r="NM252" s="32"/>
      <c r="NN252" s="32"/>
      <c r="NO252" s="32"/>
      <c r="NP252" s="32"/>
      <c r="NQ252" s="32"/>
      <c r="NR252" s="32"/>
      <c r="NS252" s="32"/>
      <c r="NT252" s="32"/>
      <c r="NU252" s="32"/>
      <c r="NV252" s="32"/>
      <c r="NW252" s="32"/>
      <c r="NX252" s="32"/>
      <c r="NY252" s="32"/>
      <c r="NZ252" s="32"/>
      <c r="OA252" s="32"/>
      <c r="OB252" s="32"/>
      <c r="OC252" s="32"/>
      <c r="OD252" s="32"/>
      <c r="OE252" s="32"/>
      <c r="OF252" s="32"/>
      <c r="OG252" s="32"/>
      <c r="OH252" s="32"/>
      <c r="OI252" s="32"/>
      <c r="OJ252" s="32"/>
      <c r="OK252" s="32"/>
      <c r="OL252" s="32"/>
      <c r="OM252" s="32"/>
      <c r="ON252" s="32"/>
      <c r="OO252" s="32"/>
      <c r="OP252" s="32"/>
      <c r="OQ252" s="32"/>
      <c r="OR252" s="32"/>
      <c r="OS252" s="32"/>
      <c r="OT252" s="32"/>
      <c r="OU252" s="32"/>
      <c r="OV252" s="32"/>
      <c r="OW252" s="32"/>
      <c r="OX252" s="32"/>
      <c r="OY252" s="32"/>
      <c r="OZ252" s="32"/>
      <c r="PA252" s="32"/>
      <c r="PB252" s="32"/>
      <c r="PC252" s="32"/>
      <c r="PD252" s="32"/>
      <c r="PE252" s="32"/>
      <c r="PF252" s="32"/>
      <c r="PG252" s="32"/>
      <c r="PH252" s="32"/>
      <c r="PI252" s="32"/>
      <c r="PJ252" s="32"/>
      <c r="PK252" s="32"/>
      <c r="PL252" s="32"/>
      <c r="PM252" s="32"/>
      <c r="PN252" s="32"/>
      <c r="PO252" s="32"/>
      <c r="PP252" s="32"/>
      <c r="PQ252" s="32"/>
      <c r="PR252" s="32"/>
      <c r="PS252" s="32"/>
      <c r="PT252" s="32"/>
      <c r="PU252" s="32"/>
      <c r="PV252" s="32"/>
      <c r="PW252" s="32"/>
      <c r="PX252" s="32"/>
      <c r="PY252" s="32"/>
      <c r="PZ252" s="32"/>
      <c r="QA252" s="32"/>
      <c r="QB252" s="32"/>
      <c r="QC252" s="32"/>
      <c r="QD252" s="32"/>
      <c r="QE252" s="32"/>
      <c r="QF252" s="32"/>
      <c r="QG252" s="32"/>
      <c r="QH252" s="32"/>
      <c r="QI252" s="32"/>
      <c r="QJ252" s="32"/>
      <c r="QK252" s="32"/>
      <c r="QL252" s="32"/>
      <c r="QM252" s="32"/>
      <c r="QN252" s="32"/>
      <c r="QO252" s="32"/>
      <c r="QP252" s="32"/>
      <c r="QQ252" s="32"/>
      <c r="QR252" s="32"/>
      <c r="QS252" s="32"/>
      <c r="QT252" s="32"/>
      <c r="QU252" s="32"/>
      <c r="QV252" s="32"/>
      <c r="QW252" s="32"/>
      <c r="QX252" s="32"/>
      <c r="QY252" s="32"/>
      <c r="QZ252" s="32"/>
      <c r="RA252" s="32"/>
      <c r="RB252" s="32"/>
      <c r="RC252" s="32"/>
      <c r="RD252" s="32"/>
      <c r="RE252" s="32"/>
      <c r="RF252" s="32"/>
      <c r="RG252" s="32"/>
      <c r="RH252" s="32"/>
      <c r="RI252" s="32"/>
      <c r="RJ252" s="32"/>
      <c r="RK252" s="32"/>
      <c r="RL252" s="32"/>
      <c r="RM252" s="32"/>
      <c r="RN252" s="32"/>
      <c r="RO252" s="32"/>
      <c r="RP252" s="32"/>
      <c r="RQ252" s="32"/>
      <c r="RR252" s="32"/>
      <c r="RS252" s="32"/>
      <c r="RT252" s="32"/>
      <c r="RU252" s="32"/>
      <c r="RV252" s="32"/>
      <c r="RW252" s="32"/>
      <c r="RX252" s="32"/>
      <c r="RY252" s="32"/>
      <c r="RZ252" s="32"/>
      <c r="SA252" s="32"/>
      <c r="SB252" s="32"/>
      <c r="SC252" s="32"/>
      <c r="SD252" s="32"/>
      <c r="SE252" s="32"/>
      <c r="SF252" s="32"/>
      <c r="SG252" s="32"/>
      <c r="SH252" s="32"/>
      <c r="SI252" s="32"/>
      <c r="SJ252" s="32"/>
      <c r="SK252" s="32"/>
      <c r="SL252" s="32"/>
      <c r="SM252" s="32"/>
      <c r="SN252" s="32"/>
      <c r="SO252" s="32"/>
      <c r="SP252" s="32"/>
      <c r="SQ252" s="32"/>
      <c r="SR252" s="32"/>
      <c r="SS252" s="32"/>
      <c r="ST252" s="32"/>
      <c r="SU252" s="32"/>
      <c r="SV252" s="32"/>
      <c r="SW252" s="32"/>
      <c r="SX252" s="32"/>
      <c r="SY252" s="32"/>
      <c r="SZ252" s="32"/>
      <c r="TA252" s="32"/>
      <c r="TB252" s="32"/>
      <c r="TC252" s="32"/>
      <c r="TD252" s="32"/>
      <c r="TE252" s="32"/>
      <c r="TF252" s="32"/>
      <c r="TG252" s="32"/>
    </row>
    <row r="253" spans="1:527" s="34" customFormat="1" ht="36.75" customHeight="1" x14ac:dyDescent="0.25">
      <c r="A253" s="100" t="s">
        <v>120</v>
      </c>
      <c r="B253" s="113"/>
      <c r="C253" s="113"/>
      <c r="D253" s="81" t="s">
        <v>35</v>
      </c>
      <c r="E253" s="102">
        <f>E254</f>
        <v>6412819</v>
      </c>
      <c r="F253" s="102">
        <f t="shared" si="120"/>
        <v>6412819</v>
      </c>
      <c r="G253" s="102">
        <f t="shared" si="120"/>
        <v>5019800</v>
      </c>
      <c r="H253" s="102">
        <f t="shared" si="120"/>
        <v>102319</v>
      </c>
      <c r="I253" s="102">
        <f t="shared" si="120"/>
        <v>0</v>
      </c>
      <c r="J253" s="102">
        <f t="shared" si="120"/>
        <v>0</v>
      </c>
      <c r="K253" s="102">
        <f t="shared" si="121"/>
        <v>0</v>
      </c>
      <c r="L253" s="102">
        <f t="shared" si="122"/>
        <v>0</v>
      </c>
      <c r="M253" s="102">
        <f t="shared" si="123"/>
        <v>0</v>
      </c>
      <c r="N253" s="102">
        <f t="shared" si="124"/>
        <v>0</v>
      </c>
      <c r="O253" s="102">
        <f t="shared" si="125"/>
        <v>0</v>
      </c>
      <c r="P253" s="102">
        <f t="shared" si="125"/>
        <v>6412819</v>
      </c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  <c r="BZ253" s="33"/>
      <c r="CA253" s="33"/>
      <c r="CB253" s="33"/>
      <c r="CC253" s="33"/>
      <c r="CD253" s="33"/>
      <c r="CE253" s="33"/>
      <c r="CF253" s="33"/>
      <c r="CG253" s="33"/>
      <c r="CH253" s="33"/>
      <c r="CI253" s="33"/>
      <c r="CJ253" s="33"/>
      <c r="CK253" s="33"/>
      <c r="CL253" s="33"/>
      <c r="CM253" s="33"/>
      <c r="CN253" s="33"/>
      <c r="CO253" s="33"/>
      <c r="CP253" s="33"/>
      <c r="CQ253" s="33"/>
      <c r="CR253" s="33"/>
      <c r="CS253" s="33"/>
      <c r="CT253" s="33"/>
      <c r="CU253" s="33"/>
      <c r="CV253" s="33"/>
      <c r="CW253" s="33"/>
      <c r="CX253" s="33"/>
      <c r="CY253" s="33"/>
      <c r="CZ253" s="33"/>
      <c r="DA253" s="33"/>
      <c r="DB253" s="33"/>
      <c r="DC253" s="33"/>
      <c r="DD253" s="33"/>
      <c r="DE253" s="33"/>
      <c r="DF253" s="33"/>
      <c r="DG253" s="33"/>
      <c r="DH253" s="33"/>
      <c r="DI253" s="33"/>
      <c r="DJ253" s="33"/>
      <c r="DK253" s="33"/>
      <c r="DL253" s="33"/>
      <c r="DM253" s="33"/>
      <c r="DN253" s="33"/>
      <c r="DO253" s="33"/>
      <c r="DP253" s="33"/>
      <c r="DQ253" s="33"/>
      <c r="DR253" s="33"/>
      <c r="DS253" s="33"/>
      <c r="DT253" s="33"/>
      <c r="DU253" s="33"/>
      <c r="DV253" s="33"/>
      <c r="DW253" s="33"/>
      <c r="DX253" s="33"/>
      <c r="DY253" s="33"/>
      <c r="DZ253" s="33"/>
      <c r="EA253" s="33"/>
      <c r="EB253" s="33"/>
      <c r="EC253" s="33"/>
      <c r="ED253" s="33"/>
      <c r="EE253" s="33"/>
      <c r="EF253" s="33"/>
      <c r="EG253" s="33"/>
      <c r="EH253" s="33"/>
      <c r="EI253" s="33"/>
      <c r="EJ253" s="33"/>
      <c r="EK253" s="33"/>
      <c r="EL253" s="33"/>
      <c r="EM253" s="33"/>
      <c r="EN253" s="33"/>
      <c r="EO253" s="33"/>
      <c r="EP253" s="33"/>
      <c r="EQ253" s="33"/>
      <c r="ER253" s="33"/>
      <c r="ES253" s="33"/>
      <c r="ET253" s="33"/>
      <c r="EU253" s="33"/>
      <c r="EV253" s="33"/>
      <c r="EW253" s="33"/>
      <c r="EX253" s="33"/>
      <c r="EY253" s="33"/>
      <c r="EZ253" s="33"/>
      <c r="FA253" s="33"/>
      <c r="FB253" s="33"/>
      <c r="FC253" s="33"/>
      <c r="FD253" s="33"/>
      <c r="FE253" s="33"/>
      <c r="FF253" s="33"/>
      <c r="FG253" s="33"/>
      <c r="FH253" s="33"/>
      <c r="FI253" s="33"/>
      <c r="FJ253" s="33"/>
      <c r="FK253" s="33"/>
      <c r="FL253" s="33"/>
      <c r="FM253" s="33"/>
      <c r="FN253" s="33"/>
      <c r="FO253" s="33"/>
      <c r="FP253" s="33"/>
      <c r="FQ253" s="33"/>
      <c r="FR253" s="33"/>
      <c r="FS253" s="33"/>
      <c r="FT253" s="33"/>
      <c r="FU253" s="33"/>
      <c r="FV253" s="33"/>
      <c r="FW253" s="33"/>
      <c r="FX253" s="33"/>
      <c r="FY253" s="33"/>
      <c r="FZ253" s="33"/>
      <c r="GA253" s="33"/>
      <c r="GB253" s="33"/>
      <c r="GC253" s="33"/>
      <c r="GD253" s="33"/>
      <c r="GE253" s="33"/>
      <c r="GF253" s="33"/>
      <c r="GG253" s="33"/>
      <c r="GH253" s="33"/>
      <c r="GI253" s="33"/>
      <c r="GJ253" s="33"/>
      <c r="GK253" s="33"/>
      <c r="GL253" s="33"/>
      <c r="GM253" s="33"/>
      <c r="GN253" s="33"/>
      <c r="GO253" s="33"/>
      <c r="GP253" s="33"/>
      <c r="GQ253" s="33"/>
      <c r="GR253" s="33"/>
      <c r="GS253" s="33"/>
      <c r="GT253" s="33"/>
      <c r="GU253" s="33"/>
      <c r="GV253" s="33"/>
      <c r="GW253" s="33"/>
      <c r="GX253" s="33"/>
      <c r="GY253" s="33"/>
      <c r="GZ253" s="33"/>
      <c r="HA253" s="33"/>
      <c r="HB253" s="33"/>
      <c r="HC253" s="33"/>
      <c r="HD253" s="33"/>
      <c r="HE253" s="33"/>
      <c r="HF253" s="33"/>
      <c r="HG253" s="33"/>
      <c r="HH253" s="33"/>
      <c r="HI253" s="33"/>
      <c r="HJ253" s="33"/>
      <c r="HK253" s="33"/>
      <c r="HL253" s="33"/>
      <c r="HM253" s="33"/>
      <c r="HN253" s="33"/>
      <c r="HO253" s="33"/>
      <c r="HP253" s="33"/>
      <c r="HQ253" s="33"/>
      <c r="HR253" s="33"/>
      <c r="HS253" s="33"/>
      <c r="HT253" s="33"/>
      <c r="HU253" s="33"/>
      <c r="HV253" s="33"/>
      <c r="HW253" s="33"/>
      <c r="HX253" s="33"/>
      <c r="HY253" s="33"/>
      <c r="HZ253" s="33"/>
      <c r="IA253" s="33"/>
      <c r="IB253" s="33"/>
      <c r="IC253" s="33"/>
      <c r="ID253" s="33"/>
      <c r="IE253" s="33"/>
      <c r="IF253" s="33"/>
      <c r="IG253" s="33"/>
      <c r="IH253" s="33"/>
      <c r="II253" s="33"/>
      <c r="IJ253" s="33"/>
      <c r="IK253" s="33"/>
      <c r="IL253" s="33"/>
      <c r="IM253" s="33"/>
      <c r="IN253" s="33"/>
      <c r="IO253" s="33"/>
      <c r="IP253" s="33"/>
      <c r="IQ253" s="33"/>
      <c r="IR253" s="33"/>
      <c r="IS253" s="33"/>
      <c r="IT253" s="33"/>
      <c r="IU253" s="33"/>
      <c r="IV253" s="33"/>
      <c r="IW253" s="33"/>
      <c r="IX253" s="33"/>
      <c r="IY253" s="33"/>
      <c r="IZ253" s="33"/>
      <c r="JA253" s="33"/>
      <c r="JB253" s="33"/>
      <c r="JC253" s="33"/>
      <c r="JD253" s="33"/>
      <c r="JE253" s="33"/>
      <c r="JF253" s="33"/>
      <c r="JG253" s="33"/>
      <c r="JH253" s="33"/>
      <c r="JI253" s="33"/>
      <c r="JJ253" s="33"/>
      <c r="JK253" s="33"/>
      <c r="JL253" s="33"/>
      <c r="JM253" s="33"/>
      <c r="JN253" s="33"/>
      <c r="JO253" s="33"/>
      <c r="JP253" s="33"/>
      <c r="JQ253" s="33"/>
      <c r="JR253" s="33"/>
      <c r="JS253" s="33"/>
      <c r="JT253" s="33"/>
      <c r="JU253" s="33"/>
      <c r="JV253" s="33"/>
      <c r="JW253" s="33"/>
      <c r="JX253" s="33"/>
      <c r="JY253" s="33"/>
      <c r="JZ253" s="33"/>
      <c r="KA253" s="33"/>
      <c r="KB253" s="33"/>
      <c r="KC253" s="33"/>
      <c r="KD253" s="33"/>
      <c r="KE253" s="33"/>
      <c r="KF253" s="33"/>
      <c r="KG253" s="33"/>
      <c r="KH253" s="33"/>
      <c r="KI253" s="33"/>
      <c r="KJ253" s="33"/>
      <c r="KK253" s="33"/>
      <c r="KL253" s="33"/>
      <c r="KM253" s="33"/>
      <c r="KN253" s="33"/>
      <c r="KO253" s="33"/>
      <c r="KP253" s="33"/>
      <c r="KQ253" s="33"/>
      <c r="KR253" s="33"/>
      <c r="KS253" s="33"/>
      <c r="KT253" s="33"/>
      <c r="KU253" s="33"/>
      <c r="KV253" s="33"/>
      <c r="KW253" s="33"/>
      <c r="KX253" s="33"/>
      <c r="KY253" s="33"/>
      <c r="KZ253" s="33"/>
      <c r="LA253" s="33"/>
      <c r="LB253" s="33"/>
      <c r="LC253" s="33"/>
      <c r="LD253" s="33"/>
      <c r="LE253" s="33"/>
      <c r="LF253" s="33"/>
      <c r="LG253" s="33"/>
      <c r="LH253" s="33"/>
      <c r="LI253" s="33"/>
      <c r="LJ253" s="33"/>
      <c r="LK253" s="33"/>
      <c r="LL253" s="33"/>
      <c r="LM253" s="33"/>
      <c r="LN253" s="33"/>
      <c r="LO253" s="33"/>
      <c r="LP253" s="33"/>
      <c r="LQ253" s="33"/>
      <c r="LR253" s="33"/>
      <c r="LS253" s="33"/>
      <c r="LT253" s="33"/>
      <c r="LU253" s="33"/>
      <c r="LV253" s="33"/>
      <c r="LW253" s="33"/>
      <c r="LX253" s="33"/>
      <c r="LY253" s="33"/>
      <c r="LZ253" s="33"/>
      <c r="MA253" s="33"/>
      <c r="MB253" s="33"/>
      <c r="MC253" s="33"/>
      <c r="MD253" s="33"/>
      <c r="ME253" s="33"/>
      <c r="MF253" s="33"/>
      <c r="MG253" s="33"/>
      <c r="MH253" s="33"/>
      <c r="MI253" s="33"/>
      <c r="MJ253" s="33"/>
      <c r="MK253" s="33"/>
      <c r="ML253" s="33"/>
      <c r="MM253" s="33"/>
      <c r="MN253" s="33"/>
      <c r="MO253" s="33"/>
      <c r="MP253" s="33"/>
      <c r="MQ253" s="33"/>
      <c r="MR253" s="33"/>
      <c r="MS253" s="33"/>
      <c r="MT253" s="33"/>
      <c r="MU253" s="33"/>
      <c r="MV253" s="33"/>
      <c r="MW253" s="33"/>
      <c r="MX253" s="33"/>
      <c r="MY253" s="33"/>
      <c r="MZ253" s="33"/>
      <c r="NA253" s="33"/>
      <c r="NB253" s="33"/>
      <c r="NC253" s="33"/>
      <c r="ND253" s="33"/>
      <c r="NE253" s="33"/>
      <c r="NF253" s="33"/>
      <c r="NG253" s="33"/>
      <c r="NH253" s="33"/>
      <c r="NI253" s="33"/>
      <c r="NJ253" s="33"/>
      <c r="NK253" s="33"/>
      <c r="NL253" s="33"/>
      <c r="NM253" s="33"/>
      <c r="NN253" s="33"/>
      <c r="NO253" s="33"/>
      <c r="NP253" s="33"/>
      <c r="NQ253" s="33"/>
      <c r="NR253" s="33"/>
      <c r="NS253" s="33"/>
      <c r="NT253" s="33"/>
      <c r="NU253" s="33"/>
      <c r="NV253" s="33"/>
      <c r="NW253" s="33"/>
      <c r="NX253" s="33"/>
      <c r="NY253" s="33"/>
      <c r="NZ253" s="33"/>
      <c r="OA253" s="33"/>
      <c r="OB253" s="33"/>
      <c r="OC253" s="33"/>
      <c r="OD253" s="33"/>
      <c r="OE253" s="33"/>
      <c r="OF253" s="33"/>
      <c r="OG253" s="33"/>
      <c r="OH253" s="33"/>
      <c r="OI253" s="33"/>
      <c r="OJ253" s="33"/>
      <c r="OK253" s="33"/>
      <c r="OL253" s="33"/>
      <c r="OM253" s="33"/>
      <c r="ON253" s="33"/>
      <c r="OO253" s="33"/>
      <c r="OP253" s="33"/>
      <c r="OQ253" s="33"/>
      <c r="OR253" s="33"/>
      <c r="OS253" s="33"/>
      <c r="OT253" s="33"/>
      <c r="OU253" s="33"/>
      <c r="OV253" s="33"/>
      <c r="OW253" s="33"/>
      <c r="OX253" s="33"/>
      <c r="OY253" s="33"/>
      <c r="OZ253" s="33"/>
      <c r="PA253" s="33"/>
      <c r="PB253" s="33"/>
      <c r="PC253" s="33"/>
      <c r="PD253" s="33"/>
      <c r="PE253" s="33"/>
      <c r="PF253" s="33"/>
      <c r="PG253" s="33"/>
      <c r="PH253" s="33"/>
      <c r="PI253" s="33"/>
      <c r="PJ253" s="33"/>
      <c r="PK253" s="33"/>
      <c r="PL253" s="33"/>
      <c r="PM253" s="33"/>
      <c r="PN253" s="33"/>
      <c r="PO253" s="33"/>
      <c r="PP253" s="33"/>
      <c r="PQ253" s="33"/>
      <c r="PR253" s="33"/>
      <c r="PS253" s="33"/>
      <c r="PT253" s="33"/>
      <c r="PU253" s="33"/>
      <c r="PV253" s="33"/>
      <c r="PW253" s="33"/>
      <c r="PX253" s="33"/>
      <c r="PY253" s="33"/>
      <c r="PZ253" s="33"/>
      <c r="QA253" s="33"/>
      <c r="QB253" s="33"/>
      <c r="QC253" s="33"/>
      <c r="QD253" s="33"/>
      <c r="QE253" s="33"/>
      <c r="QF253" s="33"/>
      <c r="QG253" s="33"/>
      <c r="QH253" s="33"/>
      <c r="QI253" s="33"/>
      <c r="QJ253" s="33"/>
      <c r="QK253" s="33"/>
      <c r="QL253" s="33"/>
      <c r="QM253" s="33"/>
      <c r="QN253" s="33"/>
      <c r="QO253" s="33"/>
      <c r="QP253" s="33"/>
      <c r="QQ253" s="33"/>
      <c r="QR253" s="33"/>
      <c r="QS253" s="33"/>
      <c r="QT253" s="33"/>
      <c r="QU253" s="33"/>
      <c r="QV253" s="33"/>
      <c r="QW253" s="33"/>
      <c r="QX253" s="33"/>
      <c r="QY253" s="33"/>
      <c r="QZ253" s="33"/>
      <c r="RA253" s="33"/>
      <c r="RB253" s="33"/>
      <c r="RC253" s="33"/>
      <c r="RD253" s="33"/>
      <c r="RE253" s="33"/>
      <c r="RF253" s="33"/>
      <c r="RG253" s="33"/>
      <c r="RH253" s="33"/>
      <c r="RI253" s="33"/>
      <c r="RJ253" s="33"/>
      <c r="RK253" s="33"/>
      <c r="RL253" s="33"/>
      <c r="RM253" s="33"/>
      <c r="RN253" s="33"/>
      <c r="RO253" s="33"/>
      <c r="RP253" s="33"/>
      <c r="RQ253" s="33"/>
      <c r="RR253" s="33"/>
      <c r="RS253" s="33"/>
      <c r="RT253" s="33"/>
      <c r="RU253" s="33"/>
      <c r="RV253" s="33"/>
      <c r="RW253" s="33"/>
      <c r="RX253" s="33"/>
      <c r="RY253" s="33"/>
      <c r="RZ253" s="33"/>
      <c r="SA253" s="33"/>
      <c r="SB253" s="33"/>
      <c r="SC253" s="33"/>
      <c r="SD253" s="33"/>
      <c r="SE253" s="33"/>
      <c r="SF253" s="33"/>
      <c r="SG253" s="33"/>
      <c r="SH253" s="33"/>
      <c r="SI253" s="33"/>
      <c r="SJ253" s="33"/>
      <c r="SK253" s="33"/>
      <c r="SL253" s="33"/>
      <c r="SM253" s="33"/>
      <c r="SN253" s="33"/>
      <c r="SO253" s="33"/>
      <c r="SP253" s="33"/>
      <c r="SQ253" s="33"/>
      <c r="SR253" s="33"/>
      <c r="SS253" s="33"/>
      <c r="ST253" s="33"/>
      <c r="SU253" s="33"/>
      <c r="SV253" s="33"/>
      <c r="SW253" s="33"/>
      <c r="SX253" s="33"/>
      <c r="SY253" s="33"/>
      <c r="SZ253" s="33"/>
      <c r="TA253" s="33"/>
      <c r="TB253" s="33"/>
      <c r="TC253" s="33"/>
      <c r="TD253" s="33"/>
      <c r="TE253" s="33"/>
      <c r="TF253" s="33"/>
      <c r="TG253" s="33"/>
    </row>
    <row r="254" spans="1:527" s="22" customFormat="1" ht="47.25" x14ac:dyDescent="0.25">
      <c r="A254" s="60" t="s">
        <v>0</v>
      </c>
      <c r="B254" s="97" t="str">
        <f>'дод 8'!A19</f>
        <v>0160</v>
      </c>
      <c r="C254" s="97" t="str">
        <f>'дод 8'!B19</f>
        <v>0111</v>
      </c>
      <c r="D254" s="36" t="s">
        <v>503</v>
      </c>
      <c r="E254" s="103">
        <f>F254+I254</f>
        <v>6412819</v>
      </c>
      <c r="F254" s="103">
        <f>6378200+8000+26619</f>
        <v>6412819</v>
      </c>
      <c r="G254" s="103">
        <v>5019800</v>
      </c>
      <c r="H254" s="103">
        <f>75700+26619</f>
        <v>102319</v>
      </c>
      <c r="I254" s="103"/>
      <c r="J254" s="103">
        <f>L254+O254</f>
        <v>0</v>
      </c>
      <c r="K254" s="103">
        <f>8000-8000</f>
        <v>0</v>
      </c>
      <c r="L254" s="103"/>
      <c r="M254" s="103"/>
      <c r="N254" s="103"/>
      <c r="O254" s="103">
        <f>8000-8000</f>
        <v>0</v>
      </c>
      <c r="P254" s="103">
        <f>E254+J254</f>
        <v>6412819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</row>
    <row r="255" spans="1:527" s="27" customFormat="1" ht="52.5" customHeight="1" x14ac:dyDescent="0.25">
      <c r="A255" s="114" t="s">
        <v>29</v>
      </c>
      <c r="B255" s="116"/>
      <c r="C255" s="116"/>
      <c r="D255" s="111" t="s">
        <v>34</v>
      </c>
      <c r="E255" s="99">
        <f>E256</f>
        <v>3729104.55</v>
      </c>
      <c r="F255" s="99">
        <f t="shared" ref="F255:J255" si="126">F256</f>
        <v>3729104.55</v>
      </c>
      <c r="G255" s="99">
        <f t="shared" si="126"/>
        <v>2146200</v>
      </c>
      <c r="H255" s="99">
        <f t="shared" si="126"/>
        <v>0</v>
      </c>
      <c r="I255" s="99">
        <f t="shared" si="126"/>
        <v>0</v>
      </c>
      <c r="J255" s="99">
        <f t="shared" si="126"/>
        <v>270865851.10000002</v>
      </c>
      <c r="K255" s="99">
        <f t="shared" ref="K255" si="127">K256</f>
        <v>257420568.44999999</v>
      </c>
      <c r="L255" s="99">
        <f t="shared" ref="L255" si="128">L256</f>
        <v>1900000</v>
      </c>
      <c r="M255" s="99">
        <f t="shared" ref="M255" si="129">M256</f>
        <v>1332000</v>
      </c>
      <c r="N255" s="99">
        <f t="shared" ref="N255" si="130">N256</f>
        <v>71500</v>
      </c>
      <c r="O255" s="99">
        <f t="shared" ref="O255:P255" si="131">O256</f>
        <v>268965851.10000002</v>
      </c>
      <c r="P255" s="99">
        <f t="shared" si="131"/>
        <v>274594955.64999998</v>
      </c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  <c r="IP255" s="32"/>
      <c r="IQ255" s="32"/>
      <c r="IR255" s="32"/>
      <c r="IS255" s="32"/>
      <c r="IT255" s="32"/>
      <c r="IU255" s="32"/>
      <c r="IV255" s="32"/>
      <c r="IW255" s="32"/>
      <c r="IX255" s="32"/>
      <c r="IY255" s="32"/>
      <c r="IZ255" s="32"/>
      <c r="JA255" s="32"/>
      <c r="JB255" s="32"/>
      <c r="JC255" s="32"/>
      <c r="JD255" s="32"/>
      <c r="JE255" s="32"/>
      <c r="JF255" s="32"/>
      <c r="JG255" s="32"/>
      <c r="JH255" s="32"/>
      <c r="JI255" s="32"/>
      <c r="JJ255" s="32"/>
      <c r="JK255" s="32"/>
      <c r="JL255" s="32"/>
      <c r="JM255" s="32"/>
      <c r="JN255" s="32"/>
      <c r="JO255" s="32"/>
      <c r="JP255" s="32"/>
      <c r="JQ255" s="32"/>
      <c r="JR255" s="32"/>
      <c r="JS255" s="32"/>
      <c r="JT255" s="32"/>
      <c r="JU255" s="32"/>
      <c r="JV255" s="32"/>
      <c r="JW255" s="32"/>
      <c r="JX255" s="32"/>
      <c r="JY255" s="32"/>
      <c r="JZ255" s="32"/>
      <c r="KA255" s="32"/>
      <c r="KB255" s="32"/>
      <c r="KC255" s="32"/>
      <c r="KD255" s="32"/>
      <c r="KE255" s="32"/>
      <c r="KF255" s="32"/>
      <c r="KG255" s="32"/>
      <c r="KH255" s="32"/>
      <c r="KI255" s="32"/>
      <c r="KJ255" s="32"/>
      <c r="KK255" s="32"/>
      <c r="KL255" s="32"/>
      <c r="KM255" s="32"/>
      <c r="KN255" s="32"/>
      <c r="KO255" s="32"/>
      <c r="KP255" s="32"/>
      <c r="KQ255" s="32"/>
      <c r="KR255" s="32"/>
      <c r="KS255" s="32"/>
      <c r="KT255" s="32"/>
      <c r="KU255" s="32"/>
      <c r="KV255" s="32"/>
      <c r="KW255" s="32"/>
      <c r="KX255" s="32"/>
      <c r="KY255" s="32"/>
      <c r="KZ255" s="32"/>
      <c r="LA255" s="32"/>
      <c r="LB255" s="32"/>
      <c r="LC255" s="32"/>
      <c r="LD255" s="32"/>
      <c r="LE255" s="32"/>
      <c r="LF255" s="32"/>
      <c r="LG255" s="32"/>
      <c r="LH255" s="32"/>
      <c r="LI255" s="32"/>
      <c r="LJ255" s="32"/>
      <c r="LK255" s="32"/>
      <c r="LL255" s="32"/>
      <c r="LM255" s="32"/>
      <c r="LN255" s="32"/>
      <c r="LO255" s="32"/>
      <c r="LP255" s="32"/>
      <c r="LQ255" s="32"/>
      <c r="LR255" s="32"/>
      <c r="LS255" s="32"/>
      <c r="LT255" s="32"/>
      <c r="LU255" s="32"/>
      <c r="LV255" s="32"/>
      <c r="LW255" s="32"/>
      <c r="LX255" s="32"/>
      <c r="LY255" s="32"/>
      <c r="LZ255" s="32"/>
      <c r="MA255" s="32"/>
      <c r="MB255" s="32"/>
      <c r="MC255" s="32"/>
      <c r="MD255" s="32"/>
      <c r="ME255" s="32"/>
      <c r="MF255" s="32"/>
      <c r="MG255" s="32"/>
      <c r="MH255" s="32"/>
      <c r="MI255" s="32"/>
      <c r="MJ255" s="32"/>
      <c r="MK255" s="32"/>
      <c r="ML255" s="32"/>
      <c r="MM255" s="32"/>
      <c r="MN255" s="32"/>
      <c r="MO255" s="32"/>
      <c r="MP255" s="32"/>
      <c r="MQ255" s="32"/>
      <c r="MR255" s="32"/>
      <c r="MS255" s="32"/>
      <c r="MT255" s="32"/>
      <c r="MU255" s="32"/>
      <c r="MV255" s="32"/>
      <c r="MW255" s="32"/>
      <c r="MX255" s="32"/>
      <c r="MY255" s="32"/>
      <c r="MZ255" s="32"/>
      <c r="NA255" s="32"/>
      <c r="NB255" s="32"/>
      <c r="NC255" s="32"/>
      <c r="ND255" s="32"/>
      <c r="NE255" s="32"/>
      <c r="NF255" s="32"/>
      <c r="NG255" s="32"/>
      <c r="NH255" s="32"/>
      <c r="NI255" s="32"/>
      <c r="NJ255" s="32"/>
      <c r="NK255" s="32"/>
      <c r="NL255" s="32"/>
      <c r="NM255" s="32"/>
      <c r="NN255" s="32"/>
      <c r="NO255" s="32"/>
      <c r="NP255" s="32"/>
      <c r="NQ255" s="32"/>
      <c r="NR255" s="32"/>
      <c r="NS255" s="32"/>
      <c r="NT255" s="32"/>
      <c r="NU255" s="32"/>
      <c r="NV255" s="32"/>
      <c r="NW255" s="32"/>
      <c r="NX255" s="32"/>
      <c r="NY255" s="32"/>
      <c r="NZ255" s="32"/>
      <c r="OA255" s="32"/>
      <c r="OB255" s="32"/>
      <c r="OC255" s="32"/>
      <c r="OD255" s="32"/>
      <c r="OE255" s="32"/>
      <c r="OF255" s="32"/>
      <c r="OG255" s="32"/>
      <c r="OH255" s="32"/>
      <c r="OI255" s="32"/>
      <c r="OJ255" s="32"/>
      <c r="OK255" s="32"/>
      <c r="OL255" s="32"/>
      <c r="OM255" s="32"/>
      <c r="ON255" s="32"/>
      <c r="OO255" s="32"/>
      <c r="OP255" s="32"/>
      <c r="OQ255" s="32"/>
      <c r="OR255" s="32"/>
      <c r="OS255" s="32"/>
      <c r="OT255" s="32"/>
      <c r="OU255" s="32"/>
      <c r="OV255" s="32"/>
      <c r="OW255" s="32"/>
      <c r="OX255" s="32"/>
      <c r="OY255" s="32"/>
      <c r="OZ255" s="32"/>
      <c r="PA255" s="32"/>
      <c r="PB255" s="32"/>
      <c r="PC255" s="32"/>
      <c r="PD255" s="32"/>
      <c r="PE255" s="32"/>
      <c r="PF255" s="32"/>
      <c r="PG255" s="32"/>
      <c r="PH255" s="32"/>
      <c r="PI255" s="32"/>
      <c r="PJ255" s="32"/>
      <c r="PK255" s="32"/>
      <c r="PL255" s="32"/>
      <c r="PM255" s="32"/>
      <c r="PN255" s="32"/>
      <c r="PO255" s="32"/>
      <c r="PP255" s="32"/>
      <c r="PQ255" s="32"/>
      <c r="PR255" s="32"/>
      <c r="PS255" s="32"/>
      <c r="PT255" s="32"/>
      <c r="PU255" s="32"/>
      <c r="PV255" s="32"/>
      <c r="PW255" s="32"/>
      <c r="PX255" s="32"/>
      <c r="PY255" s="32"/>
      <c r="PZ255" s="32"/>
      <c r="QA255" s="32"/>
      <c r="QB255" s="32"/>
      <c r="QC255" s="32"/>
      <c r="QD255" s="32"/>
      <c r="QE255" s="32"/>
      <c r="QF255" s="32"/>
      <c r="QG255" s="32"/>
      <c r="QH255" s="32"/>
      <c r="QI255" s="32"/>
      <c r="QJ255" s="32"/>
      <c r="QK255" s="32"/>
      <c r="QL255" s="32"/>
      <c r="QM255" s="32"/>
      <c r="QN255" s="32"/>
      <c r="QO255" s="32"/>
      <c r="QP255" s="32"/>
      <c r="QQ255" s="32"/>
      <c r="QR255" s="32"/>
      <c r="QS255" s="32"/>
      <c r="QT255" s="32"/>
      <c r="QU255" s="32"/>
      <c r="QV255" s="32"/>
      <c r="QW255" s="32"/>
      <c r="QX255" s="32"/>
      <c r="QY255" s="32"/>
      <c r="QZ255" s="32"/>
      <c r="RA255" s="32"/>
      <c r="RB255" s="32"/>
      <c r="RC255" s="32"/>
      <c r="RD255" s="32"/>
      <c r="RE255" s="32"/>
      <c r="RF255" s="32"/>
      <c r="RG255" s="32"/>
      <c r="RH255" s="32"/>
      <c r="RI255" s="32"/>
      <c r="RJ255" s="32"/>
      <c r="RK255" s="32"/>
      <c r="RL255" s="32"/>
      <c r="RM255" s="32"/>
      <c r="RN255" s="32"/>
      <c r="RO255" s="32"/>
      <c r="RP255" s="32"/>
      <c r="RQ255" s="32"/>
      <c r="RR255" s="32"/>
      <c r="RS255" s="32"/>
      <c r="RT255" s="32"/>
      <c r="RU255" s="32"/>
      <c r="RV255" s="32"/>
      <c r="RW255" s="32"/>
      <c r="RX255" s="32"/>
      <c r="RY255" s="32"/>
      <c r="RZ255" s="32"/>
      <c r="SA255" s="32"/>
      <c r="SB255" s="32"/>
      <c r="SC255" s="32"/>
      <c r="SD255" s="32"/>
      <c r="SE255" s="32"/>
      <c r="SF255" s="32"/>
      <c r="SG255" s="32"/>
      <c r="SH255" s="32"/>
      <c r="SI255" s="32"/>
      <c r="SJ255" s="32"/>
      <c r="SK255" s="32"/>
      <c r="SL255" s="32"/>
      <c r="SM255" s="32"/>
      <c r="SN255" s="32"/>
      <c r="SO255" s="32"/>
      <c r="SP255" s="32"/>
      <c r="SQ255" s="32"/>
      <c r="SR255" s="32"/>
      <c r="SS255" s="32"/>
      <c r="ST255" s="32"/>
      <c r="SU255" s="32"/>
      <c r="SV255" s="32"/>
      <c r="SW255" s="32"/>
      <c r="SX255" s="32"/>
      <c r="SY255" s="32"/>
      <c r="SZ255" s="32"/>
      <c r="TA255" s="32"/>
      <c r="TB255" s="32"/>
      <c r="TC255" s="32"/>
      <c r="TD255" s="32"/>
      <c r="TE255" s="32"/>
      <c r="TF255" s="32"/>
      <c r="TG255" s="32"/>
    </row>
    <row r="256" spans="1:527" s="34" customFormat="1" ht="47.25" x14ac:dyDescent="0.25">
      <c r="A256" s="100" t="s">
        <v>30</v>
      </c>
      <c r="B256" s="113"/>
      <c r="C256" s="113"/>
      <c r="D256" s="81" t="s">
        <v>422</v>
      </c>
      <c r="E256" s="102">
        <f>SUM(E258+E259+E260+E261+E262+E263+E264+E266+E267+E268+E269+E270+E271+E265+E273+E274)</f>
        <v>3729104.55</v>
      </c>
      <c r="F256" s="102">
        <f t="shared" ref="F256:P256" si="132">SUM(F258+F259+F260+F261+F262+F263+F264+F266+F267+F268+F269+F270+F271+F265+F273+F274)</f>
        <v>3729104.55</v>
      </c>
      <c r="G256" s="102">
        <f t="shared" si="132"/>
        <v>2146200</v>
      </c>
      <c r="H256" s="102">
        <f t="shared" si="132"/>
        <v>0</v>
      </c>
      <c r="I256" s="102">
        <f t="shared" si="132"/>
        <v>0</v>
      </c>
      <c r="J256" s="102">
        <f t="shared" si="132"/>
        <v>270865851.10000002</v>
      </c>
      <c r="K256" s="102">
        <f t="shared" si="132"/>
        <v>257420568.44999999</v>
      </c>
      <c r="L256" s="102">
        <f t="shared" si="132"/>
        <v>1900000</v>
      </c>
      <c r="M256" s="102">
        <f t="shared" si="132"/>
        <v>1332000</v>
      </c>
      <c r="N256" s="102">
        <f t="shared" si="132"/>
        <v>71500</v>
      </c>
      <c r="O256" s="102">
        <f t="shared" si="132"/>
        <v>268965851.10000002</v>
      </c>
      <c r="P256" s="102">
        <f t="shared" si="132"/>
        <v>274594955.64999998</v>
      </c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  <c r="IP256" s="33"/>
      <c r="IQ256" s="33"/>
      <c r="IR256" s="33"/>
      <c r="IS256" s="33"/>
      <c r="IT256" s="33"/>
      <c r="IU256" s="33"/>
      <c r="IV256" s="33"/>
      <c r="IW256" s="33"/>
      <c r="IX256" s="33"/>
      <c r="IY256" s="33"/>
      <c r="IZ256" s="33"/>
      <c r="JA256" s="33"/>
      <c r="JB256" s="33"/>
      <c r="JC256" s="33"/>
      <c r="JD256" s="33"/>
      <c r="JE256" s="33"/>
      <c r="JF256" s="33"/>
      <c r="JG256" s="33"/>
      <c r="JH256" s="33"/>
      <c r="JI256" s="33"/>
      <c r="JJ256" s="33"/>
      <c r="JK256" s="33"/>
      <c r="JL256" s="33"/>
      <c r="JM256" s="33"/>
      <c r="JN256" s="33"/>
      <c r="JO256" s="33"/>
      <c r="JP256" s="33"/>
      <c r="JQ256" s="33"/>
      <c r="JR256" s="33"/>
      <c r="JS256" s="33"/>
      <c r="JT256" s="33"/>
      <c r="JU256" s="33"/>
      <c r="JV256" s="33"/>
      <c r="JW256" s="33"/>
      <c r="JX256" s="33"/>
      <c r="JY256" s="33"/>
      <c r="JZ256" s="33"/>
      <c r="KA256" s="33"/>
      <c r="KB256" s="33"/>
      <c r="KC256" s="33"/>
      <c r="KD256" s="33"/>
      <c r="KE256" s="33"/>
      <c r="KF256" s="33"/>
      <c r="KG256" s="33"/>
      <c r="KH256" s="33"/>
      <c r="KI256" s="33"/>
      <c r="KJ256" s="33"/>
      <c r="KK256" s="33"/>
      <c r="KL256" s="33"/>
      <c r="KM256" s="33"/>
      <c r="KN256" s="33"/>
      <c r="KO256" s="33"/>
      <c r="KP256" s="33"/>
      <c r="KQ256" s="33"/>
      <c r="KR256" s="33"/>
      <c r="KS256" s="33"/>
      <c r="KT256" s="33"/>
      <c r="KU256" s="33"/>
      <c r="KV256" s="33"/>
      <c r="KW256" s="33"/>
      <c r="KX256" s="33"/>
      <c r="KY256" s="33"/>
      <c r="KZ256" s="33"/>
      <c r="LA256" s="33"/>
      <c r="LB256" s="33"/>
      <c r="LC256" s="33"/>
      <c r="LD256" s="33"/>
      <c r="LE256" s="33"/>
      <c r="LF256" s="33"/>
      <c r="LG256" s="33"/>
      <c r="LH256" s="33"/>
      <c r="LI256" s="33"/>
      <c r="LJ256" s="33"/>
      <c r="LK256" s="33"/>
      <c r="LL256" s="33"/>
      <c r="LM256" s="33"/>
      <c r="LN256" s="33"/>
      <c r="LO256" s="33"/>
      <c r="LP256" s="33"/>
      <c r="LQ256" s="33"/>
      <c r="LR256" s="33"/>
      <c r="LS256" s="33"/>
      <c r="LT256" s="33"/>
      <c r="LU256" s="33"/>
      <c r="LV256" s="33"/>
      <c r="LW256" s="33"/>
      <c r="LX256" s="33"/>
      <c r="LY256" s="33"/>
      <c r="LZ256" s="33"/>
      <c r="MA256" s="33"/>
      <c r="MB256" s="33"/>
      <c r="MC256" s="33"/>
      <c r="MD256" s="33"/>
      <c r="ME256" s="33"/>
      <c r="MF256" s="33"/>
      <c r="MG256" s="33"/>
      <c r="MH256" s="33"/>
      <c r="MI256" s="33"/>
      <c r="MJ256" s="33"/>
      <c r="MK256" s="33"/>
      <c r="ML256" s="33"/>
      <c r="MM256" s="33"/>
      <c r="MN256" s="33"/>
      <c r="MO256" s="33"/>
      <c r="MP256" s="33"/>
      <c r="MQ256" s="33"/>
      <c r="MR256" s="33"/>
      <c r="MS256" s="33"/>
      <c r="MT256" s="33"/>
      <c r="MU256" s="33"/>
      <c r="MV256" s="33"/>
      <c r="MW256" s="33"/>
      <c r="MX256" s="33"/>
      <c r="MY256" s="33"/>
      <c r="MZ256" s="33"/>
      <c r="NA256" s="33"/>
      <c r="NB256" s="33"/>
      <c r="NC256" s="33"/>
      <c r="ND256" s="33"/>
      <c r="NE256" s="33"/>
      <c r="NF256" s="33"/>
      <c r="NG256" s="33"/>
      <c r="NH256" s="33"/>
      <c r="NI256" s="33"/>
      <c r="NJ256" s="33"/>
      <c r="NK256" s="33"/>
      <c r="NL256" s="33"/>
      <c r="NM256" s="33"/>
      <c r="NN256" s="33"/>
      <c r="NO256" s="33"/>
      <c r="NP256" s="33"/>
      <c r="NQ256" s="33"/>
      <c r="NR256" s="33"/>
      <c r="NS256" s="33"/>
      <c r="NT256" s="33"/>
      <c r="NU256" s="33"/>
      <c r="NV256" s="33"/>
      <c r="NW256" s="33"/>
      <c r="NX256" s="33"/>
      <c r="NY256" s="33"/>
      <c r="NZ256" s="33"/>
      <c r="OA256" s="33"/>
      <c r="OB256" s="33"/>
      <c r="OC256" s="33"/>
      <c r="OD256" s="33"/>
      <c r="OE256" s="33"/>
      <c r="OF256" s="33"/>
      <c r="OG256" s="33"/>
      <c r="OH256" s="33"/>
      <c r="OI256" s="33"/>
      <c r="OJ256" s="33"/>
      <c r="OK256" s="33"/>
      <c r="OL256" s="33"/>
      <c r="OM256" s="33"/>
      <c r="ON256" s="33"/>
      <c r="OO256" s="33"/>
      <c r="OP256" s="33"/>
      <c r="OQ256" s="33"/>
      <c r="OR256" s="33"/>
      <c r="OS256" s="33"/>
      <c r="OT256" s="33"/>
      <c r="OU256" s="33"/>
      <c r="OV256" s="33"/>
      <c r="OW256" s="33"/>
      <c r="OX256" s="33"/>
      <c r="OY256" s="33"/>
      <c r="OZ256" s="33"/>
      <c r="PA256" s="33"/>
      <c r="PB256" s="33"/>
      <c r="PC256" s="33"/>
      <c r="PD256" s="33"/>
      <c r="PE256" s="33"/>
      <c r="PF256" s="33"/>
      <c r="PG256" s="33"/>
      <c r="PH256" s="33"/>
      <c r="PI256" s="33"/>
      <c r="PJ256" s="33"/>
      <c r="PK256" s="33"/>
      <c r="PL256" s="33"/>
      <c r="PM256" s="33"/>
      <c r="PN256" s="33"/>
      <c r="PO256" s="33"/>
      <c r="PP256" s="33"/>
      <c r="PQ256" s="33"/>
      <c r="PR256" s="33"/>
      <c r="PS256" s="33"/>
      <c r="PT256" s="33"/>
      <c r="PU256" s="33"/>
      <c r="PV256" s="33"/>
      <c r="PW256" s="33"/>
      <c r="PX256" s="33"/>
      <c r="PY256" s="33"/>
      <c r="PZ256" s="33"/>
      <c r="QA256" s="33"/>
      <c r="QB256" s="33"/>
      <c r="QC256" s="33"/>
      <c r="QD256" s="33"/>
      <c r="QE256" s="33"/>
      <c r="QF256" s="33"/>
      <c r="QG256" s="33"/>
      <c r="QH256" s="33"/>
      <c r="QI256" s="33"/>
      <c r="QJ256" s="33"/>
      <c r="QK256" s="33"/>
      <c r="QL256" s="33"/>
      <c r="QM256" s="33"/>
      <c r="QN256" s="33"/>
      <c r="QO256" s="33"/>
      <c r="QP256" s="33"/>
      <c r="QQ256" s="33"/>
      <c r="QR256" s="33"/>
      <c r="QS256" s="33"/>
      <c r="QT256" s="33"/>
      <c r="QU256" s="33"/>
      <c r="QV256" s="33"/>
      <c r="QW256" s="33"/>
      <c r="QX256" s="33"/>
      <c r="QY256" s="33"/>
      <c r="QZ256" s="33"/>
      <c r="RA256" s="33"/>
      <c r="RB256" s="33"/>
      <c r="RC256" s="33"/>
      <c r="RD256" s="33"/>
      <c r="RE256" s="33"/>
      <c r="RF256" s="33"/>
      <c r="RG256" s="33"/>
      <c r="RH256" s="33"/>
      <c r="RI256" s="33"/>
      <c r="RJ256" s="33"/>
      <c r="RK256" s="33"/>
      <c r="RL256" s="33"/>
      <c r="RM256" s="33"/>
      <c r="RN256" s="33"/>
      <c r="RO256" s="33"/>
      <c r="RP256" s="33"/>
      <c r="RQ256" s="33"/>
      <c r="RR256" s="33"/>
      <c r="RS256" s="33"/>
      <c r="RT256" s="33"/>
      <c r="RU256" s="33"/>
      <c r="RV256" s="33"/>
      <c r="RW256" s="33"/>
      <c r="RX256" s="33"/>
      <c r="RY256" s="33"/>
      <c r="RZ256" s="33"/>
      <c r="SA256" s="33"/>
      <c r="SB256" s="33"/>
      <c r="SC256" s="33"/>
      <c r="SD256" s="33"/>
      <c r="SE256" s="33"/>
      <c r="SF256" s="33"/>
      <c r="SG256" s="33"/>
      <c r="SH256" s="33"/>
      <c r="SI256" s="33"/>
      <c r="SJ256" s="33"/>
      <c r="SK256" s="33"/>
      <c r="SL256" s="33"/>
      <c r="SM256" s="33"/>
      <c r="SN256" s="33"/>
      <c r="SO256" s="33"/>
      <c r="SP256" s="33"/>
      <c r="SQ256" s="33"/>
      <c r="SR256" s="33"/>
      <c r="SS256" s="33"/>
      <c r="ST256" s="33"/>
      <c r="SU256" s="33"/>
      <c r="SV256" s="33"/>
      <c r="SW256" s="33"/>
      <c r="SX256" s="33"/>
      <c r="SY256" s="33"/>
      <c r="SZ256" s="33"/>
      <c r="TA256" s="33"/>
      <c r="TB256" s="33"/>
      <c r="TC256" s="33"/>
      <c r="TD256" s="33"/>
      <c r="TE256" s="33"/>
      <c r="TF256" s="33"/>
      <c r="TG256" s="33"/>
    </row>
    <row r="257" spans="1:527" s="34" customFormat="1" ht="17.25" customHeight="1" x14ac:dyDescent="0.25">
      <c r="A257" s="100"/>
      <c r="B257" s="113"/>
      <c r="C257" s="113"/>
      <c r="D257" s="87" t="s">
        <v>421</v>
      </c>
      <c r="E257" s="102">
        <f>E272</f>
        <v>0</v>
      </c>
      <c r="F257" s="102">
        <f t="shared" ref="F257:P257" si="133">F272</f>
        <v>0</v>
      </c>
      <c r="G257" s="102">
        <f t="shared" si="133"/>
        <v>0</v>
      </c>
      <c r="H257" s="102">
        <f t="shared" si="133"/>
        <v>0</v>
      </c>
      <c r="I257" s="102">
        <f t="shared" si="133"/>
        <v>0</v>
      </c>
      <c r="J257" s="102">
        <f t="shared" si="133"/>
        <v>96859595</v>
      </c>
      <c r="K257" s="102">
        <f t="shared" si="133"/>
        <v>96859595</v>
      </c>
      <c r="L257" s="102">
        <f t="shared" si="133"/>
        <v>0</v>
      </c>
      <c r="M257" s="102">
        <f t="shared" si="133"/>
        <v>0</v>
      </c>
      <c r="N257" s="102">
        <f t="shared" si="133"/>
        <v>0</v>
      </c>
      <c r="O257" s="102">
        <f t="shared" si="133"/>
        <v>96859595</v>
      </c>
      <c r="P257" s="102">
        <f t="shared" si="133"/>
        <v>96859595</v>
      </c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</row>
    <row r="258" spans="1:527" s="22" customFormat="1" ht="47.25" x14ac:dyDescent="0.25">
      <c r="A258" s="60" t="s">
        <v>142</v>
      </c>
      <c r="B258" s="97" t="str">
        <f>'дод 8'!A19</f>
        <v>0160</v>
      </c>
      <c r="C258" s="97" t="str">
        <f>'дод 8'!B19</f>
        <v>0111</v>
      </c>
      <c r="D258" s="36" t="s">
        <v>503</v>
      </c>
      <c r="E258" s="103">
        <f t="shared" ref="E258:E273" si="134">F258+I258</f>
        <v>2609000</v>
      </c>
      <c r="F258" s="103">
        <f>3609000-1000000</f>
        <v>2609000</v>
      </c>
      <c r="G258" s="103">
        <f>2958200-812000</f>
        <v>2146200</v>
      </c>
      <c r="H258" s="103"/>
      <c r="I258" s="103"/>
      <c r="J258" s="103">
        <f>L258+O258</f>
        <v>1900000</v>
      </c>
      <c r="K258" s="103"/>
      <c r="L258" s="103">
        <v>1900000</v>
      </c>
      <c r="M258" s="103">
        <v>1332000</v>
      </c>
      <c r="N258" s="103">
        <v>71500</v>
      </c>
      <c r="O258" s="103"/>
      <c r="P258" s="103">
        <f t="shared" ref="P258:P273" si="135">E258+J258</f>
        <v>4509000</v>
      </c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</row>
    <row r="259" spans="1:527" s="22" customFormat="1" ht="18" customHeight="1" x14ac:dyDescent="0.25">
      <c r="A259" s="60" t="s">
        <v>207</v>
      </c>
      <c r="B259" s="97" t="str">
        <f>'дод 8'!A157</f>
        <v>6030</v>
      </c>
      <c r="C259" s="97" t="str">
        <f>'дод 8'!B157</f>
        <v>0620</v>
      </c>
      <c r="D259" s="61" t="str">
        <f>'дод 8'!C157</f>
        <v>Організація благоустрою населених пунктів</v>
      </c>
      <c r="E259" s="103">
        <f t="shared" si="134"/>
        <v>0</v>
      </c>
      <c r="F259" s="103"/>
      <c r="G259" s="103"/>
      <c r="H259" s="103"/>
      <c r="I259" s="103"/>
      <c r="J259" s="103">
        <f t="shared" ref="J259:J281" si="136">L259+O259</f>
        <v>52213511</v>
      </c>
      <c r="K259" s="103">
        <f>50000000+200000+100000+49000+50000+1764511+50000</f>
        <v>52213511</v>
      </c>
      <c r="L259" s="103"/>
      <c r="M259" s="103"/>
      <c r="N259" s="103"/>
      <c r="O259" s="103">
        <f>50000000+200000+100000+49000+50000+1764511+50000</f>
        <v>52213511</v>
      </c>
      <c r="P259" s="103">
        <f t="shared" si="135"/>
        <v>52213511</v>
      </c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</row>
    <row r="260" spans="1:527" s="22" customFormat="1" ht="65.25" customHeight="1" x14ac:dyDescent="0.25">
      <c r="A260" s="60" t="s">
        <v>208</v>
      </c>
      <c r="B260" s="97" t="str">
        <f>'дод 8'!A160</f>
        <v>6084</v>
      </c>
      <c r="C260" s="97" t="str">
        <f>'дод 8'!B160</f>
        <v>0610</v>
      </c>
      <c r="D260" s="61" t="s">
        <v>546</v>
      </c>
      <c r="E260" s="103">
        <f t="shared" si="134"/>
        <v>0</v>
      </c>
      <c r="F260" s="103"/>
      <c r="G260" s="103"/>
      <c r="H260" s="103"/>
      <c r="I260" s="103"/>
      <c r="J260" s="103">
        <f t="shared" si="136"/>
        <v>71348.649999999994</v>
      </c>
      <c r="K260" s="103"/>
      <c r="L260" s="117"/>
      <c r="M260" s="103"/>
      <c r="N260" s="103"/>
      <c r="O260" s="103">
        <f>70060+1288.65</f>
        <v>71348.649999999994</v>
      </c>
      <c r="P260" s="103">
        <f t="shared" si="135"/>
        <v>71348.649999999994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</row>
    <row r="261" spans="1:527" s="22" customFormat="1" ht="18.75" hidden="1" customHeight="1" x14ac:dyDescent="0.25">
      <c r="A261" s="60" t="s">
        <v>277</v>
      </c>
      <c r="B261" s="97" t="str">
        <f>'дод 8'!A170</f>
        <v>7310</v>
      </c>
      <c r="C261" s="97" t="str">
        <f>'дод 8'!B170</f>
        <v>0443</v>
      </c>
      <c r="D261" s="61" t="str">
        <f>'дод 8'!C170</f>
        <v>Будівництво1 об'єктів житлово-комунального господарства</v>
      </c>
      <c r="E261" s="103">
        <f t="shared" si="134"/>
        <v>0</v>
      </c>
      <c r="F261" s="103"/>
      <c r="G261" s="103"/>
      <c r="H261" s="103"/>
      <c r="I261" s="103"/>
      <c r="J261" s="103">
        <f t="shared" si="136"/>
        <v>0</v>
      </c>
      <c r="K261" s="103"/>
      <c r="L261" s="103"/>
      <c r="M261" s="103"/>
      <c r="N261" s="103"/>
      <c r="O261" s="103"/>
      <c r="P261" s="103">
        <f t="shared" si="135"/>
        <v>0</v>
      </c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</row>
    <row r="262" spans="1:527" s="22" customFormat="1" ht="18.75" x14ac:dyDescent="0.25">
      <c r="A262" s="60" t="s">
        <v>278</v>
      </c>
      <c r="B262" s="97" t="str">
        <f>'дод 8'!A171</f>
        <v>7321</v>
      </c>
      <c r="C262" s="97" t="str">
        <f>'дод 8'!B171</f>
        <v>0443</v>
      </c>
      <c r="D262" s="6" t="s">
        <v>565</v>
      </c>
      <c r="E262" s="103">
        <f t="shared" si="134"/>
        <v>0</v>
      </c>
      <c r="F262" s="103"/>
      <c r="G262" s="103"/>
      <c r="H262" s="103"/>
      <c r="I262" s="103"/>
      <c r="J262" s="103">
        <f t="shared" si="136"/>
        <v>120560</v>
      </c>
      <c r="K262" s="103">
        <f>42471+46089+10000+22000</f>
        <v>120560</v>
      </c>
      <c r="L262" s="103"/>
      <c r="M262" s="103"/>
      <c r="N262" s="103"/>
      <c r="O262" s="103">
        <f>42471+46089+10000+22000</f>
        <v>120560</v>
      </c>
      <c r="P262" s="103">
        <f t="shared" si="135"/>
        <v>120560</v>
      </c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</row>
    <row r="263" spans="1:527" s="22" customFormat="1" ht="18.75" x14ac:dyDescent="0.25">
      <c r="A263" s="60" t="s">
        <v>280</v>
      </c>
      <c r="B263" s="97" t="str">
        <f>'дод 8'!A172</f>
        <v>7322</v>
      </c>
      <c r="C263" s="97" t="str">
        <f>'дод 8'!B172</f>
        <v>0443</v>
      </c>
      <c r="D263" s="6" t="s">
        <v>566</v>
      </c>
      <c r="E263" s="103">
        <f t="shared" si="134"/>
        <v>0</v>
      </c>
      <c r="F263" s="103"/>
      <c r="G263" s="103"/>
      <c r="H263" s="103"/>
      <c r="I263" s="103"/>
      <c r="J263" s="103">
        <f t="shared" si="136"/>
        <v>6800000</v>
      </c>
      <c r="K263" s="103">
        <f>3000000+1800000+2000000</f>
        <v>6800000</v>
      </c>
      <c r="L263" s="103"/>
      <c r="M263" s="103"/>
      <c r="N263" s="103"/>
      <c r="O263" s="103">
        <f>3000000+1800000+2000000</f>
        <v>6800000</v>
      </c>
      <c r="P263" s="103">
        <f t="shared" si="135"/>
        <v>6800000</v>
      </c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</row>
    <row r="264" spans="1:527" s="22" customFormat="1" ht="18.75" x14ac:dyDescent="0.25">
      <c r="A264" s="60" t="s">
        <v>582</v>
      </c>
      <c r="B264" s="97">
        <v>7324</v>
      </c>
      <c r="C264" s="97"/>
      <c r="D264" s="6" t="s">
        <v>568</v>
      </c>
      <c r="E264" s="103">
        <f t="shared" si="134"/>
        <v>0</v>
      </c>
      <c r="F264" s="103"/>
      <c r="G264" s="103"/>
      <c r="H264" s="103"/>
      <c r="I264" s="103"/>
      <c r="J264" s="103">
        <f t="shared" si="136"/>
        <v>400000</v>
      </c>
      <c r="K264" s="103">
        <v>400000</v>
      </c>
      <c r="L264" s="103"/>
      <c r="M264" s="103"/>
      <c r="N264" s="103"/>
      <c r="O264" s="103">
        <v>400000</v>
      </c>
      <c r="P264" s="103">
        <f t="shared" si="135"/>
        <v>400000</v>
      </c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</row>
    <row r="265" spans="1:527" s="22" customFormat="1" ht="34.5" x14ac:dyDescent="0.25">
      <c r="A265" s="60" t="s">
        <v>361</v>
      </c>
      <c r="B265" s="97">
        <f>'дод 8'!A175</f>
        <v>7325</v>
      </c>
      <c r="C265" s="60" t="s">
        <v>113</v>
      </c>
      <c r="D265" s="6" t="s">
        <v>563</v>
      </c>
      <c r="E265" s="103">
        <f t="shared" si="134"/>
        <v>0</v>
      </c>
      <c r="F265" s="103"/>
      <c r="G265" s="103"/>
      <c r="H265" s="103"/>
      <c r="I265" s="103"/>
      <c r="J265" s="103">
        <f t="shared" si="136"/>
        <v>1799440</v>
      </c>
      <c r="K265" s="103">
        <f>199440+1000000+600000</f>
        <v>1799440</v>
      </c>
      <c r="L265" s="103"/>
      <c r="M265" s="103"/>
      <c r="N265" s="103"/>
      <c r="O265" s="103">
        <f>199440+1000000+600000</f>
        <v>1799440</v>
      </c>
      <c r="P265" s="103">
        <f t="shared" si="135"/>
        <v>1799440</v>
      </c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</row>
    <row r="266" spans="1:527" s="22" customFormat="1" ht="18" customHeight="1" x14ac:dyDescent="0.25">
      <c r="A266" s="60" t="s">
        <v>282</v>
      </c>
      <c r="B266" s="97" t="str">
        <f>'дод 8'!A176</f>
        <v>7330</v>
      </c>
      <c r="C266" s="97" t="str">
        <f>'дод 8'!B176</f>
        <v>0443</v>
      </c>
      <c r="D266" s="6" t="s">
        <v>564</v>
      </c>
      <c r="E266" s="103">
        <f t="shared" si="134"/>
        <v>0</v>
      </c>
      <c r="F266" s="103"/>
      <c r="G266" s="103"/>
      <c r="H266" s="103"/>
      <c r="I266" s="103"/>
      <c r="J266" s="103">
        <f t="shared" si="136"/>
        <v>13686480</v>
      </c>
      <c r="K266" s="103">
        <f>39750000+1567447+258138-1800000+200000+135000+200000+95995-28000000+240000-70000+60000+30000-30000+49900+1000000</f>
        <v>13686480</v>
      </c>
      <c r="L266" s="103"/>
      <c r="M266" s="103"/>
      <c r="N266" s="103"/>
      <c r="O266" s="103">
        <f>39750000+1567447+258138-1800000+200000+135000+200000+95995-28000000+240000-70000+60000+30000-30000+49900+1000000</f>
        <v>13686480</v>
      </c>
      <c r="P266" s="103">
        <f t="shared" si="135"/>
        <v>13686480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</row>
    <row r="267" spans="1:527" s="22" customFormat="1" ht="31.5" x14ac:dyDescent="0.25">
      <c r="A267" s="60" t="s">
        <v>430</v>
      </c>
      <c r="B267" s="97">
        <v>7340</v>
      </c>
      <c r="C267" s="60" t="s">
        <v>113</v>
      </c>
      <c r="D267" s="61" t="s">
        <v>1</v>
      </c>
      <c r="E267" s="103">
        <f t="shared" si="134"/>
        <v>0</v>
      </c>
      <c r="F267" s="103"/>
      <c r="G267" s="103"/>
      <c r="H267" s="103"/>
      <c r="I267" s="103"/>
      <c r="J267" s="103">
        <f t="shared" si="136"/>
        <v>1000000</v>
      </c>
      <c r="K267" s="103">
        <f>6000000-2067496-104420-86000-2742084</f>
        <v>1000000</v>
      </c>
      <c r="L267" s="103"/>
      <c r="M267" s="103"/>
      <c r="N267" s="103"/>
      <c r="O267" s="103">
        <f>6000000-2067496-104420-86000-2742084</f>
        <v>1000000</v>
      </c>
      <c r="P267" s="103">
        <f t="shared" si="135"/>
        <v>1000000</v>
      </c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</row>
    <row r="268" spans="1:527" s="22" customFormat="1" ht="53.25" customHeight="1" x14ac:dyDescent="0.25">
      <c r="A268" s="60" t="s">
        <v>373</v>
      </c>
      <c r="B268" s="97">
        <f>'дод 8'!A179</f>
        <v>7361</v>
      </c>
      <c r="C268" s="97" t="str">
        <f>'дод 8'!B179</f>
        <v>0490</v>
      </c>
      <c r="D268" s="61" t="str">
        <f>'дод 8'!C179</f>
        <v>Співфінансування інвестиційних проектів, що реалізуються за рахунок коштів державного фонду регіонального розвитку</v>
      </c>
      <c r="E268" s="103">
        <f t="shared" ref="E268" si="137">F268+I268</f>
        <v>0</v>
      </c>
      <c r="F268" s="103"/>
      <c r="G268" s="103"/>
      <c r="H268" s="103"/>
      <c r="I268" s="103"/>
      <c r="J268" s="103">
        <f t="shared" ref="J268" si="138">L268+O268</f>
        <v>53172673</v>
      </c>
      <c r="K268" s="103">
        <f>10172673+28000000+15000000</f>
        <v>53172673</v>
      </c>
      <c r="L268" s="103"/>
      <c r="M268" s="103"/>
      <c r="N268" s="103"/>
      <c r="O268" s="103">
        <f>10172673+28000000+15000000</f>
        <v>53172673</v>
      </c>
      <c r="P268" s="103">
        <f t="shared" si="135"/>
        <v>53172673</v>
      </c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</row>
    <row r="269" spans="1:527" s="22" customFormat="1" ht="47.25" hidden="1" customHeight="1" x14ac:dyDescent="0.25">
      <c r="A269" s="60" t="s">
        <v>368</v>
      </c>
      <c r="B269" s="97">
        <v>7363</v>
      </c>
      <c r="C269" s="60" t="s">
        <v>84</v>
      </c>
      <c r="D269" s="61" t="s">
        <v>400</v>
      </c>
      <c r="E269" s="103">
        <f t="shared" si="134"/>
        <v>0</v>
      </c>
      <c r="F269" s="103"/>
      <c r="G269" s="103"/>
      <c r="H269" s="103"/>
      <c r="I269" s="103"/>
      <c r="J269" s="103">
        <f t="shared" si="136"/>
        <v>0</v>
      </c>
      <c r="K269" s="103"/>
      <c r="L269" s="103"/>
      <c r="M269" s="103"/>
      <c r="N269" s="103"/>
      <c r="O269" s="103"/>
      <c r="P269" s="103">
        <f t="shared" si="135"/>
        <v>0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  <c r="TF269" s="23"/>
      <c r="TG269" s="23"/>
    </row>
    <row r="270" spans="1:527" s="22" customFormat="1" ht="31.5" x14ac:dyDescent="0.25">
      <c r="A270" s="60" t="s">
        <v>433</v>
      </c>
      <c r="B270" s="97">
        <v>7370</v>
      </c>
      <c r="C270" s="60" t="s">
        <v>84</v>
      </c>
      <c r="D270" s="61" t="s">
        <v>434</v>
      </c>
      <c r="E270" s="103">
        <f>F270+I270</f>
        <v>104420</v>
      </c>
      <c r="F270" s="103">
        <v>104420</v>
      </c>
      <c r="G270" s="103"/>
      <c r="H270" s="103"/>
      <c r="I270" s="103"/>
      <c r="J270" s="103">
        <f t="shared" si="136"/>
        <v>0</v>
      </c>
      <c r="K270" s="103"/>
      <c r="L270" s="103"/>
      <c r="M270" s="103"/>
      <c r="N270" s="103"/>
      <c r="O270" s="103"/>
      <c r="P270" s="103">
        <f t="shared" si="135"/>
        <v>104420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</row>
    <row r="271" spans="1:527" s="22" customFormat="1" ht="21.75" customHeight="1" x14ac:dyDescent="0.25">
      <c r="A271" s="60" t="s">
        <v>148</v>
      </c>
      <c r="B271" s="97" t="str">
        <f>'дод 8'!A202</f>
        <v>7640</v>
      </c>
      <c r="C271" s="97" t="str">
        <f>'дод 8'!B202</f>
        <v>0470</v>
      </c>
      <c r="D271" s="61" t="s">
        <v>474</v>
      </c>
      <c r="E271" s="103">
        <f t="shared" si="134"/>
        <v>1015684.55</v>
      </c>
      <c r="F271" s="103">
        <f>1763607-797422.45+49500</f>
        <v>1015684.55</v>
      </c>
      <c r="G271" s="103"/>
      <c r="H271" s="103"/>
      <c r="I271" s="103"/>
      <c r="J271" s="103">
        <f t="shared" si="136"/>
        <v>139615838.44999999</v>
      </c>
      <c r="K271" s="103">
        <f>124644482+797422.45+2700000</f>
        <v>128141904.45</v>
      </c>
      <c r="L271" s="117"/>
      <c r="M271" s="103"/>
      <c r="N271" s="103"/>
      <c r="O271" s="103">
        <f>136118416+797422.45+2700000</f>
        <v>139615838.44999999</v>
      </c>
      <c r="P271" s="103">
        <f t="shared" si="135"/>
        <v>140631523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  <c r="TF271" s="23"/>
      <c r="TG271" s="23"/>
    </row>
    <row r="272" spans="1:527" s="24" customFormat="1" ht="17.25" customHeight="1" x14ac:dyDescent="0.25">
      <c r="A272" s="88"/>
      <c r="B272" s="115"/>
      <c r="C272" s="115"/>
      <c r="D272" s="89" t="s">
        <v>421</v>
      </c>
      <c r="E272" s="105">
        <f t="shared" si="134"/>
        <v>0</v>
      </c>
      <c r="F272" s="105"/>
      <c r="G272" s="105"/>
      <c r="H272" s="105"/>
      <c r="I272" s="105"/>
      <c r="J272" s="105">
        <f t="shared" si="136"/>
        <v>96859595</v>
      </c>
      <c r="K272" s="105">
        <v>96859595</v>
      </c>
      <c r="L272" s="118"/>
      <c r="M272" s="105"/>
      <c r="N272" s="105"/>
      <c r="O272" s="105">
        <v>96859595</v>
      </c>
      <c r="P272" s="105">
        <f t="shared" si="135"/>
        <v>96859595</v>
      </c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0"/>
      <c r="DQ272" s="30"/>
      <c r="DR272" s="30"/>
      <c r="DS272" s="30"/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  <c r="EF272" s="30"/>
      <c r="EG272" s="30"/>
      <c r="EH272" s="30"/>
      <c r="EI272" s="30"/>
      <c r="EJ272" s="30"/>
      <c r="EK272" s="30"/>
      <c r="EL272" s="30"/>
      <c r="EM272" s="30"/>
      <c r="EN272" s="30"/>
      <c r="EO272" s="30"/>
      <c r="EP272" s="30"/>
      <c r="EQ272" s="30"/>
      <c r="ER272" s="30"/>
      <c r="ES272" s="30"/>
      <c r="ET272" s="30"/>
      <c r="EU272" s="30"/>
      <c r="EV272" s="30"/>
      <c r="EW272" s="30"/>
      <c r="EX272" s="30"/>
      <c r="EY272" s="30"/>
      <c r="EZ272" s="30"/>
      <c r="FA272" s="30"/>
      <c r="FB272" s="30"/>
      <c r="FC272" s="30"/>
      <c r="FD272" s="30"/>
      <c r="FE272" s="30"/>
      <c r="FF272" s="30"/>
      <c r="FG272" s="30"/>
      <c r="FH272" s="30"/>
      <c r="FI272" s="30"/>
      <c r="FJ272" s="30"/>
      <c r="FK272" s="30"/>
      <c r="FL272" s="30"/>
      <c r="FM272" s="30"/>
      <c r="FN272" s="30"/>
      <c r="FO272" s="30"/>
      <c r="FP272" s="30"/>
      <c r="FQ272" s="30"/>
      <c r="FR272" s="30"/>
      <c r="FS272" s="30"/>
      <c r="FT272" s="30"/>
      <c r="FU272" s="30"/>
      <c r="FV272" s="30"/>
      <c r="FW272" s="30"/>
      <c r="FX272" s="30"/>
      <c r="FY272" s="30"/>
      <c r="FZ272" s="30"/>
      <c r="GA272" s="30"/>
      <c r="GB272" s="30"/>
      <c r="GC272" s="30"/>
      <c r="GD272" s="30"/>
      <c r="GE272" s="30"/>
      <c r="GF272" s="30"/>
      <c r="GG272" s="30"/>
      <c r="GH272" s="30"/>
      <c r="GI272" s="30"/>
      <c r="GJ272" s="30"/>
      <c r="GK272" s="30"/>
      <c r="GL272" s="30"/>
      <c r="GM272" s="30"/>
      <c r="GN272" s="30"/>
      <c r="GO272" s="30"/>
      <c r="GP272" s="30"/>
      <c r="GQ272" s="30"/>
      <c r="GR272" s="30"/>
      <c r="GS272" s="30"/>
      <c r="GT272" s="30"/>
      <c r="GU272" s="30"/>
      <c r="GV272" s="30"/>
      <c r="GW272" s="30"/>
      <c r="GX272" s="30"/>
      <c r="GY272" s="30"/>
      <c r="GZ272" s="30"/>
      <c r="HA272" s="30"/>
      <c r="HB272" s="30"/>
      <c r="HC272" s="30"/>
      <c r="HD272" s="30"/>
      <c r="HE272" s="30"/>
      <c r="HF272" s="30"/>
      <c r="HG272" s="30"/>
      <c r="HH272" s="30"/>
      <c r="HI272" s="30"/>
      <c r="HJ272" s="30"/>
      <c r="HK272" s="30"/>
      <c r="HL272" s="30"/>
      <c r="HM272" s="30"/>
      <c r="HN272" s="30"/>
      <c r="HO272" s="30"/>
      <c r="HP272" s="30"/>
      <c r="HQ272" s="30"/>
      <c r="HR272" s="30"/>
      <c r="HS272" s="30"/>
      <c r="HT272" s="30"/>
      <c r="HU272" s="30"/>
      <c r="HV272" s="30"/>
      <c r="HW272" s="30"/>
      <c r="HX272" s="30"/>
      <c r="HY272" s="30"/>
      <c r="HZ272" s="30"/>
      <c r="IA272" s="30"/>
      <c r="IB272" s="30"/>
      <c r="IC272" s="30"/>
      <c r="ID272" s="30"/>
      <c r="IE272" s="30"/>
      <c r="IF272" s="30"/>
      <c r="IG272" s="30"/>
      <c r="IH272" s="30"/>
      <c r="II272" s="30"/>
      <c r="IJ272" s="30"/>
      <c r="IK272" s="30"/>
      <c r="IL272" s="30"/>
      <c r="IM272" s="30"/>
      <c r="IN272" s="30"/>
      <c r="IO272" s="30"/>
      <c r="IP272" s="30"/>
      <c r="IQ272" s="30"/>
      <c r="IR272" s="30"/>
      <c r="IS272" s="30"/>
      <c r="IT272" s="30"/>
      <c r="IU272" s="30"/>
      <c r="IV272" s="30"/>
      <c r="IW272" s="30"/>
      <c r="IX272" s="30"/>
      <c r="IY272" s="30"/>
      <c r="IZ272" s="30"/>
      <c r="JA272" s="30"/>
      <c r="JB272" s="30"/>
      <c r="JC272" s="30"/>
      <c r="JD272" s="30"/>
      <c r="JE272" s="30"/>
      <c r="JF272" s="30"/>
      <c r="JG272" s="30"/>
      <c r="JH272" s="30"/>
      <c r="JI272" s="30"/>
      <c r="JJ272" s="30"/>
      <c r="JK272" s="30"/>
      <c r="JL272" s="30"/>
      <c r="JM272" s="30"/>
      <c r="JN272" s="30"/>
      <c r="JO272" s="30"/>
      <c r="JP272" s="30"/>
      <c r="JQ272" s="30"/>
      <c r="JR272" s="30"/>
      <c r="JS272" s="30"/>
      <c r="JT272" s="30"/>
      <c r="JU272" s="30"/>
      <c r="JV272" s="30"/>
      <c r="JW272" s="30"/>
      <c r="JX272" s="30"/>
      <c r="JY272" s="30"/>
      <c r="JZ272" s="30"/>
      <c r="KA272" s="30"/>
      <c r="KB272" s="30"/>
      <c r="KC272" s="30"/>
      <c r="KD272" s="30"/>
      <c r="KE272" s="30"/>
      <c r="KF272" s="30"/>
      <c r="KG272" s="30"/>
      <c r="KH272" s="30"/>
      <c r="KI272" s="30"/>
      <c r="KJ272" s="30"/>
      <c r="KK272" s="30"/>
      <c r="KL272" s="30"/>
      <c r="KM272" s="30"/>
      <c r="KN272" s="30"/>
      <c r="KO272" s="30"/>
      <c r="KP272" s="30"/>
      <c r="KQ272" s="30"/>
      <c r="KR272" s="30"/>
      <c r="KS272" s="30"/>
      <c r="KT272" s="30"/>
      <c r="KU272" s="30"/>
      <c r="KV272" s="30"/>
      <c r="KW272" s="30"/>
      <c r="KX272" s="30"/>
      <c r="KY272" s="30"/>
      <c r="KZ272" s="30"/>
      <c r="LA272" s="30"/>
      <c r="LB272" s="30"/>
      <c r="LC272" s="30"/>
      <c r="LD272" s="30"/>
      <c r="LE272" s="30"/>
      <c r="LF272" s="30"/>
      <c r="LG272" s="30"/>
      <c r="LH272" s="30"/>
      <c r="LI272" s="30"/>
      <c r="LJ272" s="30"/>
      <c r="LK272" s="30"/>
      <c r="LL272" s="30"/>
      <c r="LM272" s="30"/>
      <c r="LN272" s="30"/>
      <c r="LO272" s="30"/>
      <c r="LP272" s="30"/>
      <c r="LQ272" s="30"/>
      <c r="LR272" s="30"/>
      <c r="LS272" s="30"/>
      <c r="LT272" s="30"/>
      <c r="LU272" s="30"/>
      <c r="LV272" s="30"/>
      <c r="LW272" s="30"/>
      <c r="LX272" s="30"/>
      <c r="LY272" s="30"/>
      <c r="LZ272" s="30"/>
      <c r="MA272" s="30"/>
      <c r="MB272" s="30"/>
      <c r="MC272" s="30"/>
      <c r="MD272" s="30"/>
      <c r="ME272" s="30"/>
      <c r="MF272" s="30"/>
      <c r="MG272" s="30"/>
      <c r="MH272" s="30"/>
      <c r="MI272" s="30"/>
      <c r="MJ272" s="30"/>
      <c r="MK272" s="30"/>
      <c r="ML272" s="30"/>
      <c r="MM272" s="30"/>
      <c r="MN272" s="30"/>
      <c r="MO272" s="30"/>
      <c r="MP272" s="30"/>
      <c r="MQ272" s="30"/>
      <c r="MR272" s="30"/>
      <c r="MS272" s="30"/>
      <c r="MT272" s="30"/>
      <c r="MU272" s="30"/>
      <c r="MV272" s="30"/>
      <c r="MW272" s="30"/>
      <c r="MX272" s="30"/>
      <c r="MY272" s="30"/>
      <c r="MZ272" s="30"/>
      <c r="NA272" s="30"/>
      <c r="NB272" s="30"/>
      <c r="NC272" s="30"/>
      <c r="ND272" s="30"/>
      <c r="NE272" s="30"/>
      <c r="NF272" s="30"/>
      <c r="NG272" s="30"/>
      <c r="NH272" s="30"/>
      <c r="NI272" s="30"/>
      <c r="NJ272" s="30"/>
      <c r="NK272" s="30"/>
      <c r="NL272" s="30"/>
      <c r="NM272" s="30"/>
      <c r="NN272" s="30"/>
      <c r="NO272" s="30"/>
      <c r="NP272" s="30"/>
      <c r="NQ272" s="30"/>
      <c r="NR272" s="30"/>
      <c r="NS272" s="30"/>
      <c r="NT272" s="30"/>
      <c r="NU272" s="30"/>
      <c r="NV272" s="30"/>
      <c r="NW272" s="30"/>
      <c r="NX272" s="30"/>
      <c r="NY272" s="30"/>
      <c r="NZ272" s="30"/>
      <c r="OA272" s="30"/>
      <c r="OB272" s="30"/>
      <c r="OC272" s="30"/>
      <c r="OD272" s="30"/>
      <c r="OE272" s="30"/>
      <c r="OF272" s="30"/>
      <c r="OG272" s="30"/>
      <c r="OH272" s="30"/>
      <c r="OI272" s="30"/>
      <c r="OJ272" s="30"/>
      <c r="OK272" s="30"/>
      <c r="OL272" s="30"/>
      <c r="OM272" s="30"/>
      <c r="ON272" s="30"/>
      <c r="OO272" s="30"/>
      <c r="OP272" s="30"/>
      <c r="OQ272" s="30"/>
      <c r="OR272" s="30"/>
      <c r="OS272" s="30"/>
      <c r="OT272" s="30"/>
      <c r="OU272" s="30"/>
      <c r="OV272" s="30"/>
      <c r="OW272" s="30"/>
      <c r="OX272" s="30"/>
      <c r="OY272" s="30"/>
      <c r="OZ272" s="30"/>
      <c r="PA272" s="30"/>
      <c r="PB272" s="30"/>
      <c r="PC272" s="30"/>
      <c r="PD272" s="30"/>
      <c r="PE272" s="30"/>
      <c r="PF272" s="30"/>
      <c r="PG272" s="30"/>
      <c r="PH272" s="30"/>
      <c r="PI272" s="30"/>
      <c r="PJ272" s="30"/>
      <c r="PK272" s="30"/>
      <c r="PL272" s="30"/>
      <c r="PM272" s="30"/>
      <c r="PN272" s="30"/>
      <c r="PO272" s="30"/>
      <c r="PP272" s="30"/>
      <c r="PQ272" s="30"/>
      <c r="PR272" s="30"/>
      <c r="PS272" s="30"/>
      <c r="PT272" s="30"/>
      <c r="PU272" s="30"/>
      <c r="PV272" s="30"/>
      <c r="PW272" s="30"/>
      <c r="PX272" s="30"/>
      <c r="PY272" s="30"/>
      <c r="PZ272" s="30"/>
      <c r="QA272" s="30"/>
      <c r="QB272" s="30"/>
      <c r="QC272" s="30"/>
      <c r="QD272" s="30"/>
      <c r="QE272" s="30"/>
      <c r="QF272" s="30"/>
      <c r="QG272" s="30"/>
      <c r="QH272" s="30"/>
      <c r="QI272" s="30"/>
      <c r="QJ272" s="30"/>
      <c r="QK272" s="30"/>
      <c r="QL272" s="30"/>
      <c r="QM272" s="30"/>
      <c r="QN272" s="30"/>
      <c r="QO272" s="30"/>
      <c r="QP272" s="30"/>
      <c r="QQ272" s="30"/>
      <c r="QR272" s="30"/>
      <c r="QS272" s="30"/>
      <c r="QT272" s="30"/>
      <c r="QU272" s="30"/>
      <c r="QV272" s="30"/>
      <c r="QW272" s="30"/>
      <c r="QX272" s="30"/>
      <c r="QY272" s="30"/>
      <c r="QZ272" s="30"/>
      <c r="RA272" s="30"/>
      <c r="RB272" s="30"/>
      <c r="RC272" s="30"/>
      <c r="RD272" s="30"/>
      <c r="RE272" s="30"/>
      <c r="RF272" s="30"/>
      <c r="RG272" s="30"/>
      <c r="RH272" s="30"/>
      <c r="RI272" s="30"/>
      <c r="RJ272" s="30"/>
      <c r="RK272" s="30"/>
      <c r="RL272" s="30"/>
      <c r="RM272" s="30"/>
      <c r="RN272" s="30"/>
      <c r="RO272" s="30"/>
      <c r="RP272" s="30"/>
      <c r="RQ272" s="30"/>
      <c r="RR272" s="30"/>
      <c r="RS272" s="30"/>
      <c r="RT272" s="30"/>
      <c r="RU272" s="30"/>
      <c r="RV272" s="30"/>
      <c r="RW272" s="30"/>
      <c r="RX272" s="30"/>
      <c r="RY272" s="30"/>
      <c r="RZ272" s="30"/>
      <c r="SA272" s="30"/>
      <c r="SB272" s="30"/>
      <c r="SC272" s="30"/>
      <c r="SD272" s="30"/>
      <c r="SE272" s="30"/>
      <c r="SF272" s="30"/>
      <c r="SG272" s="30"/>
      <c r="SH272" s="30"/>
      <c r="SI272" s="30"/>
      <c r="SJ272" s="30"/>
      <c r="SK272" s="30"/>
      <c r="SL272" s="30"/>
      <c r="SM272" s="30"/>
      <c r="SN272" s="30"/>
      <c r="SO272" s="30"/>
      <c r="SP272" s="30"/>
      <c r="SQ272" s="30"/>
      <c r="SR272" s="30"/>
      <c r="SS272" s="30"/>
      <c r="ST272" s="30"/>
      <c r="SU272" s="30"/>
      <c r="SV272" s="30"/>
      <c r="SW272" s="30"/>
      <c r="SX272" s="30"/>
      <c r="SY272" s="30"/>
      <c r="SZ272" s="30"/>
      <c r="TA272" s="30"/>
      <c r="TB272" s="30"/>
      <c r="TC272" s="30"/>
      <c r="TD272" s="30"/>
      <c r="TE272" s="30"/>
      <c r="TF272" s="30"/>
      <c r="TG272" s="30"/>
    </row>
    <row r="273" spans="1:527" s="22" customFormat="1" ht="126" hidden="1" customHeight="1" x14ac:dyDescent="0.25">
      <c r="A273" s="60" t="s">
        <v>371</v>
      </c>
      <c r="B273" s="97">
        <v>7691</v>
      </c>
      <c r="C273" s="37" t="s">
        <v>84</v>
      </c>
      <c r="D273" s="61" t="s">
        <v>316</v>
      </c>
      <c r="E273" s="103">
        <f t="shared" si="134"/>
        <v>0</v>
      </c>
      <c r="F273" s="103"/>
      <c r="G273" s="103"/>
      <c r="H273" s="103"/>
      <c r="I273" s="103"/>
      <c r="J273" s="103">
        <f t="shared" si="136"/>
        <v>0</v>
      </c>
      <c r="K273" s="103"/>
      <c r="L273" s="117"/>
      <c r="M273" s="103"/>
      <c r="N273" s="103"/>
      <c r="O273" s="103"/>
      <c r="P273" s="103">
        <f t="shared" si="135"/>
        <v>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</row>
    <row r="274" spans="1:527" s="22" customFormat="1" ht="33.75" customHeight="1" x14ac:dyDescent="0.25">
      <c r="A274" s="60" t="s">
        <v>543</v>
      </c>
      <c r="B274" s="97">
        <v>9750</v>
      </c>
      <c r="C274" s="60" t="s">
        <v>46</v>
      </c>
      <c r="D274" s="61" t="s">
        <v>544</v>
      </c>
      <c r="E274" s="103">
        <f t="shared" ref="E274" si="139">F274+I274</f>
        <v>0</v>
      </c>
      <c r="F274" s="103"/>
      <c r="G274" s="103"/>
      <c r="H274" s="103"/>
      <c r="I274" s="103"/>
      <c r="J274" s="103">
        <f t="shared" ref="J274" si="140">L274+O274</f>
        <v>86000</v>
      </c>
      <c r="K274" s="103">
        <v>86000</v>
      </c>
      <c r="L274" s="117"/>
      <c r="M274" s="103"/>
      <c r="N274" s="103"/>
      <c r="O274" s="103">
        <v>86000</v>
      </c>
      <c r="P274" s="103">
        <f t="shared" ref="P274" si="141">E274+J274</f>
        <v>86000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  <c r="TF274" s="23"/>
      <c r="TG274" s="23"/>
    </row>
    <row r="275" spans="1:527" s="27" customFormat="1" ht="30.75" customHeight="1" x14ac:dyDescent="0.25">
      <c r="A275" s="114" t="s">
        <v>209</v>
      </c>
      <c r="B275" s="116"/>
      <c r="C275" s="116"/>
      <c r="D275" s="111" t="s">
        <v>41</v>
      </c>
      <c r="E275" s="99">
        <f>E276</f>
        <v>11866688</v>
      </c>
      <c r="F275" s="99">
        <f t="shared" ref="F275:J275" si="142">F276</f>
        <v>11866688</v>
      </c>
      <c r="G275" s="99">
        <f t="shared" si="142"/>
        <v>7405200</v>
      </c>
      <c r="H275" s="99">
        <f t="shared" si="142"/>
        <v>126922</v>
      </c>
      <c r="I275" s="99">
        <f t="shared" si="142"/>
        <v>0</v>
      </c>
      <c r="J275" s="99">
        <f t="shared" si="142"/>
        <v>2596250.2999999998</v>
      </c>
      <c r="K275" s="99">
        <f t="shared" ref="K275" si="143">K276</f>
        <v>0</v>
      </c>
      <c r="L275" s="99">
        <f t="shared" ref="L275" si="144">L276</f>
        <v>2596250.2999999998</v>
      </c>
      <c r="M275" s="99">
        <f t="shared" ref="M275" si="145">M276</f>
        <v>0</v>
      </c>
      <c r="N275" s="99">
        <f t="shared" ref="N275" si="146">N276</f>
        <v>0</v>
      </c>
      <c r="O275" s="99">
        <f t="shared" ref="O275:P275" si="147">O276</f>
        <v>0</v>
      </c>
      <c r="P275" s="99">
        <f t="shared" si="147"/>
        <v>14462938.300000001</v>
      </c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</row>
    <row r="276" spans="1:527" s="34" customFormat="1" ht="35.25" customHeight="1" x14ac:dyDescent="0.25">
      <c r="A276" s="100" t="s">
        <v>210</v>
      </c>
      <c r="B276" s="113"/>
      <c r="C276" s="113"/>
      <c r="D276" s="81" t="s">
        <v>41</v>
      </c>
      <c r="E276" s="102">
        <f>E277+E278+E279+E280+E281</f>
        <v>11866688</v>
      </c>
      <c r="F276" s="102">
        <f>F277+F278+F279+F280+F281</f>
        <v>11866688</v>
      </c>
      <c r="G276" s="102">
        <f t="shared" ref="G276:P276" si="148">G277+G278+G279+G280+G281</f>
        <v>7405200</v>
      </c>
      <c r="H276" s="102">
        <f t="shared" si="148"/>
        <v>126922</v>
      </c>
      <c r="I276" s="102">
        <f t="shared" si="148"/>
        <v>0</v>
      </c>
      <c r="J276" s="102">
        <f t="shared" si="148"/>
        <v>2596250.2999999998</v>
      </c>
      <c r="K276" s="102">
        <f t="shared" si="148"/>
        <v>0</v>
      </c>
      <c r="L276" s="102">
        <f t="shared" si="148"/>
        <v>2596250.2999999998</v>
      </c>
      <c r="M276" s="102">
        <f t="shared" si="148"/>
        <v>0</v>
      </c>
      <c r="N276" s="102">
        <f t="shared" si="148"/>
        <v>0</v>
      </c>
      <c r="O276" s="102">
        <f t="shared" si="148"/>
        <v>0</v>
      </c>
      <c r="P276" s="102">
        <f t="shared" si="148"/>
        <v>14462938.300000001</v>
      </c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  <c r="SQ276" s="33"/>
      <c r="SR276" s="33"/>
      <c r="SS276" s="33"/>
      <c r="ST276" s="33"/>
      <c r="SU276" s="33"/>
      <c r="SV276" s="33"/>
      <c r="SW276" s="33"/>
      <c r="SX276" s="33"/>
      <c r="SY276" s="33"/>
      <c r="SZ276" s="33"/>
      <c r="TA276" s="33"/>
      <c r="TB276" s="33"/>
      <c r="TC276" s="33"/>
      <c r="TD276" s="33"/>
      <c r="TE276" s="33"/>
      <c r="TF276" s="33"/>
      <c r="TG276" s="33"/>
    </row>
    <row r="277" spans="1:527" s="22" customFormat="1" ht="47.25" x14ac:dyDescent="0.25">
      <c r="A277" s="60" t="s">
        <v>211</v>
      </c>
      <c r="B277" s="97" t="str">
        <f>'дод 8'!A19</f>
        <v>0160</v>
      </c>
      <c r="C277" s="97" t="str">
        <f>'дод 8'!B19</f>
        <v>0111</v>
      </c>
      <c r="D277" s="36" t="s">
        <v>503</v>
      </c>
      <c r="E277" s="103">
        <f>F277+I277</f>
        <v>9431422</v>
      </c>
      <c r="F277" s="103">
        <f>9390500+40922</f>
        <v>9431422</v>
      </c>
      <c r="G277" s="103">
        <v>7405200</v>
      </c>
      <c r="H277" s="103">
        <f>86000+40922</f>
        <v>126922</v>
      </c>
      <c r="I277" s="103"/>
      <c r="J277" s="103">
        <f t="shared" si="136"/>
        <v>0</v>
      </c>
      <c r="K277" s="103"/>
      <c r="L277" s="103"/>
      <c r="M277" s="103"/>
      <c r="N277" s="103"/>
      <c r="O277" s="103"/>
      <c r="P277" s="103">
        <f>E277+J277</f>
        <v>9431422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</row>
    <row r="278" spans="1:527" s="22" customFormat="1" ht="31.5" x14ac:dyDescent="0.25">
      <c r="A278" s="60" t="s">
        <v>313</v>
      </c>
      <c r="B278" s="97" t="str">
        <f>'дод 8'!A161</f>
        <v>6090</v>
      </c>
      <c r="C278" s="97" t="str">
        <f>'дод 8'!B161</f>
        <v>0640</v>
      </c>
      <c r="D278" s="61" t="str">
        <f>'дод 8'!C161</f>
        <v>Інша діяльність у сфері житлово-комунального господарства</v>
      </c>
      <c r="E278" s="103">
        <f>F278+I278</f>
        <v>175000</v>
      </c>
      <c r="F278" s="103">
        <v>175000</v>
      </c>
      <c r="G278" s="103"/>
      <c r="H278" s="103"/>
      <c r="I278" s="103"/>
      <c r="J278" s="103">
        <f t="shared" si="136"/>
        <v>0</v>
      </c>
      <c r="K278" s="103"/>
      <c r="L278" s="103"/>
      <c r="M278" s="103"/>
      <c r="N278" s="103"/>
      <c r="O278" s="103"/>
      <c r="P278" s="103">
        <f>E278+J278</f>
        <v>175000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</row>
    <row r="279" spans="1:527" s="22" customFormat="1" ht="31.5" hidden="1" x14ac:dyDescent="0.25">
      <c r="A279" s="60" t="s">
        <v>461</v>
      </c>
      <c r="B279" s="60" t="s">
        <v>462</v>
      </c>
      <c r="C279" s="60" t="s">
        <v>113</v>
      </c>
      <c r="D279" s="61" t="s">
        <v>463</v>
      </c>
      <c r="E279" s="103">
        <f>F279+I279</f>
        <v>0</v>
      </c>
      <c r="F279" s="103"/>
      <c r="G279" s="103"/>
      <c r="H279" s="103"/>
      <c r="I279" s="103"/>
      <c r="J279" s="103">
        <f t="shared" si="136"/>
        <v>0</v>
      </c>
      <c r="K279" s="103">
        <f>900000-900000</f>
        <v>0</v>
      </c>
      <c r="L279" s="103"/>
      <c r="M279" s="103"/>
      <c r="N279" s="103"/>
      <c r="O279" s="103">
        <f>900000-900000</f>
        <v>0</v>
      </c>
      <c r="P279" s="103">
        <f>E279+J279</f>
        <v>0</v>
      </c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</row>
    <row r="280" spans="1:527" s="22" customFormat="1" ht="31.5" x14ac:dyDescent="0.25">
      <c r="A280" s="60" t="s">
        <v>573</v>
      </c>
      <c r="B280" s="60" t="s">
        <v>574</v>
      </c>
      <c r="C280" s="60" t="s">
        <v>84</v>
      </c>
      <c r="D280" s="61" t="s">
        <v>434</v>
      </c>
      <c r="E280" s="103">
        <f>F280+I280</f>
        <v>2260266</v>
      </c>
      <c r="F280" s="103">
        <f>1360266+900000</f>
        <v>2260266</v>
      </c>
      <c r="G280" s="103"/>
      <c r="H280" s="103"/>
      <c r="I280" s="103"/>
      <c r="J280" s="103">
        <f t="shared" ref="J280" si="149">L280+O280</f>
        <v>0</v>
      </c>
      <c r="K280" s="103"/>
      <c r="L280" s="103"/>
      <c r="M280" s="103"/>
      <c r="N280" s="103"/>
      <c r="O280" s="103"/>
      <c r="P280" s="103">
        <f>E280+J280</f>
        <v>2260266</v>
      </c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  <c r="SQ280" s="23"/>
      <c r="SR280" s="23"/>
      <c r="SS280" s="23"/>
      <c r="ST280" s="23"/>
      <c r="SU280" s="23"/>
      <c r="SV280" s="23"/>
      <c r="SW280" s="23"/>
      <c r="SX280" s="23"/>
      <c r="SY280" s="23"/>
      <c r="SZ280" s="23"/>
      <c r="TA280" s="23"/>
      <c r="TB280" s="23"/>
      <c r="TC280" s="23"/>
      <c r="TD280" s="23"/>
      <c r="TE280" s="23"/>
      <c r="TF280" s="23"/>
      <c r="TG280" s="23"/>
    </row>
    <row r="281" spans="1:527" s="22" customFormat="1" ht="106.5" customHeight="1" x14ac:dyDescent="0.25">
      <c r="A281" s="107" t="s">
        <v>301</v>
      </c>
      <c r="B281" s="42" t="str">
        <f>'дод 8'!A209</f>
        <v>7691</v>
      </c>
      <c r="C281" s="42" t="str">
        <f>'дод 8'!B209</f>
        <v>0490</v>
      </c>
      <c r="D281" s="36" t="str">
        <f>'дод 8'!C209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81" s="103">
        <f>F281+I281</f>
        <v>0</v>
      </c>
      <c r="F281" s="103"/>
      <c r="G281" s="103"/>
      <c r="H281" s="103"/>
      <c r="I281" s="103"/>
      <c r="J281" s="103">
        <f t="shared" si="136"/>
        <v>2596250.2999999998</v>
      </c>
      <c r="K281" s="103"/>
      <c r="L281" s="103">
        <f>1060391+1535859.3</f>
        <v>2596250.2999999998</v>
      </c>
      <c r="M281" s="103"/>
      <c r="N281" s="103"/>
      <c r="O281" s="103"/>
      <c r="P281" s="103">
        <f>E281+J281</f>
        <v>2596250.2999999998</v>
      </c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</row>
    <row r="282" spans="1:527" s="27" customFormat="1" ht="34.5" customHeight="1" x14ac:dyDescent="0.25">
      <c r="A282" s="114" t="s">
        <v>214</v>
      </c>
      <c r="B282" s="116"/>
      <c r="C282" s="116"/>
      <c r="D282" s="111" t="s">
        <v>43</v>
      </c>
      <c r="E282" s="99">
        <f>E283</f>
        <v>4340725</v>
      </c>
      <c r="F282" s="99">
        <f t="shared" ref="F282:J283" si="150">F283</f>
        <v>4340725</v>
      </c>
      <c r="G282" s="99">
        <f t="shared" si="150"/>
        <v>3301600</v>
      </c>
      <c r="H282" s="99">
        <f t="shared" si="150"/>
        <v>65425</v>
      </c>
      <c r="I282" s="99">
        <f t="shared" si="150"/>
        <v>0</v>
      </c>
      <c r="J282" s="99">
        <f t="shared" si="150"/>
        <v>0</v>
      </c>
      <c r="K282" s="99">
        <f t="shared" ref="K282:K283" si="151">K283</f>
        <v>0</v>
      </c>
      <c r="L282" s="99">
        <f t="shared" ref="L282:L283" si="152">L283</f>
        <v>0</v>
      </c>
      <c r="M282" s="99">
        <f t="shared" ref="M282:M283" si="153">M283</f>
        <v>0</v>
      </c>
      <c r="N282" s="99">
        <f t="shared" ref="N282:N283" si="154">N283</f>
        <v>0</v>
      </c>
      <c r="O282" s="99">
        <f t="shared" ref="O282:P283" si="155">O283</f>
        <v>0</v>
      </c>
      <c r="P282" s="99">
        <f t="shared" si="155"/>
        <v>4340725</v>
      </c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  <c r="TF282" s="32"/>
      <c r="TG282" s="32"/>
    </row>
    <row r="283" spans="1:527" s="34" customFormat="1" ht="35.25" customHeight="1" x14ac:dyDescent="0.25">
      <c r="A283" s="100" t="s">
        <v>212</v>
      </c>
      <c r="B283" s="113"/>
      <c r="C283" s="113"/>
      <c r="D283" s="81" t="s">
        <v>43</v>
      </c>
      <c r="E283" s="102">
        <f>E284</f>
        <v>4340725</v>
      </c>
      <c r="F283" s="102">
        <f t="shared" si="150"/>
        <v>4340725</v>
      </c>
      <c r="G283" s="102">
        <f t="shared" si="150"/>
        <v>3301600</v>
      </c>
      <c r="H283" s="102">
        <f t="shared" si="150"/>
        <v>65425</v>
      </c>
      <c r="I283" s="102">
        <f t="shared" si="150"/>
        <v>0</v>
      </c>
      <c r="J283" s="102">
        <f t="shared" si="150"/>
        <v>0</v>
      </c>
      <c r="K283" s="102">
        <f t="shared" si="151"/>
        <v>0</v>
      </c>
      <c r="L283" s="102">
        <f t="shared" si="152"/>
        <v>0</v>
      </c>
      <c r="M283" s="102">
        <f t="shared" si="153"/>
        <v>0</v>
      </c>
      <c r="N283" s="102">
        <f t="shared" si="154"/>
        <v>0</v>
      </c>
      <c r="O283" s="102">
        <f t="shared" si="155"/>
        <v>0</v>
      </c>
      <c r="P283" s="102">
        <f t="shared" si="155"/>
        <v>4340725</v>
      </c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</row>
    <row r="284" spans="1:527" s="22" customFormat="1" ht="49.5" customHeight="1" x14ac:dyDescent="0.25">
      <c r="A284" s="60" t="s">
        <v>213</v>
      </c>
      <c r="B284" s="97" t="str">
        <f>'дод 8'!A19</f>
        <v>0160</v>
      </c>
      <c r="C284" s="97" t="str">
        <f>'дод 8'!B19</f>
        <v>0111</v>
      </c>
      <c r="D284" s="36" t="s">
        <v>503</v>
      </c>
      <c r="E284" s="103">
        <f>F284+I284</f>
        <v>4340725</v>
      </c>
      <c r="F284" s="103">
        <f>4301300+20000+19425</f>
        <v>4340725</v>
      </c>
      <c r="G284" s="103">
        <v>3301600</v>
      </c>
      <c r="H284" s="103">
        <f>46000+19425</f>
        <v>65425</v>
      </c>
      <c r="I284" s="103"/>
      <c r="J284" s="103">
        <f>L284+O284</f>
        <v>0</v>
      </c>
      <c r="K284" s="103"/>
      <c r="L284" s="103"/>
      <c r="M284" s="103"/>
      <c r="N284" s="103"/>
      <c r="O284" s="103"/>
      <c r="P284" s="103">
        <f>E284+J284</f>
        <v>4340725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</row>
    <row r="285" spans="1:527" s="27" customFormat="1" ht="37.5" customHeight="1" x14ac:dyDescent="0.25">
      <c r="A285" s="114" t="s">
        <v>215</v>
      </c>
      <c r="B285" s="116"/>
      <c r="C285" s="116"/>
      <c r="D285" s="111" t="s">
        <v>40</v>
      </c>
      <c r="E285" s="99">
        <f>E286</f>
        <v>21483478</v>
      </c>
      <c r="F285" s="99">
        <f t="shared" ref="F285:J285" si="156">F286</f>
        <v>20983478</v>
      </c>
      <c r="G285" s="99">
        <f t="shared" si="156"/>
        <v>14962200</v>
      </c>
      <c r="H285" s="99">
        <f t="shared" si="156"/>
        <v>308778</v>
      </c>
      <c r="I285" s="99">
        <f t="shared" si="156"/>
        <v>500000</v>
      </c>
      <c r="J285" s="99">
        <f t="shared" si="156"/>
        <v>65000</v>
      </c>
      <c r="K285" s="99">
        <f t="shared" ref="K285" si="157">K286</f>
        <v>65000</v>
      </c>
      <c r="L285" s="99">
        <f t="shared" ref="L285" si="158">L286</f>
        <v>0</v>
      </c>
      <c r="M285" s="99">
        <f t="shared" ref="M285" si="159">M286</f>
        <v>0</v>
      </c>
      <c r="N285" s="99">
        <f t="shared" ref="N285" si="160">N286</f>
        <v>0</v>
      </c>
      <c r="O285" s="99">
        <f t="shared" ref="O285" si="161">O286</f>
        <v>65000</v>
      </c>
      <c r="P285" s="99">
        <f>P286</f>
        <v>21548478</v>
      </c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  <c r="IP285" s="32"/>
      <c r="IQ285" s="32"/>
      <c r="IR285" s="32"/>
      <c r="IS285" s="32"/>
      <c r="IT285" s="32"/>
      <c r="IU285" s="32"/>
      <c r="IV285" s="32"/>
      <c r="IW285" s="32"/>
      <c r="IX285" s="32"/>
      <c r="IY285" s="32"/>
      <c r="IZ285" s="32"/>
      <c r="JA285" s="32"/>
      <c r="JB285" s="32"/>
      <c r="JC285" s="32"/>
      <c r="JD285" s="32"/>
      <c r="JE285" s="32"/>
      <c r="JF285" s="32"/>
      <c r="JG285" s="32"/>
      <c r="JH285" s="32"/>
      <c r="JI285" s="32"/>
      <c r="JJ285" s="32"/>
      <c r="JK285" s="32"/>
      <c r="JL285" s="32"/>
      <c r="JM285" s="32"/>
      <c r="JN285" s="32"/>
      <c r="JO285" s="32"/>
      <c r="JP285" s="32"/>
      <c r="JQ285" s="32"/>
      <c r="JR285" s="32"/>
      <c r="JS285" s="32"/>
      <c r="JT285" s="32"/>
      <c r="JU285" s="32"/>
      <c r="JV285" s="32"/>
      <c r="JW285" s="32"/>
      <c r="JX285" s="32"/>
      <c r="JY285" s="32"/>
      <c r="JZ285" s="32"/>
      <c r="KA285" s="32"/>
      <c r="KB285" s="32"/>
      <c r="KC285" s="32"/>
      <c r="KD285" s="32"/>
      <c r="KE285" s="32"/>
      <c r="KF285" s="32"/>
      <c r="KG285" s="32"/>
      <c r="KH285" s="32"/>
      <c r="KI285" s="32"/>
      <c r="KJ285" s="32"/>
      <c r="KK285" s="32"/>
      <c r="KL285" s="32"/>
      <c r="KM285" s="32"/>
      <c r="KN285" s="32"/>
      <c r="KO285" s="32"/>
      <c r="KP285" s="32"/>
      <c r="KQ285" s="32"/>
      <c r="KR285" s="32"/>
      <c r="KS285" s="32"/>
      <c r="KT285" s="32"/>
      <c r="KU285" s="32"/>
      <c r="KV285" s="32"/>
      <c r="KW285" s="32"/>
      <c r="KX285" s="32"/>
      <c r="KY285" s="32"/>
      <c r="KZ285" s="32"/>
      <c r="LA285" s="32"/>
      <c r="LB285" s="32"/>
      <c r="LC285" s="32"/>
      <c r="LD285" s="32"/>
      <c r="LE285" s="32"/>
      <c r="LF285" s="32"/>
      <c r="LG285" s="32"/>
      <c r="LH285" s="32"/>
      <c r="LI285" s="32"/>
      <c r="LJ285" s="32"/>
      <c r="LK285" s="32"/>
      <c r="LL285" s="32"/>
      <c r="LM285" s="32"/>
      <c r="LN285" s="32"/>
      <c r="LO285" s="32"/>
      <c r="LP285" s="32"/>
      <c r="LQ285" s="32"/>
      <c r="LR285" s="32"/>
      <c r="LS285" s="32"/>
      <c r="LT285" s="32"/>
      <c r="LU285" s="32"/>
      <c r="LV285" s="32"/>
      <c r="LW285" s="32"/>
      <c r="LX285" s="32"/>
      <c r="LY285" s="32"/>
      <c r="LZ285" s="32"/>
      <c r="MA285" s="32"/>
      <c r="MB285" s="32"/>
      <c r="MC285" s="32"/>
      <c r="MD285" s="32"/>
      <c r="ME285" s="32"/>
      <c r="MF285" s="32"/>
      <c r="MG285" s="32"/>
      <c r="MH285" s="32"/>
      <c r="MI285" s="32"/>
      <c r="MJ285" s="32"/>
      <c r="MK285" s="32"/>
      <c r="ML285" s="32"/>
      <c r="MM285" s="32"/>
      <c r="MN285" s="32"/>
      <c r="MO285" s="32"/>
      <c r="MP285" s="32"/>
      <c r="MQ285" s="32"/>
      <c r="MR285" s="32"/>
      <c r="MS285" s="32"/>
      <c r="MT285" s="32"/>
      <c r="MU285" s="32"/>
      <c r="MV285" s="32"/>
      <c r="MW285" s="32"/>
      <c r="MX285" s="32"/>
      <c r="MY285" s="32"/>
      <c r="MZ285" s="32"/>
      <c r="NA285" s="32"/>
      <c r="NB285" s="32"/>
      <c r="NC285" s="32"/>
      <c r="ND285" s="32"/>
      <c r="NE285" s="32"/>
      <c r="NF285" s="32"/>
      <c r="NG285" s="32"/>
      <c r="NH285" s="32"/>
      <c r="NI285" s="32"/>
      <c r="NJ285" s="32"/>
      <c r="NK285" s="32"/>
      <c r="NL285" s="32"/>
      <c r="NM285" s="32"/>
      <c r="NN285" s="32"/>
      <c r="NO285" s="32"/>
      <c r="NP285" s="32"/>
      <c r="NQ285" s="32"/>
      <c r="NR285" s="32"/>
      <c r="NS285" s="32"/>
      <c r="NT285" s="32"/>
      <c r="NU285" s="32"/>
      <c r="NV285" s="32"/>
      <c r="NW285" s="32"/>
      <c r="NX285" s="32"/>
      <c r="NY285" s="32"/>
      <c r="NZ285" s="32"/>
      <c r="OA285" s="32"/>
      <c r="OB285" s="32"/>
      <c r="OC285" s="32"/>
      <c r="OD285" s="32"/>
      <c r="OE285" s="32"/>
      <c r="OF285" s="32"/>
      <c r="OG285" s="32"/>
      <c r="OH285" s="32"/>
      <c r="OI285" s="32"/>
      <c r="OJ285" s="32"/>
      <c r="OK285" s="32"/>
      <c r="OL285" s="32"/>
      <c r="OM285" s="32"/>
      <c r="ON285" s="32"/>
      <c r="OO285" s="32"/>
      <c r="OP285" s="32"/>
      <c r="OQ285" s="32"/>
      <c r="OR285" s="32"/>
      <c r="OS285" s="32"/>
      <c r="OT285" s="32"/>
      <c r="OU285" s="32"/>
      <c r="OV285" s="32"/>
      <c r="OW285" s="32"/>
      <c r="OX285" s="32"/>
      <c r="OY285" s="32"/>
      <c r="OZ285" s="32"/>
      <c r="PA285" s="32"/>
      <c r="PB285" s="32"/>
      <c r="PC285" s="32"/>
      <c r="PD285" s="32"/>
      <c r="PE285" s="32"/>
      <c r="PF285" s="32"/>
      <c r="PG285" s="32"/>
      <c r="PH285" s="32"/>
      <c r="PI285" s="32"/>
      <c r="PJ285" s="32"/>
      <c r="PK285" s="32"/>
      <c r="PL285" s="32"/>
      <c r="PM285" s="32"/>
      <c r="PN285" s="32"/>
      <c r="PO285" s="32"/>
      <c r="PP285" s="32"/>
      <c r="PQ285" s="32"/>
      <c r="PR285" s="32"/>
      <c r="PS285" s="32"/>
      <c r="PT285" s="32"/>
      <c r="PU285" s="32"/>
      <c r="PV285" s="32"/>
      <c r="PW285" s="32"/>
      <c r="PX285" s="32"/>
      <c r="PY285" s="32"/>
      <c r="PZ285" s="32"/>
      <c r="QA285" s="32"/>
      <c r="QB285" s="32"/>
      <c r="QC285" s="32"/>
      <c r="QD285" s="32"/>
      <c r="QE285" s="32"/>
      <c r="QF285" s="32"/>
      <c r="QG285" s="32"/>
      <c r="QH285" s="32"/>
      <c r="QI285" s="32"/>
      <c r="QJ285" s="32"/>
      <c r="QK285" s="32"/>
      <c r="QL285" s="32"/>
      <c r="QM285" s="32"/>
      <c r="QN285" s="32"/>
      <c r="QO285" s="32"/>
      <c r="QP285" s="32"/>
      <c r="QQ285" s="32"/>
      <c r="QR285" s="32"/>
      <c r="QS285" s="32"/>
      <c r="QT285" s="32"/>
      <c r="QU285" s="32"/>
      <c r="QV285" s="32"/>
      <c r="QW285" s="32"/>
      <c r="QX285" s="32"/>
      <c r="QY285" s="32"/>
      <c r="QZ285" s="32"/>
      <c r="RA285" s="32"/>
      <c r="RB285" s="32"/>
      <c r="RC285" s="32"/>
      <c r="RD285" s="32"/>
      <c r="RE285" s="32"/>
      <c r="RF285" s="32"/>
      <c r="RG285" s="32"/>
      <c r="RH285" s="32"/>
      <c r="RI285" s="32"/>
      <c r="RJ285" s="32"/>
      <c r="RK285" s="32"/>
      <c r="RL285" s="32"/>
      <c r="RM285" s="32"/>
      <c r="RN285" s="32"/>
      <c r="RO285" s="32"/>
      <c r="RP285" s="32"/>
      <c r="RQ285" s="32"/>
      <c r="RR285" s="32"/>
      <c r="RS285" s="32"/>
      <c r="RT285" s="32"/>
      <c r="RU285" s="32"/>
      <c r="RV285" s="32"/>
      <c r="RW285" s="32"/>
      <c r="RX285" s="32"/>
      <c r="RY285" s="32"/>
      <c r="RZ285" s="32"/>
      <c r="SA285" s="32"/>
      <c r="SB285" s="32"/>
      <c r="SC285" s="32"/>
      <c r="SD285" s="32"/>
      <c r="SE285" s="32"/>
      <c r="SF285" s="32"/>
      <c r="SG285" s="32"/>
      <c r="SH285" s="32"/>
      <c r="SI285" s="32"/>
      <c r="SJ285" s="32"/>
      <c r="SK285" s="32"/>
      <c r="SL285" s="32"/>
      <c r="SM285" s="32"/>
      <c r="SN285" s="32"/>
      <c r="SO285" s="32"/>
      <c r="SP285" s="32"/>
      <c r="SQ285" s="32"/>
      <c r="SR285" s="32"/>
      <c r="SS285" s="32"/>
      <c r="ST285" s="32"/>
      <c r="SU285" s="32"/>
      <c r="SV285" s="32"/>
      <c r="SW285" s="32"/>
      <c r="SX285" s="32"/>
      <c r="SY285" s="32"/>
      <c r="SZ285" s="32"/>
      <c r="TA285" s="32"/>
      <c r="TB285" s="32"/>
      <c r="TC285" s="32"/>
      <c r="TD285" s="32"/>
      <c r="TE285" s="32"/>
      <c r="TF285" s="32"/>
      <c r="TG285" s="32"/>
    </row>
    <row r="286" spans="1:527" s="34" customFormat="1" ht="33.75" customHeight="1" x14ac:dyDescent="0.25">
      <c r="A286" s="100" t="s">
        <v>216</v>
      </c>
      <c r="B286" s="113"/>
      <c r="C286" s="113"/>
      <c r="D286" s="81" t="s">
        <v>40</v>
      </c>
      <c r="E286" s="102">
        <f>E287+E288++E289+E290+E291+E292</f>
        <v>21483478</v>
      </c>
      <c r="F286" s="102">
        <f t="shared" ref="F286:P286" si="162">F287+F288++F289+F290+F291+F292</f>
        <v>20983478</v>
      </c>
      <c r="G286" s="102">
        <f t="shared" si="162"/>
        <v>14962200</v>
      </c>
      <c r="H286" s="102">
        <f t="shared" si="162"/>
        <v>308778</v>
      </c>
      <c r="I286" s="102">
        <f t="shared" si="162"/>
        <v>500000</v>
      </c>
      <c r="J286" s="102">
        <f t="shared" si="162"/>
        <v>65000</v>
      </c>
      <c r="K286" s="102">
        <f>K287+K288++K289+K290+K291+K292</f>
        <v>65000</v>
      </c>
      <c r="L286" s="102">
        <f t="shared" si="162"/>
        <v>0</v>
      </c>
      <c r="M286" s="102">
        <f t="shared" si="162"/>
        <v>0</v>
      </c>
      <c r="N286" s="102">
        <f t="shared" si="162"/>
        <v>0</v>
      </c>
      <c r="O286" s="102">
        <f t="shared" si="162"/>
        <v>65000</v>
      </c>
      <c r="P286" s="102">
        <f t="shared" si="162"/>
        <v>21548478</v>
      </c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3"/>
      <c r="CP286" s="33"/>
      <c r="CQ286" s="33"/>
      <c r="CR286" s="33"/>
      <c r="CS286" s="33"/>
      <c r="CT286" s="33"/>
      <c r="CU286" s="33"/>
      <c r="CV286" s="33"/>
      <c r="CW286" s="33"/>
      <c r="CX286" s="33"/>
      <c r="CY286" s="33"/>
      <c r="CZ286" s="33"/>
      <c r="DA286" s="33"/>
      <c r="DB286" s="33"/>
      <c r="DC286" s="33"/>
      <c r="DD286" s="33"/>
      <c r="DE286" s="33"/>
      <c r="DF286" s="33"/>
      <c r="DG286" s="33"/>
      <c r="DH286" s="33"/>
      <c r="DI286" s="33"/>
      <c r="DJ286" s="33"/>
      <c r="DK286" s="33"/>
      <c r="DL286" s="33"/>
      <c r="DM286" s="33"/>
      <c r="DN286" s="33"/>
      <c r="DO286" s="33"/>
      <c r="DP286" s="33"/>
      <c r="DQ286" s="33"/>
      <c r="DR286" s="33"/>
      <c r="DS286" s="33"/>
      <c r="DT286" s="33"/>
      <c r="DU286" s="33"/>
      <c r="DV286" s="33"/>
      <c r="DW286" s="33"/>
      <c r="DX286" s="33"/>
      <c r="DY286" s="33"/>
      <c r="DZ286" s="33"/>
      <c r="EA286" s="33"/>
      <c r="EB286" s="33"/>
      <c r="EC286" s="33"/>
      <c r="ED286" s="33"/>
      <c r="EE286" s="33"/>
      <c r="EF286" s="33"/>
      <c r="EG286" s="33"/>
      <c r="EH286" s="33"/>
      <c r="EI286" s="33"/>
      <c r="EJ286" s="33"/>
      <c r="EK286" s="33"/>
      <c r="EL286" s="33"/>
      <c r="EM286" s="33"/>
      <c r="EN286" s="33"/>
      <c r="EO286" s="33"/>
      <c r="EP286" s="33"/>
      <c r="EQ286" s="33"/>
      <c r="ER286" s="33"/>
      <c r="ES286" s="33"/>
      <c r="ET286" s="33"/>
      <c r="EU286" s="33"/>
      <c r="EV286" s="33"/>
      <c r="EW286" s="33"/>
      <c r="EX286" s="33"/>
      <c r="EY286" s="33"/>
      <c r="EZ286" s="33"/>
      <c r="FA286" s="33"/>
      <c r="FB286" s="33"/>
      <c r="FC286" s="33"/>
      <c r="FD286" s="33"/>
      <c r="FE286" s="33"/>
      <c r="FF286" s="33"/>
      <c r="FG286" s="33"/>
      <c r="FH286" s="33"/>
      <c r="FI286" s="33"/>
      <c r="FJ286" s="33"/>
      <c r="FK286" s="33"/>
      <c r="FL286" s="33"/>
      <c r="FM286" s="33"/>
      <c r="FN286" s="33"/>
      <c r="FO286" s="33"/>
      <c r="FP286" s="33"/>
      <c r="FQ286" s="33"/>
      <c r="FR286" s="33"/>
      <c r="FS286" s="33"/>
      <c r="FT286" s="33"/>
      <c r="FU286" s="33"/>
      <c r="FV286" s="33"/>
      <c r="FW286" s="33"/>
      <c r="FX286" s="33"/>
      <c r="FY286" s="33"/>
      <c r="FZ286" s="33"/>
      <c r="GA286" s="33"/>
      <c r="GB286" s="33"/>
      <c r="GC286" s="33"/>
      <c r="GD286" s="33"/>
      <c r="GE286" s="33"/>
      <c r="GF286" s="33"/>
      <c r="GG286" s="33"/>
      <c r="GH286" s="33"/>
      <c r="GI286" s="33"/>
      <c r="GJ286" s="33"/>
      <c r="GK286" s="33"/>
      <c r="GL286" s="33"/>
      <c r="GM286" s="33"/>
      <c r="GN286" s="33"/>
      <c r="GO286" s="33"/>
      <c r="GP286" s="33"/>
      <c r="GQ286" s="33"/>
      <c r="GR286" s="33"/>
      <c r="GS286" s="33"/>
      <c r="GT286" s="33"/>
      <c r="GU286" s="33"/>
      <c r="GV286" s="33"/>
      <c r="GW286" s="33"/>
      <c r="GX286" s="33"/>
      <c r="GY286" s="33"/>
      <c r="GZ286" s="33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  <c r="MI286" s="33"/>
      <c r="MJ286" s="33"/>
      <c r="MK286" s="33"/>
      <c r="ML286" s="33"/>
      <c r="MM286" s="33"/>
      <c r="MN286" s="33"/>
      <c r="MO286" s="33"/>
      <c r="MP286" s="33"/>
      <c r="MQ286" s="33"/>
      <c r="MR286" s="33"/>
      <c r="MS286" s="33"/>
      <c r="MT286" s="33"/>
      <c r="MU286" s="33"/>
      <c r="MV286" s="33"/>
      <c r="MW286" s="33"/>
      <c r="MX286" s="33"/>
      <c r="MY286" s="33"/>
      <c r="MZ286" s="33"/>
      <c r="NA286" s="33"/>
      <c r="NB286" s="33"/>
      <c r="NC286" s="33"/>
      <c r="ND286" s="33"/>
      <c r="NE286" s="33"/>
      <c r="NF286" s="33"/>
      <c r="NG286" s="33"/>
      <c r="NH286" s="33"/>
      <c r="NI286" s="33"/>
      <c r="NJ286" s="33"/>
      <c r="NK286" s="33"/>
      <c r="NL286" s="33"/>
      <c r="NM286" s="33"/>
      <c r="NN286" s="33"/>
      <c r="NO286" s="33"/>
      <c r="NP286" s="33"/>
      <c r="NQ286" s="33"/>
      <c r="NR286" s="33"/>
      <c r="NS286" s="33"/>
      <c r="NT286" s="33"/>
      <c r="NU286" s="33"/>
      <c r="NV286" s="33"/>
      <c r="NW286" s="33"/>
      <c r="NX286" s="33"/>
      <c r="NY286" s="33"/>
      <c r="NZ286" s="33"/>
      <c r="OA286" s="33"/>
      <c r="OB286" s="33"/>
      <c r="OC286" s="33"/>
      <c r="OD286" s="33"/>
      <c r="OE286" s="33"/>
      <c r="OF286" s="33"/>
      <c r="OG286" s="33"/>
      <c r="OH286" s="33"/>
      <c r="OI286" s="33"/>
      <c r="OJ286" s="33"/>
      <c r="OK286" s="33"/>
      <c r="OL286" s="33"/>
      <c r="OM286" s="33"/>
      <c r="ON286" s="33"/>
      <c r="OO286" s="33"/>
      <c r="OP286" s="33"/>
      <c r="OQ286" s="33"/>
      <c r="OR286" s="33"/>
      <c r="OS286" s="33"/>
      <c r="OT286" s="33"/>
      <c r="OU286" s="33"/>
      <c r="OV286" s="33"/>
      <c r="OW286" s="33"/>
      <c r="OX286" s="33"/>
      <c r="OY286" s="33"/>
      <c r="OZ286" s="33"/>
      <c r="PA286" s="33"/>
      <c r="PB286" s="33"/>
      <c r="PC286" s="33"/>
      <c r="PD286" s="33"/>
      <c r="PE286" s="33"/>
      <c r="PF286" s="33"/>
      <c r="PG286" s="33"/>
      <c r="PH286" s="33"/>
      <c r="PI286" s="33"/>
      <c r="PJ286" s="33"/>
      <c r="PK286" s="33"/>
      <c r="PL286" s="33"/>
      <c r="PM286" s="33"/>
      <c r="PN286" s="33"/>
      <c r="PO286" s="33"/>
      <c r="PP286" s="33"/>
      <c r="PQ286" s="33"/>
      <c r="PR286" s="33"/>
      <c r="PS286" s="33"/>
      <c r="PT286" s="33"/>
      <c r="PU286" s="33"/>
      <c r="PV286" s="33"/>
      <c r="PW286" s="33"/>
      <c r="PX286" s="33"/>
      <c r="PY286" s="33"/>
      <c r="PZ286" s="33"/>
      <c r="QA286" s="33"/>
      <c r="QB286" s="33"/>
      <c r="QC286" s="33"/>
      <c r="QD286" s="33"/>
      <c r="QE286" s="33"/>
      <c r="QF286" s="33"/>
      <c r="QG286" s="33"/>
      <c r="QH286" s="33"/>
      <c r="QI286" s="33"/>
      <c r="QJ286" s="33"/>
      <c r="QK286" s="33"/>
      <c r="QL286" s="33"/>
      <c r="QM286" s="33"/>
      <c r="QN286" s="33"/>
      <c r="QO286" s="33"/>
      <c r="QP286" s="33"/>
      <c r="QQ286" s="33"/>
      <c r="QR286" s="33"/>
      <c r="QS286" s="33"/>
      <c r="QT286" s="33"/>
      <c r="QU286" s="33"/>
      <c r="QV286" s="33"/>
      <c r="QW286" s="33"/>
      <c r="QX286" s="33"/>
      <c r="QY286" s="33"/>
      <c r="QZ286" s="33"/>
      <c r="RA286" s="33"/>
      <c r="RB286" s="33"/>
      <c r="RC286" s="33"/>
      <c r="RD286" s="33"/>
      <c r="RE286" s="33"/>
      <c r="RF286" s="33"/>
      <c r="RG286" s="33"/>
      <c r="RH286" s="33"/>
      <c r="RI286" s="33"/>
      <c r="RJ286" s="33"/>
      <c r="RK286" s="33"/>
      <c r="RL286" s="33"/>
      <c r="RM286" s="33"/>
      <c r="RN286" s="33"/>
      <c r="RO286" s="33"/>
      <c r="RP286" s="33"/>
      <c r="RQ286" s="33"/>
      <c r="RR286" s="33"/>
      <c r="RS286" s="33"/>
      <c r="RT286" s="33"/>
      <c r="RU286" s="33"/>
      <c r="RV286" s="33"/>
      <c r="RW286" s="33"/>
      <c r="RX286" s="33"/>
      <c r="RY286" s="33"/>
      <c r="RZ286" s="33"/>
      <c r="SA286" s="33"/>
      <c r="SB286" s="33"/>
      <c r="SC286" s="33"/>
      <c r="SD286" s="33"/>
      <c r="SE286" s="33"/>
      <c r="SF286" s="33"/>
      <c r="SG286" s="33"/>
      <c r="SH286" s="33"/>
      <c r="SI286" s="33"/>
      <c r="SJ286" s="33"/>
      <c r="SK286" s="33"/>
      <c r="SL286" s="33"/>
      <c r="SM286" s="33"/>
      <c r="SN286" s="33"/>
      <c r="SO286" s="33"/>
      <c r="SP286" s="33"/>
      <c r="SQ286" s="33"/>
      <c r="SR286" s="33"/>
      <c r="SS286" s="33"/>
      <c r="ST286" s="33"/>
      <c r="SU286" s="33"/>
      <c r="SV286" s="33"/>
      <c r="SW286" s="33"/>
      <c r="SX286" s="33"/>
      <c r="SY286" s="33"/>
      <c r="SZ286" s="33"/>
      <c r="TA286" s="33"/>
      <c r="TB286" s="33"/>
      <c r="TC286" s="33"/>
      <c r="TD286" s="33"/>
      <c r="TE286" s="33"/>
      <c r="TF286" s="33"/>
      <c r="TG286" s="33"/>
    </row>
    <row r="287" spans="1:527" s="22" customFormat="1" ht="47.25" x14ac:dyDescent="0.25">
      <c r="A287" s="60" t="s">
        <v>217</v>
      </c>
      <c r="B287" s="97" t="str">
        <f>'дод 8'!A19</f>
        <v>0160</v>
      </c>
      <c r="C287" s="97" t="str">
        <f>'дод 8'!B19</f>
        <v>0111</v>
      </c>
      <c r="D287" s="36" t="s">
        <v>503</v>
      </c>
      <c r="E287" s="103">
        <f t="shared" ref="E287:E292" si="163">F287+I287</f>
        <v>19330478</v>
      </c>
      <c r="F287" s="103">
        <f>19290300+18000+22178</f>
        <v>19330478</v>
      </c>
      <c r="G287" s="103">
        <v>14962200</v>
      </c>
      <c r="H287" s="103">
        <f>286600+22178</f>
        <v>308778</v>
      </c>
      <c r="I287" s="103"/>
      <c r="J287" s="103">
        <f>L287+O287</f>
        <v>0</v>
      </c>
      <c r="K287" s="103">
        <f>18000-18000</f>
        <v>0</v>
      </c>
      <c r="L287" s="103"/>
      <c r="M287" s="103"/>
      <c r="N287" s="103"/>
      <c r="O287" s="103">
        <f>18000-18000</f>
        <v>0</v>
      </c>
      <c r="P287" s="103">
        <f t="shared" ref="P287:P292" si="164">E287+J287</f>
        <v>19330478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</row>
    <row r="288" spans="1:527" s="25" customFormat="1" ht="25.5" customHeight="1" x14ac:dyDescent="0.25">
      <c r="A288" s="60" t="s">
        <v>218</v>
      </c>
      <c r="B288" s="97" t="str">
        <f>'дод 8'!A167</f>
        <v>7130</v>
      </c>
      <c r="C288" s="97" t="str">
        <f>'дод 8'!B167</f>
        <v>0421</v>
      </c>
      <c r="D288" s="61" t="str">
        <f>'дод 8'!C167</f>
        <v>Здійснення заходів із землеустрою</v>
      </c>
      <c r="E288" s="103">
        <f t="shared" si="163"/>
        <v>450000</v>
      </c>
      <c r="F288" s="103">
        <f>150000+300000</f>
        <v>450000</v>
      </c>
      <c r="G288" s="103"/>
      <c r="H288" s="103"/>
      <c r="I288" s="103"/>
      <c r="J288" s="103">
        <f t="shared" ref="J288:J292" si="165">L288+O288</f>
        <v>0</v>
      </c>
      <c r="K288" s="103"/>
      <c r="L288" s="103"/>
      <c r="M288" s="103"/>
      <c r="N288" s="103"/>
      <c r="O288" s="103"/>
      <c r="P288" s="103">
        <f t="shared" si="164"/>
        <v>450000</v>
      </c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/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1"/>
      <c r="PV288" s="31"/>
      <c r="PW288" s="31"/>
      <c r="PX288" s="31"/>
      <c r="PY288" s="31"/>
      <c r="PZ288" s="31"/>
      <c r="QA288" s="31"/>
      <c r="QB288" s="31"/>
      <c r="QC288" s="31"/>
      <c r="QD288" s="31"/>
      <c r="QE288" s="31"/>
      <c r="QF288" s="31"/>
      <c r="QG288" s="31"/>
      <c r="QH288" s="31"/>
      <c r="QI288" s="31"/>
      <c r="QJ288" s="31"/>
      <c r="QK288" s="31"/>
      <c r="QL288" s="31"/>
      <c r="QM288" s="31"/>
      <c r="QN288" s="31"/>
      <c r="QO288" s="31"/>
      <c r="QP288" s="31"/>
      <c r="QQ288" s="31"/>
      <c r="QR288" s="31"/>
      <c r="QS288" s="31"/>
      <c r="QT288" s="31"/>
      <c r="QU288" s="31"/>
      <c r="QV288" s="31"/>
      <c r="QW288" s="31"/>
      <c r="QX288" s="31"/>
      <c r="QY288" s="31"/>
      <c r="QZ288" s="31"/>
      <c r="RA288" s="31"/>
      <c r="RB288" s="31"/>
      <c r="RC288" s="31"/>
      <c r="RD288" s="31"/>
      <c r="RE288" s="31"/>
      <c r="RF288" s="31"/>
      <c r="RG288" s="31"/>
      <c r="RH288" s="31"/>
      <c r="RI288" s="31"/>
      <c r="RJ288" s="31"/>
      <c r="RK288" s="31"/>
      <c r="RL288" s="31"/>
      <c r="RM288" s="31"/>
      <c r="RN288" s="31"/>
      <c r="RO288" s="31"/>
      <c r="RP288" s="31"/>
      <c r="RQ288" s="31"/>
      <c r="RR288" s="31"/>
      <c r="RS288" s="31"/>
      <c r="RT288" s="31"/>
      <c r="RU288" s="31"/>
      <c r="RV288" s="31"/>
      <c r="RW288" s="31"/>
      <c r="RX288" s="31"/>
      <c r="RY288" s="31"/>
      <c r="RZ288" s="31"/>
      <c r="SA288" s="31"/>
      <c r="SB288" s="31"/>
      <c r="SC288" s="31"/>
      <c r="SD288" s="31"/>
      <c r="SE288" s="31"/>
      <c r="SF288" s="31"/>
      <c r="SG288" s="31"/>
      <c r="SH288" s="31"/>
      <c r="SI288" s="31"/>
      <c r="SJ288" s="31"/>
      <c r="SK288" s="31"/>
      <c r="SL288" s="31"/>
      <c r="SM288" s="31"/>
      <c r="SN288" s="31"/>
      <c r="SO288" s="31"/>
      <c r="SP288" s="31"/>
      <c r="SQ288" s="31"/>
      <c r="SR288" s="31"/>
      <c r="SS288" s="31"/>
      <c r="ST288" s="31"/>
      <c r="SU288" s="31"/>
      <c r="SV288" s="31"/>
      <c r="SW288" s="31"/>
      <c r="SX288" s="31"/>
      <c r="SY288" s="31"/>
      <c r="SZ288" s="31"/>
      <c r="TA288" s="31"/>
      <c r="TB288" s="31"/>
      <c r="TC288" s="31"/>
      <c r="TD288" s="31"/>
      <c r="TE288" s="31"/>
      <c r="TF288" s="31"/>
      <c r="TG288" s="31"/>
    </row>
    <row r="289" spans="1:527" s="22" customFormat="1" ht="29.25" customHeight="1" x14ac:dyDescent="0.25">
      <c r="A289" s="107" t="s">
        <v>219</v>
      </c>
      <c r="B289" s="42" t="str">
        <f>'дод 8'!A201</f>
        <v>7610</v>
      </c>
      <c r="C289" s="42" t="str">
        <f>'дод 8'!B201</f>
        <v>0411</v>
      </c>
      <c r="D289" s="36" t="str">
        <f>'дод 8'!C201</f>
        <v>Сприяння розвитку малого та середнього підприємництва</v>
      </c>
      <c r="E289" s="103">
        <f t="shared" si="163"/>
        <v>915000</v>
      </c>
      <c r="F289" s="103">
        <v>415000</v>
      </c>
      <c r="G289" s="103"/>
      <c r="H289" s="103"/>
      <c r="I289" s="103">
        <v>500000</v>
      </c>
      <c r="J289" s="103">
        <f t="shared" si="165"/>
        <v>0</v>
      </c>
      <c r="K289" s="103"/>
      <c r="L289" s="103"/>
      <c r="M289" s="103"/>
      <c r="N289" s="103"/>
      <c r="O289" s="103"/>
      <c r="P289" s="103">
        <f t="shared" si="164"/>
        <v>915000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</row>
    <row r="290" spans="1:527" s="22" customFormat="1" ht="32.25" customHeight="1" x14ac:dyDescent="0.25">
      <c r="A290" s="107" t="s">
        <v>268</v>
      </c>
      <c r="B290" s="42" t="str">
        <f>'дод 8'!A204</f>
        <v>7650</v>
      </c>
      <c r="C290" s="42" t="str">
        <f>'дод 8'!B204</f>
        <v>0490</v>
      </c>
      <c r="D290" s="36" t="str">
        <f>'дод 8'!C204</f>
        <v>Проведення експертної грошової оцінки земельної ділянки чи права на неї</v>
      </c>
      <c r="E290" s="103">
        <f t="shared" si="163"/>
        <v>0</v>
      </c>
      <c r="F290" s="103"/>
      <c r="G290" s="103"/>
      <c r="H290" s="103"/>
      <c r="I290" s="103"/>
      <c r="J290" s="103">
        <f t="shared" si="165"/>
        <v>20000</v>
      </c>
      <c r="K290" s="103">
        <v>20000</v>
      </c>
      <c r="L290" s="103"/>
      <c r="M290" s="103"/>
      <c r="N290" s="103"/>
      <c r="O290" s="103">
        <v>20000</v>
      </c>
      <c r="P290" s="103">
        <f t="shared" si="164"/>
        <v>20000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</row>
    <row r="291" spans="1:527" s="22" customFormat="1" ht="67.5" customHeight="1" x14ac:dyDescent="0.25">
      <c r="A291" s="107" t="s">
        <v>270</v>
      </c>
      <c r="B291" s="42" t="str">
        <f>'дод 8'!A205</f>
        <v>7660</v>
      </c>
      <c r="C291" s="42" t="str">
        <f>'дод 8'!B205</f>
        <v>0490</v>
      </c>
      <c r="D291" s="36" t="str">
        <f>'дод 8'!C205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1" s="103">
        <f t="shared" si="163"/>
        <v>0</v>
      </c>
      <c r="F291" s="103"/>
      <c r="G291" s="103"/>
      <c r="H291" s="103"/>
      <c r="I291" s="103"/>
      <c r="J291" s="103">
        <f t="shared" si="165"/>
        <v>45000</v>
      </c>
      <c r="K291" s="103">
        <v>45000</v>
      </c>
      <c r="L291" s="103"/>
      <c r="M291" s="103"/>
      <c r="N291" s="103"/>
      <c r="O291" s="103">
        <v>45000</v>
      </c>
      <c r="P291" s="103">
        <f t="shared" si="164"/>
        <v>45000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</row>
    <row r="292" spans="1:527" s="22" customFormat="1" ht="23.25" customHeight="1" x14ac:dyDescent="0.25">
      <c r="A292" s="107" t="s">
        <v>266</v>
      </c>
      <c r="B292" s="42" t="str">
        <f>'дод 8'!A210</f>
        <v>7693</v>
      </c>
      <c r="C292" s="42" t="str">
        <f>'дод 8'!B210</f>
        <v>0490</v>
      </c>
      <c r="D292" s="36" t="str">
        <f>'дод 8'!C210</f>
        <v>Інші заходи, пов'язані з економічною діяльністю</v>
      </c>
      <c r="E292" s="103">
        <f t="shared" si="163"/>
        <v>788000</v>
      </c>
      <c r="F292" s="103">
        <f>788000</f>
        <v>788000</v>
      </c>
      <c r="G292" s="103"/>
      <c r="H292" s="103"/>
      <c r="I292" s="103"/>
      <c r="J292" s="103">
        <f t="shared" si="165"/>
        <v>0</v>
      </c>
      <c r="K292" s="103"/>
      <c r="L292" s="103"/>
      <c r="M292" s="103"/>
      <c r="N292" s="103"/>
      <c r="O292" s="103"/>
      <c r="P292" s="103">
        <f t="shared" si="164"/>
        <v>788000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  <c r="TF292" s="23"/>
      <c r="TG292" s="23"/>
    </row>
    <row r="293" spans="1:527" s="22" customFormat="1" ht="35.25" customHeight="1" x14ac:dyDescent="0.25">
      <c r="A293" s="110" t="s">
        <v>428</v>
      </c>
      <c r="B293" s="39"/>
      <c r="C293" s="39"/>
      <c r="D293" s="111" t="s">
        <v>429</v>
      </c>
      <c r="E293" s="99">
        <f>E294</f>
        <v>20000</v>
      </c>
      <c r="F293" s="99">
        <f t="shared" ref="F293:P293" si="166">F294</f>
        <v>20000</v>
      </c>
      <c r="G293" s="99">
        <f t="shared" si="166"/>
        <v>0</v>
      </c>
      <c r="H293" s="99">
        <f t="shared" si="166"/>
        <v>0</v>
      </c>
      <c r="I293" s="99">
        <f t="shared" si="166"/>
        <v>0</v>
      </c>
      <c r="J293" s="99">
        <f t="shared" si="166"/>
        <v>0</v>
      </c>
      <c r="K293" s="99">
        <f t="shared" si="166"/>
        <v>0</v>
      </c>
      <c r="L293" s="99">
        <f t="shared" si="166"/>
        <v>0</v>
      </c>
      <c r="M293" s="99">
        <f t="shared" si="166"/>
        <v>0</v>
      </c>
      <c r="N293" s="99">
        <f t="shared" si="166"/>
        <v>0</v>
      </c>
      <c r="O293" s="99">
        <f t="shared" si="166"/>
        <v>0</v>
      </c>
      <c r="P293" s="99">
        <f t="shared" si="166"/>
        <v>20000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  <c r="TF293" s="23"/>
      <c r="TG293" s="23"/>
    </row>
    <row r="294" spans="1:527" s="34" customFormat="1" ht="34.5" customHeight="1" x14ac:dyDescent="0.25">
      <c r="A294" s="112" t="s">
        <v>427</v>
      </c>
      <c r="B294" s="78"/>
      <c r="C294" s="78"/>
      <c r="D294" s="81" t="s">
        <v>429</v>
      </c>
      <c r="E294" s="102">
        <f>E295</f>
        <v>20000</v>
      </c>
      <c r="F294" s="102">
        <f t="shared" ref="F294:P294" si="167">F295</f>
        <v>20000</v>
      </c>
      <c r="G294" s="102">
        <f t="shared" si="167"/>
        <v>0</v>
      </c>
      <c r="H294" s="102">
        <f t="shared" si="167"/>
        <v>0</v>
      </c>
      <c r="I294" s="102">
        <f t="shared" si="167"/>
        <v>0</v>
      </c>
      <c r="J294" s="102">
        <f t="shared" si="167"/>
        <v>0</v>
      </c>
      <c r="K294" s="102">
        <f t="shared" si="167"/>
        <v>0</v>
      </c>
      <c r="L294" s="102">
        <f t="shared" si="167"/>
        <v>0</v>
      </c>
      <c r="M294" s="102">
        <f t="shared" si="167"/>
        <v>0</v>
      </c>
      <c r="N294" s="102">
        <f t="shared" si="167"/>
        <v>0</v>
      </c>
      <c r="O294" s="102">
        <f t="shared" si="167"/>
        <v>0</v>
      </c>
      <c r="P294" s="102">
        <f t="shared" si="167"/>
        <v>20000</v>
      </c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</row>
    <row r="295" spans="1:527" s="22" customFormat="1" ht="45.75" customHeight="1" x14ac:dyDescent="0.25">
      <c r="A295" s="107" t="s">
        <v>426</v>
      </c>
      <c r="B295" s="107" t="s">
        <v>121</v>
      </c>
      <c r="C295" s="107" t="s">
        <v>47</v>
      </c>
      <c r="D295" s="36" t="s">
        <v>503</v>
      </c>
      <c r="E295" s="103">
        <f t="shared" ref="E295" si="168">F295+I295</f>
        <v>20000</v>
      </c>
      <c r="F295" s="103">
        <v>20000</v>
      </c>
      <c r="G295" s="103"/>
      <c r="H295" s="103"/>
      <c r="I295" s="103"/>
      <c r="J295" s="103">
        <f>L295+O295</f>
        <v>0</v>
      </c>
      <c r="K295" s="103"/>
      <c r="L295" s="103"/>
      <c r="M295" s="103"/>
      <c r="N295" s="103"/>
      <c r="O295" s="103"/>
      <c r="P295" s="103">
        <f t="shared" ref="P295" si="169">E295+J295</f>
        <v>20000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  <c r="TF295" s="23"/>
      <c r="TG295" s="23"/>
    </row>
    <row r="296" spans="1:527" s="27" customFormat="1" ht="38.25" customHeight="1" x14ac:dyDescent="0.25">
      <c r="A296" s="114" t="s">
        <v>220</v>
      </c>
      <c r="B296" s="116"/>
      <c r="C296" s="116"/>
      <c r="D296" s="111" t="s">
        <v>42</v>
      </c>
      <c r="E296" s="99">
        <f>E297</f>
        <v>137852355.44</v>
      </c>
      <c r="F296" s="99">
        <f t="shared" ref="F296:J296" si="170">F297</f>
        <v>123825612</v>
      </c>
      <c r="G296" s="99">
        <f t="shared" si="170"/>
        <v>15760200</v>
      </c>
      <c r="H296" s="99">
        <f t="shared" si="170"/>
        <v>272273</v>
      </c>
      <c r="I296" s="99">
        <f t="shared" si="170"/>
        <v>0</v>
      </c>
      <c r="J296" s="99">
        <f t="shared" si="170"/>
        <v>502000</v>
      </c>
      <c r="K296" s="99">
        <f t="shared" ref="K296" si="171">K297</f>
        <v>0</v>
      </c>
      <c r="L296" s="99">
        <f t="shared" ref="L296" si="172">L297</f>
        <v>502000</v>
      </c>
      <c r="M296" s="99">
        <f t="shared" ref="M296" si="173">M297</f>
        <v>0</v>
      </c>
      <c r="N296" s="99">
        <f t="shared" ref="N296" si="174">N297</f>
        <v>0</v>
      </c>
      <c r="O296" s="99">
        <f t="shared" ref="O296:P296" si="175">O297</f>
        <v>0</v>
      </c>
      <c r="P296" s="99">
        <f t="shared" si="175"/>
        <v>138354355.44</v>
      </c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</row>
    <row r="297" spans="1:527" s="34" customFormat="1" ht="34.5" customHeight="1" x14ac:dyDescent="0.25">
      <c r="A297" s="100" t="s">
        <v>221</v>
      </c>
      <c r="B297" s="113"/>
      <c r="C297" s="113"/>
      <c r="D297" s="81" t="s">
        <v>42</v>
      </c>
      <c r="E297" s="102">
        <f>SUM(E298+E299+E300+E302+E303+E304+E305+E301)</f>
        <v>137852355.44</v>
      </c>
      <c r="F297" s="102">
        <f t="shared" ref="F297:P297" si="176">SUM(F298+F299+F300+F302+F303+F304+F305+F301)</f>
        <v>123825612</v>
      </c>
      <c r="G297" s="102">
        <f t="shared" si="176"/>
        <v>15760200</v>
      </c>
      <c r="H297" s="102">
        <f t="shared" si="176"/>
        <v>272273</v>
      </c>
      <c r="I297" s="102">
        <f t="shared" si="176"/>
        <v>0</v>
      </c>
      <c r="J297" s="102">
        <f t="shared" si="176"/>
        <v>502000</v>
      </c>
      <c r="K297" s="102">
        <f t="shared" si="176"/>
        <v>0</v>
      </c>
      <c r="L297" s="102">
        <f t="shared" si="176"/>
        <v>502000</v>
      </c>
      <c r="M297" s="102">
        <f t="shared" si="176"/>
        <v>0</v>
      </c>
      <c r="N297" s="102">
        <f t="shared" si="176"/>
        <v>0</v>
      </c>
      <c r="O297" s="102">
        <f t="shared" si="176"/>
        <v>0</v>
      </c>
      <c r="P297" s="102">
        <f t="shared" si="176"/>
        <v>138354355.44</v>
      </c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  <c r="CH297" s="33"/>
      <c r="CI297" s="33"/>
      <c r="CJ297" s="33"/>
      <c r="CK297" s="33"/>
      <c r="CL297" s="33"/>
      <c r="CM297" s="33"/>
      <c r="CN297" s="33"/>
      <c r="CO297" s="33"/>
      <c r="CP297" s="33"/>
      <c r="CQ297" s="33"/>
      <c r="CR297" s="33"/>
      <c r="CS297" s="33"/>
      <c r="CT297" s="33"/>
      <c r="CU297" s="33"/>
      <c r="CV297" s="33"/>
      <c r="CW297" s="33"/>
      <c r="CX297" s="33"/>
      <c r="CY297" s="33"/>
      <c r="CZ297" s="33"/>
      <c r="DA297" s="33"/>
      <c r="DB297" s="33"/>
      <c r="DC297" s="33"/>
      <c r="DD297" s="33"/>
      <c r="DE297" s="33"/>
      <c r="DF297" s="33"/>
      <c r="DG297" s="33"/>
      <c r="DH297" s="33"/>
      <c r="DI297" s="33"/>
      <c r="DJ297" s="33"/>
      <c r="DK297" s="33"/>
      <c r="DL297" s="33"/>
      <c r="DM297" s="33"/>
      <c r="DN297" s="33"/>
      <c r="DO297" s="33"/>
      <c r="DP297" s="33"/>
      <c r="DQ297" s="33"/>
      <c r="DR297" s="33"/>
      <c r="DS297" s="33"/>
      <c r="DT297" s="33"/>
      <c r="DU297" s="33"/>
      <c r="DV297" s="33"/>
      <c r="DW297" s="33"/>
      <c r="DX297" s="33"/>
      <c r="DY297" s="33"/>
      <c r="DZ297" s="33"/>
      <c r="EA297" s="33"/>
      <c r="EB297" s="33"/>
      <c r="EC297" s="33"/>
      <c r="ED297" s="33"/>
      <c r="EE297" s="33"/>
      <c r="EF297" s="33"/>
      <c r="EG297" s="33"/>
      <c r="EH297" s="33"/>
      <c r="EI297" s="33"/>
      <c r="EJ297" s="33"/>
      <c r="EK297" s="33"/>
      <c r="EL297" s="33"/>
      <c r="EM297" s="33"/>
      <c r="EN297" s="33"/>
      <c r="EO297" s="33"/>
      <c r="EP297" s="33"/>
      <c r="EQ297" s="33"/>
      <c r="ER297" s="33"/>
      <c r="ES297" s="33"/>
      <c r="ET297" s="33"/>
      <c r="EU297" s="33"/>
      <c r="EV297" s="33"/>
      <c r="EW297" s="33"/>
      <c r="EX297" s="33"/>
      <c r="EY297" s="33"/>
      <c r="EZ297" s="33"/>
      <c r="FA297" s="33"/>
      <c r="FB297" s="33"/>
      <c r="FC297" s="33"/>
      <c r="FD297" s="33"/>
      <c r="FE297" s="33"/>
      <c r="FF297" s="33"/>
      <c r="FG297" s="33"/>
      <c r="FH297" s="33"/>
      <c r="FI297" s="33"/>
      <c r="FJ297" s="33"/>
      <c r="FK297" s="33"/>
      <c r="FL297" s="33"/>
      <c r="FM297" s="33"/>
      <c r="FN297" s="33"/>
      <c r="FO297" s="33"/>
      <c r="FP297" s="33"/>
      <c r="FQ297" s="33"/>
      <c r="FR297" s="33"/>
      <c r="FS297" s="33"/>
      <c r="FT297" s="33"/>
      <c r="FU297" s="33"/>
      <c r="FV297" s="33"/>
      <c r="FW297" s="33"/>
      <c r="FX297" s="33"/>
      <c r="FY297" s="33"/>
      <c r="FZ297" s="33"/>
      <c r="GA297" s="33"/>
      <c r="GB297" s="33"/>
      <c r="GC297" s="33"/>
      <c r="GD297" s="33"/>
      <c r="GE297" s="33"/>
      <c r="GF297" s="33"/>
      <c r="GG297" s="33"/>
      <c r="GH297" s="33"/>
      <c r="GI297" s="33"/>
      <c r="GJ297" s="33"/>
      <c r="GK297" s="33"/>
      <c r="GL297" s="33"/>
      <c r="GM297" s="33"/>
      <c r="GN297" s="33"/>
      <c r="GO297" s="33"/>
      <c r="GP297" s="33"/>
      <c r="GQ297" s="33"/>
      <c r="GR297" s="33"/>
      <c r="GS297" s="33"/>
      <c r="GT297" s="33"/>
      <c r="GU297" s="33"/>
      <c r="GV297" s="33"/>
      <c r="GW297" s="33"/>
      <c r="GX297" s="33"/>
      <c r="GY297" s="33"/>
      <c r="GZ297" s="33"/>
      <c r="HA297" s="33"/>
      <c r="HB297" s="33"/>
      <c r="HC297" s="33"/>
      <c r="HD297" s="33"/>
      <c r="HE297" s="33"/>
      <c r="HF297" s="33"/>
      <c r="HG297" s="33"/>
      <c r="HH297" s="33"/>
      <c r="HI297" s="33"/>
      <c r="HJ297" s="33"/>
      <c r="HK297" s="33"/>
      <c r="HL297" s="33"/>
      <c r="HM297" s="33"/>
      <c r="HN297" s="33"/>
      <c r="HO297" s="33"/>
      <c r="HP297" s="33"/>
      <c r="HQ297" s="33"/>
      <c r="HR297" s="33"/>
      <c r="HS297" s="33"/>
      <c r="HT297" s="33"/>
      <c r="HU297" s="33"/>
      <c r="HV297" s="33"/>
      <c r="HW297" s="33"/>
      <c r="HX297" s="33"/>
      <c r="HY297" s="33"/>
      <c r="HZ297" s="33"/>
      <c r="IA297" s="33"/>
      <c r="IB297" s="33"/>
      <c r="IC297" s="33"/>
      <c r="ID297" s="33"/>
      <c r="IE297" s="33"/>
      <c r="IF297" s="33"/>
      <c r="IG297" s="33"/>
      <c r="IH297" s="33"/>
      <c r="II297" s="33"/>
      <c r="IJ297" s="33"/>
      <c r="IK297" s="33"/>
      <c r="IL297" s="33"/>
      <c r="IM297" s="33"/>
      <c r="IN297" s="33"/>
      <c r="IO297" s="33"/>
      <c r="IP297" s="33"/>
      <c r="IQ297" s="33"/>
      <c r="IR297" s="33"/>
      <c r="IS297" s="33"/>
      <c r="IT297" s="33"/>
      <c r="IU297" s="33"/>
      <c r="IV297" s="33"/>
      <c r="IW297" s="33"/>
      <c r="IX297" s="33"/>
      <c r="IY297" s="33"/>
      <c r="IZ297" s="33"/>
      <c r="JA297" s="33"/>
      <c r="JB297" s="33"/>
      <c r="JC297" s="33"/>
      <c r="JD297" s="33"/>
      <c r="JE297" s="33"/>
      <c r="JF297" s="33"/>
      <c r="JG297" s="33"/>
      <c r="JH297" s="33"/>
      <c r="JI297" s="33"/>
      <c r="JJ297" s="33"/>
      <c r="JK297" s="33"/>
      <c r="JL297" s="33"/>
      <c r="JM297" s="33"/>
      <c r="JN297" s="33"/>
      <c r="JO297" s="33"/>
      <c r="JP297" s="33"/>
      <c r="JQ297" s="33"/>
      <c r="JR297" s="33"/>
      <c r="JS297" s="33"/>
      <c r="JT297" s="33"/>
      <c r="JU297" s="33"/>
      <c r="JV297" s="33"/>
      <c r="JW297" s="33"/>
      <c r="JX297" s="33"/>
      <c r="JY297" s="33"/>
      <c r="JZ297" s="33"/>
      <c r="KA297" s="33"/>
      <c r="KB297" s="33"/>
      <c r="KC297" s="33"/>
      <c r="KD297" s="33"/>
      <c r="KE297" s="33"/>
      <c r="KF297" s="33"/>
      <c r="KG297" s="33"/>
      <c r="KH297" s="33"/>
      <c r="KI297" s="33"/>
      <c r="KJ297" s="33"/>
      <c r="KK297" s="33"/>
      <c r="KL297" s="33"/>
      <c r="KM297" s="33"/>
      <c r="KN297" s="33"/>
      <c r="KO297" s="33"/>
      <c r="KP297" s="33"/>
      <c r="KQ297" s="33"/>
      <c r="KR297" s="33"/>
      <c r="KS297" s="33"/>
      <c r="KT297" s="33"/>
      <c r="KU297" s="33"/>
      <c r="KV297" s="33"/>
      <c r="KW297" s="33"/>
      <c r="KX297" s="33"/>
      <c r="KY297" s="33"/>
      <c r="KZ297" s="33"/>
      <c r="LA297" s="33"/>
      <c r="LB297" s="33"/>
      <c r="LC297" s="33"/>
      <c r="LD297" s="33"/>
      <c r="LE297" s="33"/>
      <c r="LF297" s="33"/>
      <c r="LG297" s="33"/>
      <c r="LH297" s="33"/>
      <c r="LI297" s="33"/>
      <c r="LJ297" s="33"/>
      <c r="LK297" s="33"/>
      <c r="LL297" s="33"/>
      <c r="LM297" s="33"/>
      <c r="LN297" s="33"/>
      <c r="LO297" s="33"/>
      <c r="LP297" s="33"/>
      <c r="LQ297" s="33"/>
      <c r="LR297" s="33"/>
      <c r="LS297" s="33"/>
      <c r="LT297" s="33"/>
      <c r="LU297" s="33"/>
      <c r="LV297" s="33"/>
      <c r="LW297" s="33"/>
      <c r="LX297" s="33"/>
      <c r="LY297" s="33"/>
      <c r="LZ297" s="33"/>
      <c r="MA297" s="33"/>
      <c r="MB297" s="33"/>
      <c r="MC297" s="33"/>
      <c r="MD297" s="33"/>
      <c r="ME297" s="33"/>
      <c r="MF297" s="33"/>
      <c r="MG297" s="33"/>
      <c r="MH297" s="33"/>
      <c r="MI297" s="33"/>
      <c r="MJ297" s="33"/>
      <c r="MK297" s="33"/>
      <c r="ML297" s="33"/>
      <c r="MM297" s="33"/>
      <c r="MN297" s="33"/>
      <c r="MO297" s="33"/>
      <c r="MP297" s="33"/>
      <c r="MQ297" s="33"/>
      <c r="MR297" s="33"/>
      <c r="MS297" s="33"/>
      <c r="MT297" s="33"/>
      <c r="MU297" s="33"/>
      <c r="MV297" s="33"/>
      <c r="MW297" s="33"/>
      <c r="MX297" s="33"/>
      <c r="MY297" s="33"/>
      <c r="MZ297" s="33"/>
      <c r="NA297" s="33"/>
      <c r="NB297" s="33"/>
      <c r="NC297" s="33"/>
      <c r="ND297" s="33"/>
      <c r="NE297" s="33"/>
      <c r="NF297" s="33"/>
      <c r="NG297" s="33"/>
      <c r="NH297" s="33"/>
      <c r="NI297" s="33"/>
      <c r="NJ297" s="33"/>
      <c r="NK297" s="33"/>
      <c r="NL297" s="33"/>
      <c r="NM297" s="33"/>
      <c r="NN297" s="33"/>
      <c r="NO297" s="33"/>
      <c r="NP297" s="33"/>
      <c r="NQ297" s="33"/>
      <c r="NR297" s="33"/>
      <c r="NS297" s="33"/>
      <c r="NT297" s="33"/>
      <c r="NU297" s="33"/>
      <c r="NV297" s="33"/>
      <c r="NW297" s="33"/>
      <c r="NX297" s="33"/>
      <c r="NY297" s="33"/>
      <c r="NZ297" s="33"/>
      <c r="OA297" s="33"/>
      <c r="OB297" s="33"/>
      <c r="OC297" s="33"/>
      <c r="OD297" s="33"/>
      <c r="OE297" s="33"/>
      <c r="OF297" s="33"/>
      <c r="OG297" s="33"/>
      <c r="OH297" s="33"/>
      <c r="OI297" s="33"/>
      <c r="OJ297" s="33"/>
      <c r="OK297" s="33"/>
      <c r="OL297" s="33"/>
      <c r="OM297" s="33"/>
      <c r="ON297" s="33"/>
      <c r="OO297" s="33"/>
      <c r="OP297" s="33"/>
      <c r="OQ297" s="33"/>
      <c r="OR297" s="33"/>
      <c r="OS297" s="33"/>
      <c r="OT297" s="33"/>
      <c r="OU297" s="33"/>
      <c r="OV297" s="33"/>
      <c r="OW297" s="33"/>
      <c r="OX297" s="33"/>
      <c r="OY297" s="33"/>
      <c r="OZ297" s="33"/>
      <c r="PA297" s="33"/>
      <c r="PB297" s="33"/>
      <c r="PC297" s="33"/>
      <c r="PD297" s="33"/>
      <c r="PE297" s="33"/>
      <c r="PF297" s="33"/>
      <c r="PG297" s="33"/>
      <c r="PH297" s="33"/>
      <c r="PI297" s="33"/>
      <c r="PJ297" s="33"/>
      <c r="PK297" s="33"/>
      <c r="PL297" s="33"/>
      <c r="PM297" s="33"/>
      <c r="PN297" s="33"/>
      <c r="PO297" s="33"/>
      <c r="PP297" s="33"/>
      <c r="PQ297" s="33"/>
      <c r="PR297" s="33"/>
      <c r="PS297" s="33"/>
      <c r="PT297" s="33"/>
      <c r="PU297" s="33"/>
      <c r="PV297" s="33"/>
      <c r="PW297" s="33"/>
      <c r="PX297" s="33"/>
      <c r="PY297" s="33"/>
      <c r="PZ297" s="33"/>
      <c r="QA297" s="33"/>
      <c r="QB297" s="33"/>
      <c r="QC297" s="33"/>
      <c r="QD297" s="33"/>
      <c r="QE297" s="33"/>
      <c r="QF297" s="33"/>
      <c r="QG297" s="33"/>
      <c r="QH297" s="33"/>
      <c r="QI297" s="33"/>
      <c r="QJ297" s="33"/>
      <c r="QK297" s="33"/>
      <c r="QL297" s="33"/>
      <c r="QM297" s="33"/>
      <c r="QN297" s="33"/>
      <c r="QO297" s="33"/>
      <c r="QP297" s="33"/>
      <c r="QQ297" s="33"/>
      <c r="QR297" s="33"/>
      <c r="QS297" s="33"/>
      <c r="QT297" s="33"/>
      <c r="QU297" s="33"/>
      <c r="QV297" s="33"/>
      <c r="QW297" s="33"/>
      <c r="QX297" s="33"/>
      <c r="QY297" s="33"/>
      <c r="QZ297" s="33"/>
      <c r="RA297" s="33"/>
      <c r="RB297" s="33"/>
      <c r="RC297" s="33"/>
      <c r="RD297" s="33"/>
      <c r="RE297" s="33"/>
      <c r="RF297" s="33"/>
      <c r="RG297" s="33"/>
      <c r="RH297" s="33"/>
      <c r="RI297" s="33"/>
      <c r="RJ297" s="33"/>
      <c r="RK297" s="33"/>
      <c r="RL297" s="33"/>
      <c r="RM297" s="33"/>
      <c r="RN297" s="33"/>
      <c r="RO297" s="33"/>
      <c r="RP297" s="33"/>
      <c r="RQ297" s="33"/>
      <c r="RR297" s="33"/>
      <c r="RS297" s="33"/>
      <c r="RT297" s="33"/>
      <c r="RU297" s="33"/>
      <c r="RV297" s="33"/>
      <c r="RW297" s="33"/>
      <c r="RX297" s="33"/>
      <c r="RY297" s="33"/>
      <c r="RZ297" s="33"/>
      <c r="SA297" s="33"/>
      <c r="SB297" s="33"/>
      <c r="SC297" s="33"/>
      <c r="SD297" s="33"/>
      <c r="SE297" s="33"/>
      <c r="SF297" s="33"/>
      <c r="SG297" s="33"/>
      <c r="SH297" s="33"/>
      <c r="SI297" s="33"/>
      <c r="SJ297" s="33"/>
      <c r="SK297" s="33"/>
      <c r="SL297" s="33"/>
      <c r="SM297" s="33"/>
      <c r="SN297" s="33"/>
      <c r="SO297" s="33"/>
      <c r="SP297" s="33"/>
      <c r="SQ297" s="33"/>
      <c r="SR297" s="33"/>
      <c r="SS297" s="33"/>
      <c r="ST297" s="33"/>
      <c r="SU297" s="33"/>
      <c r="SV297" s="33"/>
      <c r="SW297" s="33"/>
      <c r="SX297" s="33"/>
      <c r="SY297" s="33"/>
      <c r="SZ297" s="33"/>
      <c r="TA297" s="33"/>
      <c r="TB297" s="33"/>
      <c r="TC297" s="33"/>
      <c r="TD297" s="33"/>
      <c r="TE297" s="33"/>
      <c r="TF297" s="33"/>
      <c r="TG297" s="33"/>
    </row>
    <row r="298" spans="1:527" s="22" customFormat="1" ht="46.5" customHeight="1" x14ac:dyDescent="0.25">
      <c r="A298" s="60" t="s">
        <v>222</v>
      </c>
      <c r="B298" s="97" t="str">
        <f>'дод 8'!A19</f>
        <v>0160</v>
      </c>
      <c r="C298" s="97" t="str">
        <f>'дод 8'!B19</f>
        <v>0111</v>
      </c>
      <c r="D298" s="36" t="s">
        <v>503</v>
      </c>
      <c r="E298" s="103">
        <f t="shared" ref="E298:E303" si="177">F298+I298</f>
        <v>20146673</v>
      </c>
      <c r="F298" s="103">
        <f>20122100+1000000-1000000+10000+14573</f>
        <v>20146673</v>
      </c>
      <c r="G298" s="103">
        <v>15760200</v>
      </c>
      <c r="H298" s="103">
        <f>257700+14573</f>
        <v>272273</v>
      </c>
      <c r="I298" s="103"/>
      <c r="J298" s="103">
        <f>L298+O298</f>
        <v>0</v>
      </c>
      <c r="K298" s="103"/>
      <c r="L298" s="103"/>
      <c r="M298" s="103"/>
      <c r="N298" s="103"/>
      <c r="O298" s="103"/>
      <c r="P298" s="103">
        <f t="shared" ref="P298:P305" si="178">E298+J298</f>
        <v>20146673</v>
      </c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  <c r="TF298" s="23"/>
      <c r="TG298" s="23"/>
    </row>
    <row r="299" spans="1:527" s="22" customFormat="1" ht="21" customHeight="1" x14ac:dyDescent="0.25">
      <c r="A299" s="60" t="s">
        <v>260</v>
      </c>
      <c r="B299" s="97" t="str">
        <f>'дод 8'!A202</f>
        <v>7640</v>
      </c>
      <c r="C299" s="97" t="str">
        <f>'дод 8'!B202</f>
        <v>0470</v>
      </c>
      <c r="D299" s="61" t="s">
        <v>424</v>
      </c>
      <c r="E299" s="103">
        <f t="shared" si="177"/>
        <v>426000</v>
      </c>
      <c r="F299" s="103">
        <v>426000</v>
      </c>
      <c r="G299" s="103"/>
      <c r="H299" s="103"/>
      <c r="I299" s="103"/>
      <c r="J299" s="103">
        <f t="shared" ref="J299:J305" si="179">L299+O299</f>
        <v>0</v>
      </c>
      <c r="K299" s="103"/>
      <c r="L299" s="103"/>
      <c r="M299" s="103"/>
      <c r="N299" s="103"/>
      <c r="O299" s="103"/>
      <c r="P299" s="103">
        <f t="shared" si="178"/>
        <v>426000</v>
      </c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  <c r="SQ299" s="23"/>
      <c r="SR299" s="23"/>
      <c r="SS299" s="23"/>
      <c r="ST299" s="23"/>
      <c r="SU299" s="23"/>
      <c r="SV299" s="23"/>
      <c r="SW299" s="23"/>
      <c r="SX299" s="23"/>
      <c r="SY299" s="23"/>
      <c r="SZ299" s="23"/>
      <c r="TA299" s="23"/>
      <c r="TB299" s="23"/>
      <c r="TC299" s="23"/>
      <c r="TD299" s="23"/>
      <c r="TE299" s="23"/>
      <c r="TF299" s="23"/>
      <c r="TG299" s="23"/>
    </row>
    <row r="300" spans="1:527" s="22" customFormat="1" ht="29.25" customHeight="1" x14ac:dyDescent="0.25">
      <c r="A300" s="60" t="s">
        <v>332</v>
      </c>
      <c r="B300" s="97" t="str">
        <f>'дод 8'!A210</f>
        <v>7693</v>
      </c>
      <c r="C300" s="97" t="str">
        <f>'дод 8'!B210</f>
        <v>0490</v>
      </c>
      <c r="D300" s="61" t="str">
        <f>'дод 8'!C210</f>
        <v>Інші заходи, пов'язані з економічною діяльністю</v>
      </c>
      <c r="E300" s="103">
        <f t="shared" si="177"/>
        <v>343000</v>
      </c>
      <c r="F300" s="103">
        <f>483750-130750-10000</f>
        <v>343000</v>
      </c>
      <c r="G300" s="103"/>
      <c r="H300" s="103"/>
      <c r="I300" s="103"/>
      <c r="J300" s="103">
        <f t="shared" si="179"/>
        <v>0</v>
      </c>
      <c r="K300" s="103"/>
      <c r="L300" s="103"/>
      <c r="M300" s="103"/>
      <c r="N300" s="103"/>
      <c r="O300" s="103"/>
      <c r="P300" s="103">
        <f t="shared" si="178"/>
        <v>343000</v>
      </c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  <c r="TF300" s="23"/>
      <c r="TG300" s="23"/>
    </row>
    <row r="301" spans="1:527" s="22" customFormat="1" ht="42.75" customHeight="1" x14ac:dyDescent="0.25">
      <c r="A301" s="60">
        <v>3718330</v>
      </c>
      <c r="B301" s="97">
        <f>'дод 8'!A223</f>
        <v>8330</v>
      </c>
      <c r="C301" s="60" t="s">
        <v>94</v>
      </c>
      <c r="D301" s="61" t="str">
        <f>'дод 8'!C223</f>
        <v xml:space="preserve">Інша діяльність у сфері екології та охорони природних ресурсів </v>
      </c>
      <c r="E301" s="103">
        <f t="shared" si="177"/>
        <v>75000</v>
      </c>
      <c r="F301" s="103">
        <v>75000</v>
      </c>
      <c r="G301" s="103"/>
      <c r="H301" s="103"/>
      <c r="I301" s="103"/>
      <c r="J301" s="103">
        <f t="shared" si="179"/>
        <v>0</v>
      </c>
      <c r="K301" s="103"/>
      <c r="L301" s="103"/>
      <c r="M301" s="103"/>
      <c r="N301" s="103"/>
      <c r="O301" s="103"/>
      <c r="P301" s="103">
        <f t="shared" si="178"/>
        <v>75000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  <c r="TF301" s="23"/>
      <c r="TG301" s="23"/>
    </row>
    <row r="302" spans="1:527" s="22" customFormat="1" ht="30.75" customHeight="1" x14ac:dyDescent="0.25">
      <c r="A302" s="60" t="s">
        <v>223</v>
      </c>
      <c r="B302" s="97" t="str">
        <f>'дод 8'!A224</f>
        <v>8340</v>
      </c>
      <c r="C302" s="60" t="str">
        <f>'дод 8'!B224</f>
        <v>0540</v>
      </c>
      <c r="D302" s="61" t="str">
        <f>'дод 8'!C224</f>
        <v>Природоохоронні заходи за рахунок цільових фондів</v>
      </c>
      <c r="E302" s="103">
        <f t="shared" si="177"/>
        <v>0</v>
      </c>
      <c r="F302" s="103"/>
      <c r="G302" s="103"/>
      <c r="H302" s="103"/>
      <c r="I302" s="103"/>
      <c r="J302" s="103">
        <f t="shared" si="179"/>
        <v>502000</v>
      </c>
      <c r="K302" s="103"/>
      <c r="L302" s="103">
        <f>103000+399000</f>
        <v>502000</v>
      </c>
      <c r="M302" s="103"/>
      <c r="N302" s="103"/>
      <c r="O302" s="103"/>
      <c r="P302" s="103">
        <f t="shared" si="178"/>
        <v>502000</v>
      </c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  <c r="SQ302" s="23"/>
      <c r="SR302" s="23"/>
      <c r="SS302" s="23"/>
      <c r="ST302" s="23"/>
      <c r="SU302" s="23"/>
      <c r="SV302" s="23"/>
      <c r="SW302" s="23"/>
      <c r="SX302" s="23"/>
      <c r="SY302" s="23"/>
      <c r="SZ302" s="23"/>
      <c r="TA302" s="23"/>
      <c r="TB302" s="23"/>
      <c r="TC302" s="23"/>
      <c r="TD302" s="23"/>
      <c r="TE302" s="23"/>
      <c r="TF302" s="23"/>
      <c r="TG302" s="23"/>
    </row>
    <row r="303" spans="1:527" s="22" customFormat="1" ht="21.75" customHeight="1" x14ac:dyDescent="0.25">
      <c r="A303" s="60" t="s">
        <v>224</v>
      </c>
      <c r="B303" s="97" t="str">
        <f>'дод 8'!A227</f>
        <v>8600</v>
      </c>
      <c r="C303" s="97" t="str">
        <f>'дод 8'!B227</f>
        <v>0170</v>
      </c>
      <c r="D303" s="61" t="str">
        <f>'дод 8'!C227</f>
        <v>Обслуговування місцевого боргу</v>
      </c>
      <c r="E303" s="103">
        <f t="shared" si="177"/>
        <v>1964239</v>
      </c>
      <c r="F303" s="103">
        <f>1833489+130750</f>
        <v>1964239</v>
      </c>
      <c r="G303" s="103"/>
      <c r="H303" s="103"/>
      <c r="I303" s="103"/>
      <c r="J303" s="103">
        <f t="shared" si="179"/>
        <v>0</v>
      </c>
      <c r="K303" s="103"/>
      <c r="L303" s="103"/>
      <c r="M303" s="103"/>
      <c r="N303" s="103"/>
      <c r="O303" s="103"/>
      <c r="P303" s="103">
        <f t="shared" si="178"/>
        <v>1964239</v>
      </c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  <c r="TF303" s="23"/>
      <c r="TG303" s="23"/>
    </row>
    <row r="304" spans="1:527" s="22" customFormat="1" ht="22.5" customHeight="1" x14ac:dyDescent="0.25">
      <c r="A304" s="60" t="s">
        <v>526</v>
      </c>
      <c r="B304" s="97">
        <v>8710</v>
      </c>
      <c r="C304" s="97" t="str">
        <f>'дод 8'!B228</f>
        <v>0133</v>
      </c>
      <c r="D304" s="61" t="str">
        <f>'дод 8'!C228</f>
        <v>Резервний фонд місцевого бюджету</v>
      </c>
      <c r="E304" s="103">
        <f>16076686.44+30260-2902100-6378100+81980-1553963+117260-370000-4100550-30000-1773800-1500000-1764511-50000+18143581</f>
        <v>14026743.439999999</v>
      </c>
      <c r="F304" s="103"/>
      <c r="G304" s="103"/>
      <c r="H304" s="103"/>
      <c r="I304" s="103"/>
      <c r="J304" s="103">
        <f t="shared" si="179"/>
        <v>0</v>
      </c>
      <c r="K304" s="103"/>
      <c r="L304" s="103"/>
      <c r="M304" s="103"/>
      <c r="N304" s="103"/>
      <c r="O304" s="103"/>
      <c r="P304" s="103">
        <f t="shared" si="178"/>
        <v>14026743.439999999</v>
      </c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  <c r="TF304" s="23"/>
      <c r="TG304" s="23"/>
    </row>
    <row r="305" spans="1:527" s="22" customFormat="1" ht="24.75" customHeight="1" x14ac:dyDescent="0.25">
      <c r="A305" s="60" t="s">
        <v>234</v>
      </c>
      <c r="B305" s="97" t="str">
        <f>'дод 8'!A232</f>
        <v>9110</v>
      </c>
      <c r="C305" s="97" t="str">
        <f>'дод 8'!B232</f>
        <v>0180</v>
      </c>
      <c r="D305" s="61" t="str">
        <f>'дод 8'!C232</f>
        <v>Реверсна дотація</v>
      </c>
      <c r="E305" s="103">
        <f>F305+I305</f>
        <v>100870700</v>
      </c>
      <c r="F305" s="103">
        <v>100870700</v>
      </c>
      <c r="G305" s="103"/>
      <c r="H305" s="103"/>
      <c r="I305" s="103"/>
      <c r="J305" s="103">
        <f t="shared" si="179"/>
        <v>0</v>
      </c>
      <c r="K305" s="103"/>
      <c r="L305" s="103"/>
      <c r="M305" s="103"/>
      <c r="N305" s="103"/>
      <c r="O305" s="103"/>
      <c r="P305" s="103">
        <f t="shared" si="178"/>
        <v>100870700</v>
      </c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  <c r="IS305" s="23"/>
      <c r="IT305" s="23"/>
      <c r="IU305" s="23"/>
      <c r="IV305" s="23"/>
      <c r="IW305" s="23"/>
      <c r="IX305" s="23"/>
      <c r="IY305" s="23"/>
      <c r="IZ305" s="23"/>
      <c r="JA305" s="23"/>
      <c r="JB305" s="23"/>
      <c r="JC305" s="23"/>
      <c r="JD305" s="23"/>
      <c r="JE305" s="23"/>
      <c r="JF305" s="23"/>
      <c r="JG305" s="23"/>
      <c r="JH305" s="23"/>
      <c r="JI305" s="23"/>
      <c r="JJ305" s="23"/>
      <c r="JK305" s="23"/>
      <c r="JL305" s="23"/>
      <c r="JM305" s="23"/>
      <c r="JN305" s="23"/>
      <c r="JO305" s="23"/>
      <c r="JP305" s="23"/>
      <c r="JQ305" s="23"/>
      <c r="JR305" s="23"/>
      <c r="JS305" s="23"/>
      <c r="JT305" s="23"/>
      <c r="JU305" s="23"/>
      <c r="JV305" s="23"/>
      <c r="JW305" s="23"/>
      <c r="JX305" s="23"/>
      <c r="JY305" s="23"/>
      <c r="JZ305" s="23"/>
      <c r="KA305" s="23"/>
      <c r="KB305" s="23"/>
      <c r="KC305" s="23"/>
      <c r="KD305" s="23"/>
      <c r="KE305" s="23"/>
      <c r="KF305" s="23"/>
      <c r="KG305" s="23"/>
      <c r="KH305" s="23"/>
      <c r="KI305" s="23"/>
      <c r="KJ305" s="23"/>
      <c r="KK305" s="23"/>
      <c r="KL305" s="23"/>
      <c r="KM305" s="23"/>
      <c r="KN305" s="23"/>
      <c r="KO305" s="23"/>
      <c r="KP305" s="23"/>
      <c r="KQ305" s="23"/>
      <c r="KR305" s="23"/>
      <c r="KS305" s="23"/>
      <c r="KT305" s="23"/>
      <c r="KU305" s="23"/>
      <c r="KV305" s="23"/>
      <c r="KW305" s="23"/>
      <c r="KX305" s="23"/>
      <c r="KY305" s="23"/>
      <c r="KZ305" s="23"/>
      <c r="LA305" s="23"/>
      <c r="LB305" s="23"/>
      <c r="LC305" s="23"/>
      <c r="LD305" s="23"/>
      <c r="LE305" s="23"/>
      <c r="LF305" s="23"/>
      <c r="LG305" s="23"/>
      <c r="LH305" s="23"/>
      <c r="LI305" s="23"/>
      <c r="LJ305" s="23"/>
      <c r="LK305" s="23"/>
      <c r="LL305" s="23"/>
      <c r="LM305" s="23"/>
      <c r="LN305" s="23"/>
      <c r="LO305" s="23"/>
      <c r="LP305" s="23"/>
      <c r="LQ305" s="23"/>
      <c r="LR305" s="23"/>
      <c r="LS305" s="23"/>
      <c r="LT305" s="23"/>
      <c r="LU305" s="23"/>
      <c r="LV305" s="23"/>
      <c r="LW305" s="23"/>
      <c r="LX305" s="23"/>
      <c r="LY305" s="23"/>
      <c r="LZ305" s="23"/>
      <c r="MA305" s="23"/>
      <c r="MB305" s="23"/>
      <c r="MC305" s="23"/>
      <c r="MD305" s="23"/>
      <c r="ME305" s="23"/>
      <c r="MF305" s="23"/>
      <c r="MG305" s="23"/>
      <c r="MH305" s="23"/>
      <c r="MI305" s="23"/>
      <c r="MJ305" s="23"/>
      <c r="MK305" s="23"/>
      <c r="ML305" s="23"/>
      <c r="MM305" s="23"/>
      <c r="MN305" s="23"/>
      <c r="MO305" s="23"/>
      <c r="MP305" s="23"/>
      <c r="MQ305" s="23"/>
      <c r="MR305" s="23"/>
      <c r="MS305" s="23"/>
      <c r="MT305" s="23"/>
      <c r="MU305" s="23"/>
      <c r="MV305" s="23"/>
      <c r="MW305" s="23"/>
      <c r="MX305" s="23"/>
      <c r="MY305" s="23"/>
      <c r="MZ305" s="23"/>
      <c r="NA305" s="23"/>
      <c r="NB305" s="23"/>
      <c r="NC305" s="23"/>
      <c r="ND305" s="23"/>
      <c r="NE305" s="23"/>
      <c r="NF305" s="23"/>
      <c r="NG305" s="23"/>
      <c r="NH305" s="23"/>
      <c r="NI305" s="23"/>
      <c r="NJ305" s="23"/>
      <c r="NK305" s="23"/>
      <c r="NL305" s="23"/>
      <c r="NM305" s="23"/>
      <c r="NN305" s="23"/>
      <c r="NO305" s="23"/>
      <c r="NP305" s="23"/>
      <c r="NQ305" s="23"/>
      <c r="NR305" s="23"/>
      <c r="NS305" s="23"/>
      <c r="NT305" s="23"/>
      <c r="NU305" s="23"/>
      <c r="NV305" s="23"/>
      <c r="NW305" s="23"/>
      <c r="NX305" s="23"/>
      <c r="NY305" s="23"/>
      <c r="NZ305" s="23"/>
      <c r="OA305" s="23"/>
      <c r="OB305" s="23"/>
      <c r="OC305" s="23"/>
      <c r="OD305" s="23"/>
      <c r="OE305" s="23"/>
      <c r="OF305" s="23"/>
      <c r="OG305" s="23"/>
      <c r="OH305" s="23"/>
      <c r="OI305" s="23"/>
      <c r="OJ305" s="23"/>
      <c r="OK305" s="23"/>
      <c r="OL305" s="23"/>
      <c r="OM305" s="23"/>
      <c r="ON305" s="23"/>
      <c r="OO305" s="23"/>
      <c r="OP305" s="23"/>
      <c r="OQ305" s="23"/>
      <c r="OR305" s="23"/>
      <c r="OS305" s="23"/>
      <c r="OT305" s="23"/>
      <c r="OU305" s="23"/>
      <c r="OV305" s="23"/>
      <c r="OW305" s="23"/>
      <c r="OX305" s="23"/>
      <c r="OY305" s="23"/>
      <c r="OZ305" s="23"/>
      <c r="PA305" s="23"/>
      <c r="PB305" s="23"/>
      <c r="PC305" s="23"/>
      <c r="PD305" s="23"/>
      <c r="PE305" s="23"/>
      <c r="PF305" s="23"/>
      <c r="PG305" s="23"/>
      <c r="PH305" s="23"/>
      <c r="PI305" s="23"/>
      <c r="PJ305" s="23"/>
      <c r="PK305" s="23"/>
      <c r="PL305" s="23"/>
      <c r="PM305" s="23"/>
      <c r="PN305" s="23"/>
      <c r="PO305" s="23"/>
      <c r="PP305" s="23"/>
      <c r="PQ305" s="23"/>
      <c r="PR305" s="23"/>
      <c r="PS305" s="23"/>
      <c r="PT305" s="23"/>
      <c r="PU305" s="23"/>
      <c r="PV305" s="23"/>
      <c r="PW305" s="23"/>
      <c r="PX305" s="23"/>
      <c r="PY305" s="23"/>
      <c r="PZ305" s="23"/>
      <c r="QA305" s="23"/>
      <c r="QB305" s="23"/>
      <c r="QC305" s="23"/>
      <c r="QD305" s="23"/>
      <c r="QE305" s="23"/>
      <c r="QF305" s="23"/>
      <c r="QG305" s="23"/>
      <c r="QH305" s="23"/>
      <c r="QI305" s="23"/>
      <c r="QJ305" s="23"/>
      <c r="QK305" s="23"/>
      <c r="QL305" s="23"/>
      <c r="QM305" s="23"/>
      <c r="QN305" s="23"/>
      <c r="QO305" s="23"/>
      <c r="QP305" s="23"/>
      <c r="QQ305" s="23"/>
      <c r="QR305" s="23"/>
      <c r="QS305" s="23"/>
      <c r="QT305" s="23"/>
      <c r="QU305" s="23"/>
      <c r="QV305" s="23"/>
      <c r="QW305" s="23"/>
      <c r="QX305" s="23"/>
      <c r="QY305" s="23"/>
      <c r="QZ305" s="23"/>
      <c r="RA305" s="23"/>
      <c r="RB305" s="23"/>
      <c r="RC305" s="23"/>
      <c r="RD305" s="23"/>
      <c r="RE305" s="23"/>
      <c r="RF305" s="23"/>
      <c r="RG305" s="23"/>
      <c r="RH305" s="23"/>
      <c r="RI305" s="23"/>
      <c r="RJ305" s="23"/>
      <c r="RK305" s="23"/>
      <c r="RL305" s="23"/>
      <c r="RM305" s="23"/>
      <c r="RN305" s="23"/>
      <c r="RO305" s="23"/>
      <c r="RP305" s="23"/>
      <c r="RQ305" s="23"/>
      <c r="RR305" s="23"/>
      <c r="RS305" s="23"/>
      <c r="RT305" s="23"/>
      <c r="RU305" s="23"/>
      <c r="RV305" s="23"/>
      <c r="RW305" s="23"/>
      <c r="RX305" s="23"/>
      <c r="RY305" s="23"/>
      <c r="RZ305" s="23"/>
      <c r="SA305" s="23"/>
      <c r="SB305" s="23"/>
      <c r="SC305" s="23"/>
      <c r="SD305" s="23"/>
      <c r="SE305" s="23"/>
      <c r="SF305" s="23"/>
      <c r="SG305" s="23"/>
      <c r="SH305" s="23"/>
      <c r="SI305" s="23"/>
      <c r="SJ305" s="23"/>
      <c r="SK305" s="23"/>
      <c r="SL305" s="23"/>
      <c r="SM305" s="23"/>
      <c r="SN305" s="23"/>
      <c r="SO305" s="23"/>
      <c r="SP305" s="23"/>
      <c r="SQ305" s="23"/>
      <c r="SR305" s="23"/>
      <c r="SS305" s="23"/>
      <c r="ST305" s="23"/>
      <c r="SU305" s="23"/>
      <c r="SV305" s="23"/>
      <c r="SW305" s="23"/>
      <c r="SX305" s="23"/>
      <c r="SY305" s="23"/>
      <c r="SZ305" s="23"/>
      <c r="TA305" s="23"/>
      <c r="TB305" s="23"/>
      <c r="TC305" s="23"/>
      <c r="TD305" s="23"/>
      <c r="TE305" s="23"/>
      <c r="TF305" s="23"/>
      <c r="TG305" s="23"/>
    </row>
    <row r="306" spans="1:527" s="27" customFormat="1" ht="22.5" customHeight="1" x14ac:dyDescent="0.25">
      <c r="A306" s="122"/>
      <c r="B306" s="116"/>
      <c r="C306" s="143"/>
      <c r="D306" s="111" t="s">
        <v>410</v>
      </c>
      <c r="E306" s="99">
        <f t="shared" ref="E306:P306" si="180">E17+E62+E121+E155+E196+E204+E215+E252+E255+E275+E282+E285+E293+E296</f>
        <v>2297140162.4500003</v>
      </c>
      <c r="F306" s="99">
        <f t="shared" si="180"/>
        <v>2197272264.5299997</v>
      </c>
      <c r="G306" s="99">
        <f t="shared" si="180"/>
        <v>1079219630</v>
      </c>
      <c r="H306" s="99">
        <f t="shared" si="180"/>
        <v>107607651</v>
      </c>
      <c r="I306" s="99">
        <f t="shared" si="180"/>
        <v>85841154.480000004</v>
      </c>
      <c r="J306" s="99">
        <f t="shared" si="180"/>
        <v>713432455.55999994</v>
      </c>
      <c r="K306" s="99">
        <f t="shared" si="180"/>
        <v>648359161.03999996</v>
      </c>
      <c r="L306" s="99">
        <f t="shared" si="180"/>
        <v>47765901.869999997</v>
      </c>
      <c r="M306" s="99">
        <f t="shared" si="180"/>
        <v>6033355</v>
      </c>
      <c r="N306" s="99">
        <f t="shared" si="180"/>
        <v>266522</v>
      </c>
      <c r="O306" s="99">
        <f t="shared" si="180"/>
        <v>665666553.69000006</v>
      </c>
      <c r="P306" s="99">
        <f t="shared" si="180"/>
        <v>3010572618.0100002</v>
      </c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  <c r="IP306" s="32"/>
      <c r="IQ306" s="32"/>
      <c r="IR306" s="32"/>
      <c r="IS306" s="32"/>
      <c r="IT306" s="32"/>
      <c r="IU306" s="32"/>
      <c r="IV306" s="32"/>
      <c r="IW306" s="32"/>
      <c r="IX306" s="32"/>
      <c r="IY306" s="32"/>
      <c r="IZ306" s="32"/>
      <c r="JA306" s="32"/>
      <c r="JB306" s="32"/>
      <c r="JC306" s="32"/>
      <c r="JD306" s="32"/>
      <c r="JE306" s="32"/>
      <c r="JF306" s="32"/>
      <c r="JG306" s="32"/>
      <c r="JH306" s="32"/>
      <c r="JI306" s="32"/>
      <c r="JJ306" s="32"/>
      <c r="JK306" s="32"/>
      <c r="JL306" s="32"/>
      <c r="JM306" s="32"/>
      <c r="JN306" s="32"/>
      <c r="JO306" s="32"/>
      <c r="JP306" s="32"/>
      <c r="JQ306" s="32"/>
      <c r="JR306" s="32"/>
      <c r="JS306" s="32"/>
      <c r="JT306" s="32"/>
      <c r="JU306" s="32"/>
      <c r="JV306" s="32"/>
      <c r="JW306" s="32"/>
      <c r="JX306" s="32"/>
      <c r="JY306" s="32"/>
      <c r="JZ306" s="32"/>
      <c r="KA306" s="32"/>
      <c r="KB306" s="32"/>
      <c r="KC306" s="32"/>
      <c r="KD306" s="32"/>
      <c r="KE306" s="32"/>
      <c r="KF306" s="32"/>
      <c r="KG306" s="32"/>
      <c r="KH306" s="32"/>
      <c r="KI306" s="32"/>
      <c r="KJ306" s="32"/>
      <c r="KK306" s="32"/>
      <c r="KL306" s="32"/>
      <c r="KM306" s="32"/>
      <c r="KN306" s="32"/>
      <c r="KO306" s="32"/>
      <c r="KP306" s="32"/>
      <c r="KQ306" s="32"/>
      <c r="KR306" s="32"/>
      <c r="KS306" s="32"/>
      <c r="KT306" s="32"/>
      <c r="KU306" s="32"/>
      <c r="KV306" s="32"/>
      <c r="KW306" s="32"/>
      <c r="KX306" s="32"/>
      <c r="KY306" s="32"/>
      <c r="KZ306" s="32"/>
      <c r="LA306" s="32"/>
      <c r="LB306" s="32"/>
      <c r="LC306" s="32"/>
      <c r="LD306" s="32"/>
      <c r="LE306" s="32"/>
      <c r="LF306" s="32"/>
      <c r="LG306" s="32"/>
      <c r="LH306" s="32"/>
      <c r="LI306" s="32"/>
      <c r="LJ306" s="32"/>
      <c r="LK306" s="32"/>
      <c r="LL306" s="32"/>
      <c r="LM306" s="32"/>
      <c r="LN306" s="32"/>
      <c r="LO306" s="32"/>
      <c r="LP306" s="32"/>
      <c r="LQ306" s="32"/>
      <c r="LR306" s="32"/>
      <c r="LS306" s="32"/>
      <c r="LT306" s="32"/>
      <c r="LU306" s="32"/>
      <c r="LV306" s="32"/>
      <c r="LW306" s="32"/>
      <c r="LX306" s="32"/>
      <c r="LY306" s="32"/>
      <c r="LZ306" s="32"/>
      <c r="MA306" s="32"/>
      <c r="MB306" s="32"/>
      <c r="MC306" s="32"/>
      <c r="MD306" s="32"/>
      <c r="ME306" s="32"/>
      <c r="MF306" s="32"/>
      <c r="MG306" s="32"/>
      <c r="MH306" s="32"/>
      <c r="MI306" s="32"/>
      <c r="MJ306" s="32"/>
      <c r="MK306" s="32"/>
      <c r="ML306" s="32"/>
      <c r="MM306" s="32"/>
      <c r="MN306" s="32"/>
      <c r="MO306" s="32"/>
      <c r="MP306" s="32"/>
      <c r="MQ306" s="32"/>
      <c r="MR306" s="32"/>
      <c r="MS306" s="32"/>
      <c r="MT306" s="32"/>
      <c r="MU306" s="32"/>
      <c r="MV306" s="32"/>
      <c r="MW306" s="32"/>
      <c r="MX306" s="32"/>
      <c r="MY306" s="32"/>
      <c r="MZ306" s="32"/>
      <c r="NA306" s="32"/>
      <c r="NB306" s="32"/>
      <c r="NC306" s="32"/>
      <c r="ND306" s="32"/>
      <c r="NE306" s="32"/>
      <c r="NF306" s="32"/>
      <c r="NG306" s="32"/>
      <c r="NH306" s="32"/>
      <c r="NI306" s="32"/>
      <c r="NJ306" s="32"/>
      <c r="NK306" s="32"/>
      <c r="NL306" s="32"/>
      <c r="NM306" s="32"/>
      <c r="NN306" s="32"/>
      <c r="NO306" s="32"/>
      <c r="NP306" s="32"/>
      <c r="NQ306" s="32"/>
      <c r="NR306" s="32"/>
      <c r="NS306" s="32"/>
      <c r="NT306" s="32"/>
      <c r="NU306" s="32"/>
      <c r="NV306" s="32"/>
      <c r="NW306" s="32"/>
      <c r="NX306" s="32"/>
      <c r="NY306" s="32"/>
      <c r="NZ306" s="32"/>
      <c r="OA306" s="32"/>
      <c r="OB306" s="32"/>
      <c r="OC306" s="32"/>
      <c r="OD306" s="32"/>
      <c r="OE306" s="32"/>
      <c r="OF306" s="32"/>
      <c r="OG306" s="32"/>
      <c r="OH306" s="32"/>
      <c r="OI306" s="32"/>
      <c r="OJ306" s="32"/>
      <c r="OK306" s="32"/>
      <c r="OL306" s="32"/>
      <c r="OM306" s="32"/>
      <c r="ON306" s="32"/>
      <c r="OO306" s="32"/>
      <c r="OP306" s="32"/>
      <c r="OQ306" s="32"/>
      <c r="OR306" s="32"/>
      <c r="OS306" s="32"/>
      <c r="OT306" s="32"/>
      <c r="OU306" s="32"/>
      <c r="OV306" s="32"/>
      <c r="OW306" s="32"/>
      <c r="OX306" s="32"/>
      <c r="OY306" s="32"/>
      <c r="OZ306" s="32"/>
      <c r="PA306" s="32"/>
      <c r="PB306" s="32"/>
      <c r="PC306" s="32"/>
      <c r="PD306" s="32"/>
      <c r="PE306" s="32"/>
      <c r="PF306" s="32"/>
      <c r="PG306" s="32"/>
      <c r="PH306" s="32"/>
      <c r="PI306" s="32"/>
      <c r="PJ306" s="32"/>
      <c r="PK306" s="32"/>
      <c r="PL306" s="32"/>
      <c r="PM306" s="32"/>
      <c r="PN306" s="32"/>
      <c r="PO306" s="32"/>
      <c r="PP306" s="32"/>
      <c r="PQ306" s="32"/>
      <c r="PR306" s="32"/>
      <c r="PS306" s="32"/>
      <c r="PT306" s="32"/>
      <c r="PU306" s="32"/>
      <c r="PV306" s="32"/>
      <c r="PW306" s="32"/>
      <c r="PX306" s="32"/>
      <c r="PY306" s="32"/>
      <c r="PZ306" s="32"/>
      <c r="QA306" s="32"/>
      <c r="QB306" s="32"/>
      <c r="QC306" s="32"/>
      <c r="QD306" s="32"/>
      <c r="QE306" s="32"/>
      <c r="QF306" s="32"/>
      <c r="QG306" s="32"/>
      <c r="QH306" s="32"/>
      <c r="QI306" s="32"/>
      <c r="QJ306" s="32"/>
      <c r="QK306" s="32"/>
      <c r="QL306" s="32"/>
      <c r="QM306" s="32"/>
      <c r="QN306" s="32"/>
      <c r="QO306" s="32"/>
      <c r="QP306" s="32"/>
      <c r="QQ306" s="32"/>
      <c r="QR306" s="32"/>
      <c r="QS306" s="32"/>
      <c r="QT306" s="32"/>
      <c r="QU306" s="32"/>
      <c r="QV306" s="32"/>
      <c r="QW306" s="32"/>
      <c r="QX306" s="32"/>
      <c r="QY306" s="32"/>
      <c r="QZ306" s="32"/>
      <c r="RA306" s="32"/>
      <c r="RB306" s="32"/>
      <c r="RC306" s="32"/>
      <c r="RD306" s="32"/>
      <c r="RE306" s="32"/>
      <c r="RF306" s="32"/>
      <c r="RG306" s="32"/>
      <c r="RH306" s="32"/>
      <c r="RI306" s="32"/>
      <c r="RJ306" s="32"/>
      <c r="RK306" s="32"/>
      <c r="RL306" s="32"/>
      <c r="RM306" s="32"/>
      <c r="RN306" s="32"/>
      <c r="RO306" s="32"/>
      <c r="RP306" s="32"/>
      <c r="RQ306" s="32"/>
      <c r="RR306" s="32"/>
      <c r="RS306" s="32"/>
      <c r="RT306" s="32"/>
      <c r="RU306" s="32"/>
      <c r="RV306" s="32"/>
      <c r="RW306" s="32"/>
      <c r="RX306" s="32"/>
      <c r="RY306" s="32"/>
      <c r="RZ306" s="32"/>
      <c r="SA306" s="32"/>
      <c r="SB306" s="32"/>
      <c r="SC306" s="32"/>
      <c r="SD306" s="32"/>
      <c r="SE306" s="32"/>
      <c r="SF306" s="32"/>
      <c r="SG306" s="32"/>
      <c r="SH306" s="32"/>
      <c r="SI306" s="32"/>
      <c r="SJ306" s="32"/>
      <c r="SK306" s="32"/>
      <c r="SL306" s="32"/>
      <c r="SM306" s="32"/>
      <c r="SN306" s="32"/>
      <c r="SO306" s="32"/>
      <c r="SP306" s="32"/>
      <c r="SQ306" s="32"/>
      <c r="SR306" s="32"/>
      <c r="SS306" s="32"/>
      <c r="ST306" s="32"/>
      <c r="SU306" s="32"/>
      <c r="SV306" s="32"/>
      <c r="SW306" s="32"/>
      <c r="SX306" s="32"/>
      <c r="SY306" s="32"/>
      <c r="SZ306" s="32"/>
      <c r="TA306" s="32"/>
      <c r="TB306" s="32"/>
      <c r="TC306" s="32"/>
      <c r="TD306" s="32"/>
      <c r="TE306" s="32"/>
      <c r="TF306" s="32"/>
      <c r="TG306" s="32"/>
    </row>
    <row r="307" spans="1:527" s="34" customFormat="1" ht="39.75" customHeight="1" x14ac:dyDescent="0.25">
      <c r="A307" s="123"/>
      <c r="B307" s="113"/>
      <c r="C307" s="101"/>
      <c r="D307" s="81" t="s">
        <v>403</v>
      </c>
      <c r="E307" s="102">
        <f t="shared" ref="E307:P307" si="181">E64+E71+E219+E220+E74+E128</f>
        <v>485377355.60000002</v>
      </c>
      <c r="F307" s="102">
        <f t="shared" si="181"/>
        <v>485377355.60000002</v>
      </c>
      <c r="G307" s="102">
        <f t="shared" si="181"/>
        <v>396066000</v>
      </c>
      <c r="H307" s="102">
        <f t="shared" si="181"/>
        <v>0</v>
      </c>
      <c r="I307" s="102">
        <f t="shared" si="181"/>
        <v>0</v>
      </c>
      <c r="J307" s="102">
        <f t="shared" si="181"/>
        <v>14076649.18</v>
      </c>
      <c r="K307" s="102">
        <f t="shared" si="181"/>
        <v>14076649.18</v>
      </c>
      <c r="L307" s="102">
        <f t="shared" si="181"/>
        <v>0</v>
      </c>
      <c r="M307" s="102">
        <f t="shared" si="181"/>
        <v>0</v>
      </c>
      <c r="N307" s="102">
        <f t="shared" si="181"/>
        <v>0</v>
      </c>
      <c r="O307" s="102">
        <f t="shared" si="181"/>
        <v>14076649.18</v>
      </c>
      <c r="P307" s="102">
        <f t="shared" si="181"/>
        <v>499454004.77999997</v>
      </c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  <c r="CH307" s="33"/>
      <c r="CI307" s="33"/>
      <c r="CJ307" s="33"/>
      <c r="CK307" s="33"/>
      <c r="CL307" s="33"/>
      <c r="CM307" s="33"/>
      <c r="CN307" s="33"/>
      <c r="CO307" s="33"/>
      <c r="CP307" s="33"/>
      <c r="CQ307" s="33"/>
      <c r="CR307" s="33"/>
      <c r="CS307" s="33"/>
      <c r="CT307" s="33"/>
      <c r="CU307" s="33"/>
      <c r="CV307" s="33"/>
      <c r="CW307" s="33"/>
      <c r="CX307" s="33"/>
      <c r="CY307" s="33"/>
      <c r="CZ307" s="33"/>
      <c r="DA307" s="33"/>
      <c r="DB307" s="33"/>
      <c r="DC307" s="33"/>
      <c r="DD307" s="33"/>
      <c r="DE307" s="33"/>
      <c r="DF307" s="33"/>
      <c r="DG307" s="33"/>
      <c r="DH307" s="33"/>
      <c r="DI307" s="33"/>
      <c r="DJ307" s="33"/>
      <c r="DK307" s="33"/>
      <c r="DL307" s="33"/>
      <c r="DM307" s="33"/>
      <c r="DN307" s="33"/>
      <c r="DO307" s="33"/>
      <c r="DP307" s="33"/>
      <c r="DQ307" s="33"/>
      <c r="DR307" s="33"/>
      <c r="DS307" s="33"/>
      <c r="DT307" s="33"/>
      <c r="DU307" s="33"/>
      <c r="DV307" s="33"/>
      <c r="DW307" s="33"/>
      <c r="DX307" s="33"/>
      <c r="DY307" s="33"/>
      <c r="DZ307" s="33"/>
      <c r="EA307" s="33"/>
      <c r="EB307" s="33"/>
      <c r="EC307" s="33"/>
      <c r="ED307" s="33"/>
      <c r="EE307" s="33"/>
      <c r="EF307" s="33"/>
      <c r="EG307" s="33"/>
      <c r="EH307" s="33"/>
      <c r="EI307" s="33"/>
      <c r="EJ307" s="33"/>
      <c r="EK307" s="33"/>
      <c r="EL307" s="33"/>
      <c r="EM307" s="33"/>
      <c r="EN307" s="33"/>
      <c r="EO307" s="33"/>
      <c r="EP307" s="33"/>
      <c r="EQ307" s="33"/>
      <c r="ER307" s="33"/>
      <c r="ES307" s="33"/>
      <c r="ET307" s="33"/>
      <c r="EU307" s="33"/>
      <c r="EV307" s="33"/>
      <c r="EW307" s="33"/>
      <c r="EX307" s="33"/>
      <c r="EY307" s="33"/>
      <c r="EZ307" s="33"/>
      <c r="FA307" s="33"/>
      <c r="FB307" s="33"/>
      <c r="FC307" s="33"/>
      <c r="FD307" s="33"/>
      <c r="FE307" s="33"/>
      <c r="FF307" s="33"/>
      <c r="FG307" s="33"/>
      <c r="FH307" s="33"/>
      <c r="FI307" s="33"/>
      <c r="FJ307" s="33"/>
      <c r="FK307" s="33"/>
      <c r="FL307" s="33"/>
      <c r="FM307" s="33"/>
      <c r="FN307" s="33"/>
      <c r="FO307" s="33"/>
      <c r="FP307" s="33"/>
      <c r="FQ307" s="33"/>
      <c r="FR307" s="33"/>
      <c r="FS307" s="33"/>
      <c r="FT307" s="33"/>
      <c r="FU307" s="33"/>
      <c r="FV307" s="33"/>
      <c r="FW307" s="33"/>
      <c r="FX307" s="33"/>
      <c r="FY307" s="33"/>
      <c r="FZ307" s="33"/>
      <c r="GA307" s="33"/>
      <c r="GB307" s="33"/>
      <c r="GC307" s="33"/>
      <c r="GD307" s="33"/>
      <c r="GE307" s="33"/>
      <c r="GF307" s="33"/>
      <c r="GG307" s="33"/>
      <c r="GH307" s="33"/>
      <c r="GI307" s="33"/>
      <c r="GJ307" s="33"/>
      <c r="GK307" s="33"/>
      <c r="GL307" s="33"/>
      <c r="GM307" s="33"/>
      <c r="GN307" s="33"/>
      <c r="GO307" s="33"/>
      <c r="GP307" s="33"/>
      <c r="GQ307" s="33"/>
      <c r="GR307" s="33"/>
      <c r="GS307" s="33"/>
      <c r="GT307" s="33"/>
      <c r="GU307" s="33"/>
      <c r="GV307" s="33"/>
      <c r="GW307" s="33"/>
      <c r="GX307" s="33"/>
      <c r="GY307" s="33"/>
      <c r="GZ307" s="33"/>
      <c r="HA307" s="33"/>
      <c r="HB307" s="33"/>
      <c r="HC307" s="33"/>
      <c r="HD307" s="33"/>
      <c r="HE307" s="33"/>
      <c r="HF307" s="33"/>
      <c r="HG307" s="33"/>
      <c r="HH307" s="33"/>
      <c r="HI307" s="33"/>
      <c r="HJ307" s="33"/>
      <c r="HK307" s="33"/>
      <c r="HL307" s="33"/>
      <c r="HM307" s="33"/>
      <c r="HN307" s="33"/>
      <c r="HO307" s="33"/>
      <c r="HP307" s="33"/>
      <c r="HQ307" s="33"/>
      <c r="HR307" s="33"/>
      <c r="HS307" s="33"/>
      <c r="HT307" s="33"/>
      <c r="HU307" s="33"/>
      <c r="HV307" s="33"/>
      <c r="HW307" s="33"/>
      <c r="HX307" s="33"/>
      <c r="HY307" s="33"/>
      <c r="HZ307" s="33"/>
      <c r="IA307" s="33"/>
      <c r="IB307" s="33"/>
      <c r="IC307" s="33"/>
      <c r="ID307" s="33"/>
      <c r="IE307" s="33"/>
      <c r="IF307" s="33"/>
      <c r="IG307" s="33"/>
      <c r="IH307" s="33"/>
      <c r="II307" s="33"/>
      <c r="IJ307" s="33"/>
      <c r="IK307" s="33"/>
      <c r="IL307" s="33"/>
      <c r="IM307" s="33"/>
      <c r="IN307" s="33"/>
      <c r="IO307" s="33"/>
      <c r="IP307" s="33"/>
      <c r="IQ307" s="33"/>
      <c r="IR307" s="33"/>
      <c r="IS307" s="33"/>
      <c r="IT307" s="33"/>
      <c r="IU307" s="33"/>
      <c r="IV307" s="33"/>
      <c r="IW307" s="33"/>
      <c r="IX307" s="33"/>
      <c r="IY307" s="33"/>
      <c r="IZ307" s="33"/>
      <c r="JA307" s="33"/>
      <c r="JB307" s="33"/>
      <c r="JC307" s="33"/>
      <c r="JD307" s="33"/>
      <c r="JE307" s="33"/>
      <c r="JF307" s="33"/>
      <c r="JG307" s="33"/>
      <c r="JH307" s="33"/>
      <c r="JI307" s="33"/>
      <c r="JJ307" s="33"/>
      <c r="JK307" s="33"/>
      <c r="JL307" s="33"/>
      <c r="JM307" s="33"/>
      <c r="JN307" s="33"/>
      <c r="JO307" s="33"/>
      <c r="JP307" s="33"/>
      <c r="JQ307" s="33"/>
      <c r="JR307" s="33"/>
      <c r="JS307" s="33"/>
      <c r="JT307" s="33"/>
      <c r="JU307" s="33"/>
      <c r="JV307" s="33"/>
      <c r="JW307" s="33"/>
      <c r="JX307" s="33"/>
      <c r="JY307" s="33"/>
      <c r="JZ307" s="33"/>
      <c r="KA307" s="33"/>
      <c r="KB307" s="33"/>
      <c r="KC307" s="33"/>
      <c r="KD307" s="33"/>
      <c r="KE307" s="33"/>
      <c r="KF307" s="33"/>
      <c r="KG307" s="33"/>
      <c r="KH307" s="33"/>
      <c r="KI307" s="33"/>
      <c r="KJ307" s="33"/>
      <c r="KK307" s="33"/>
      <c r="KL307" s="33"/>
      <c r="KM307" s="33"/>
      <c r="KN307" s="33"/>
      <c r="KO307" s="33"/>
      <c r="KP307" s="33"/>
      <c r="KQ307" s="33"/>
      <c r="KR307" s="33"/>
      <c r="KS307" s="33"/>
      <c r="KT307" s="33"/>
      <c r="KU307" s="33"/>
      <c r="KV307" s="33"/>
      <c r="KW307" s="33"/>
      <c r="KX307" s="33"/>
      <c r="KY307" s="33"/>
      <c r="KZ307" s="33"/>
      <c r="LA307" s="33"/>
      <c r="LB307" s="33"/>
      <c r="LC307" s="33"/>
      <c r="LD307" s="33"/>
      <c r="LE307" s="33"/>
      <c r="LF307" s="33"/>
      <c r="LG307" s="33"/>
      <c r="LH307" s="33"/>
      <c r="LI307" s="33"/>
      <c r="LJ307" s="33"/>
      <c r="LK307" s="33"/>
      <c r="LL307" s="33"/>
      <c r="LM307" s="33"/>
      <c r="LN307" s="33"/>
      <c r="LO307" s="33"/>
      <c r="LP307" s="33"/>
      <c r="LQ307" s="33"/>
      <c r="LR307" s="33"/>
      <c r="LS307" s="33"/>
      <c r="LT307" s="33"/>
      <c r="LU307" s="33"/>
      <c r="LV307" s="33"/>
      <c r="LW307" s="33"/>
      <c r="LX307" s="33"/>
      <c r="LY307" s="33"/>
      <c r="LZ307" s="33"/>
      <c r="MA307" s="33"/>
      <c r="MB307" s="33"/>
      <c r="MC307" s="33"/>
      <c r="MD307" s="33"/>
      <c r="ME307" s="33"/>
      <c r="MF307" s="33"/>
      <c r="MG307" s="33"/>
      <c r="MH307" s="33"/>
      <c r="MI307" s="33"/>
      <c r="MJ307" s="33"/>
      <c r="MK307" s="33"/>
      <c r="ML307" s="33"/>
      <c r="MM307" s="33"/>
      <c r="MN307" s="33"/>
      <c r="MO307" s="33"/>
      <c r="MP307" s="33"/>
      <c r="MQ307" s="33"/>
      <c r="MR307" s="33"/>
      <c r="MS307" s="33"/>
      <c r="MT307" s="33"/>
      <c r="MU307" s="33"/>
      <c r="MV307" s="33"/>
      <c r="MW307" s="33"/>
      <c r="MX307" s="33"/>
      <c r="MY307" s="33"/>
      <c r="MZ307" s="33"/>
      <c r="NA307" s="33"/>
      <c r="NB307" s="33"/>
      <c r="NC307" s="33"/>
      <c r="ND307" s="33"/>
      <c r="NE307" s="33"/>
      <c r="NF307" s="33"/>
      <c r="NG307" s="33"/>
      <c r="NH307" s="33"/>
      <c r="NI307" s="33"/>
      <c r="NJ307" s="33"/>
      <c r="NK307" s="33"/>
      <c r="NL307" s="33"/>
      <c r="NM307" s="33"/>
      <c r="NN307" s="33"/>
      <c r="NO307" s="33"/>
      <c r="NP307" s="33"/>
      <c r="NQ307" s="33"/>
      <c r="NR307" s="33"/>
      <c r="NS307" s="33"/>
      <c r="NT307" s="33"/>
      <c r="NU307" s="33"/>
      <c r="NV307" s="33"/>
      <c r="NW307" s="33"/>
      <c r="NX307" s="33"/>
      <c r="NY307" s="33"/>
      <c r="NZ307" s="33"/>
      <c r="OA307" s="33"/>
      <c r="OB307" s="33"/>
      <c r="OC307" s="33"/>
      <c r="OD307" s="33"/>
      <c r="OE307" s="33"/>
      <c r="OF307" s="33"/>
      <c r="OG307" s="33"/>
      <c r="OH307" s="33"/>
      <c r="OI307" s="33"/>
      <c r="OJ307" s="33"/>
      <c r="OK307" s="33"/>
      <c r="OL307" s="33"/>
      <c r="OM307" s="33"/>
      <c r="ON307" s="33"/>
      <c r="OO307" s="33"/>
      <c r="OP307" s="33"/>
      <c r="OQ307" s="33"/>
      <c r="OR307" s="33"/>
      <c r="OS307" s="33"/>
      <c r="OT307" s="33"/>
      <c r="OU307" s="33"/>
      <c r="OV307" s="33"/>
      <c r="OW307" s="33"/>
      <c r="OX307" s="33"/>
      <c r="OY307" s="33"/>
      <c r="OZ307" s="33"/>
      <c r="PA307" s="33"/>
      <c r="PB307" s="33"/>
      <c r="PC307" s="33"/>
      <c r="PD307" s="33"/>
      <c r="PE307" s="33"/>
      <c r="PF307" s="33"/>
      <c r="PG307" s="33"/>
      <c r="PH307" s="33"/>
      <c r="PI307" s="33"/>
      <c r="PJ307" s="33"/>
      <c r="PK307" s="33"/>
      <c r="PL307" s="33"/>
      <c r="PM307" s="33"/>
      <c r="PN307" s="33"/>
      <c r="PO307" s="33"/>
      <c r="PP307" s="33"/>
      <c r="PQ307" s="33"/>
      <c r="PR307" s="33"/>
      <c r="PS307" s="33"/>
      <c r="PT307" s="33"/>
      <c r="PU307" s="33"/>
      <c r="PV307" s="33"/>
      <c r="PW307" s="33"/>
      <c r="PX307" s="33"/>
      <c r="PY307" s="33"/>
      <c r="PZ307" s="33"/>
      <c r="QA307" s="33"/>
      <c r="QB307" s="33"/>
      <c r="QC307" s="33"/>
      <c r="QD307" s="33"/>
      <c r="QE307" s="33"/>
      <c r="QF307" s="33"/>
      <c r="QG307" s="33"/>
      <c r="QH307" s="33"/>
      <c r="QI307" s="33"/>
      <c r="QJ307" s="33"/>
      <c r="QK307" s="33"/>
      <c r="QL307" s="33"/>
      <c r="QM307" s="33"/>
      <c r="QN307" s="33"/>
      <c r="QO307" s="33"/>
      <c r="QP307" s="33"/>
      <c r="QQ307" s="33"/>
      <c r="QR307" s="33"/>
      <c r="QS307" s="33"/>
      <c r="QT307" s="33"/>
      <c r="QU307" s="33"/>
      <c r="QV307" s="33"/>
      <c r="QW307" s="33"/>
      <c r="QX307" s="33"/>
      <c r="QY307" s="33"/>
      <c r="QZ307" s="33"/>
      <c r="RA307" s="33"/>
      <c r="RB307" s="33"/>
      <c r="RC307" s="33"/>
      <c r="RD307" s="33"/>
      <c r="RE307" s="33"/>
      <c r="RF307" s="33"/>
      <c r="RG307" s="33"/>
      <c r="RH307" s="33"/>
      <c r="RI307" s="33"/>
      <c r="RJ307" s="33"/>
      <c r="RK307" s="33"/>
      <c r="RL307" s="33"/>
      <c r="RM307" s="33"/>
      <c r="RN307" s="33"/>
      <c r="RO307" s="33"/>
      <c r="RP307" s="33"/>
      <c r="RQ307" s="33"/>
      <c r="RR307" s="33"/>
      <c r="RS307" s="33"/>
      <c r="RT307" s="33"/>
      <c r="RU307" s="33"/>
      <c r="RV307" s="33"/>
      <c r="RW307" s="33"/>
      <c r="RX307" s="33"/>
      <c r="RY307" s="33"/>
      <c r="RZ307" s="33"/>
      <c r="SA307" s="33"/>
      <c r="SB307" s="33"/>
      <c r="SC307" s="33"/>
      <c r="SD307" s="33"/>
      <c r="SE307" s="33"/>
      <c r="SF307" s="33"/>
      <c r="SG307" s="33"/>
      <c r="SH307" s="33"/>
      <c r="SI307" s="33"/>
      <c r="SJ307" s="33"/>
      <c r="SK307" s="33"/>
      <c r="SL307" s="33"/>
      <c r="SM307" s="33"/>
      <c r="SN307" s="33"/>
      <c r="SO307" s="33"/>
      <c r="SP307" s="33"/>
      <c r="SQ307" s="33"/>
      <c r="SR307" s="33"/>
      <c r="SS307" s="33"/>
      <c r="ST307" s="33"/>
      <c r="SU307" s="33"/>
      <c r="SV307" s="33"/>
      <c r="SW307" s="33"/>
      <c r="SX307" s="33"/>
      <c r="SY307" s="33"/>
      <c r="SZ307" s="33"/>
      <c r="TA307" s="33"/>
      <c r="TB307" s="33"/>
      <c r="TC307" s="33"/>
      <c r="TD307" s="33"/>
      <c r="TE307" s="33"/>
      <c r="TF307" s="33"/>
      <c r="TG307" s="33"/>
    </row>
    <row r="308" spans="1:527" s="34" customFormat="1" ht="37.5" customHeight="1" x14ac:dyDescent="0.25">
      <c r="A308" s="123"/>
      <c r="B308" s="113"/>
      <c r="C308" s="101"/>
      <c r="D308" s="81" t="s">
        <v>404</v>
      </c>
      <c r="E308" s="102">
        <f>E19+E67+E69+E159+E66+E70+E127+E72+E73+E75+E160+E161</f>
        <v>30695366.240000002</v>
      </c>
      <c r="F308" s="102">
        <f t="shared" ref="F308:P308" si="182">F19+F67+F69+F159+F66+F70+F127+F72+F73+F75+F160+F161</f>
        <v>30695366.240000002</v>
      </c>
      <c r="G308" s="102">
        <f t="shared" si="182"/>
        <v>4133559</v>
      </c>
      <c r="H308" s="102">
        <f t="shared" si="182"/>
        <v>0</v>
      </c>
      <c r="I308" s="102">
        <f t="shared" si="182"/>
        <v>0</v>
      </c>
      <c r="J308" s="102">
        <f t="shared" si="182"/>
        <v>7933192.0500000007</v>
      </c>
      <c r="K308" s="102">
        <f t="shared" si="182"/>
        <v>7933192.0500000007</v>
      </c>
      <c r="L308" s="102">
        <f t="shared" si="182"/>
        <v>0</v>
      </c>
      <c r="M308" s="102">
        <f t="shared" si="182"/>
        <v>0</v>
      </c>
      <c r="N308" s="102">
        <f t="shared" si="182"/>
        <v>0</v>
      </c>
      <c r="O308" s="102">
        <f t="shared" si="182"/>
        <v>7933192.0500000007</v>
      </c>
      <c r="P308" s="102">
        <f t="shared" si="182"/>
        <v>38628558.290000007</v>
      </c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  <c r="SQ308" s="33"/>
      <c r="SR308" s="33"/>
      <c r="SS308" s="33"/>
      <c r="ST308" s="33"/>
      <c r="SU308" s="33"/>
      <c r="SV308" s="33"/>
      <c r="SW308" s="33"/>
      <c r="SX308" s="33"/>
      <c r="SY308" s="33"/>
      <c r="SZ308" s="33"/>
      <c r="TA308" s="33"/>
      <c r="TB308" s="33"/>
      <c r="TC308" s="33"/>
      <c r="TD308" s="33"/>
      <c r="TE308" s="33"/>
      <c r="TF308" s="33"/>
      <c r="TG308" s="33"/>
    </row>
    <row r="309" spans="1:527" s="34" customFormat="1" ht="26.25" customHeight="1" x14ac:dyDescent="0.25">
      <c r="A309" s="100"/>
      <c r="B309" s="113"/>
      <c r="C309" s="113"/>
      <c r="D309" s="87" t="s">
        <v>421</v>
      </c>
      <c r="E309" s="102">
        <f t="shared" ref="E309:P309" si="183">E129+E257+E221</f>
        <v>0</v>
      </c>
      <c r="F309" s="102">
        <f t="shared" si="183"/>
        <v>0</v>
      </c>
      <c r="G309" s="102">
        <f t="shared" si="183"/>
        <v>0</v>
      </c>
      <c r="H309" s="102">
        <f t="shared" si="183"/>
        <v>0</v>
      </c>
      <c r="I309" s="102">
        <f t="shared" si="183"/>
        <v>0</v>
      </c>
      <c r="J309" s="102">
        <f t="shared" si="183"/>
        <v>127771665.12</v>
      </c>
      <c r="K309" s="102">
        <f t="shared" si="183"/>
        <v>127771665.12</v>
      </c>
      <c r="L309" s="102">
        <f t="shared" si="183"/>
        <v>0</v>
      </c>
      <c r="M309" s="102">
        <f t="shared" si="183"/>
        <v>0</v>
      </c>
      <c r="N309" s="102">
        <f t="shared" si="183"/>
        <v>0</v>
      </c>
      <c r="O309" s="102">
        <f t="shared" si="183"/>
        <v>127771665.12</v>
      </c>
      <c r="P309" s="102">
        <f t="shared" si="183"/>
        <v>127771665.12</v>
      </c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33"/>
      <c r="CS309" s="33"/>
      <c r="CT309" s="33"/>
      <c r="CU309" s="33"/>
      <c r="CV309" s="33"/>
      <c r="CW309" s="33"/>
      <c r="CX309" s="33"/>
      <c r="CY309" s="33"/>
      <c r="CZ309" s="33"/>
      <c r="DA309" s="33"/>
      <c r="DB309" s="33"/>
      <c r="DC309" s="33"/>
      <c r="DD309" s="33"/>
      <c r="DE309" s="33"/>
      <c r="DF309" s="33"/>
      <c r="DG309" s="33"/>
      <c r="DH309" s="33"/>
      <c r="DI309" s="33"/>
      <c r="DJ309" s="33"/>
      <c r="DK309" s="33"/>
      <c r="DL309" s="33"/>
      <c r="DM309" s="33"/>
      <c r="DN309" s="33"/>
      <c r="DO309" s="33"/>
      <c r="DP309" s="33"/>
      <c r="DQ309" s="33"/>
      <c r="DR309" s="33"/>
      <c r="DS309" s="33"/>
      <c r="DT309" s="33"/>
      <c r="DU309" s="33"/>
      <c r="DV309" s="33"/>
      <c r="DW309" s="33"/>
      <c r="DX309" s="33"/>
      <c r="DY309" s="33"/>
      <c r="DZ309" s="33"/>
      <c r="EA309" s="33"/>
      <c r="EB309" s="33"/>
      <c r="EC309" s="33"/>
      <c r="ED309" s="33"/>
      <c r="EE309" s="33"/>
      <c r="EF309" s="33"/>
      <c r="EG309" s="33"/>
      <c r="EH309" s="33"/>
      <c r="EI309" s="33"/>
      <c r="EJ309" s="33"/>
      <c r="EK309" s="33"/>
      <c r="EL309" s="33"/>
      <c r="EM309" s="33"/>
      <c r="EN309" s="33"/>
      <c r="EO309" s="33"/>
      <c r="EP309" s="33"/>
      <c r="EQ309" s="33"/>
      <c r="ER309" s="33"/>
      <c r="ES309" s="33"/>
      <c r="ET309" s="33"/>
      <c r="EU309" s="33"/>
      <c r="EV309" s="33"/>
      <c r="EW309" s="33"/>
      <c r="EX309" s="33"/>
      <c r="EY309" s="33"/>
      <c r="EZ309" s="33"/>
      <c r="FA309" s="33"/>
      <c r="FB309" s="33"/>
      <c r="FC309" s="33"/>
      <c r="FD309" s="33"/>
      <c r="FE309" s="33"/>
      <c r="FF309" s="33"/>
      <c r="FG309" s="33"/>
      <c r="FH309" s="33"/>
      <c r="FI309" s="33"/>
      <c r="FJ309" s="33"/>
      <c r="FK309" s="33"/>
      <c r="FL309" s="33"/>
      <c r="FM309" s="33"/>
      <c r="FN309" s="33"/>
      <c r="FO309" s="33"/>
      <c r="FP309" s="33"/>
      <c r="FQ309" s="33"/>
      <c r="FR309" s="33"/>
      <c r="FS309" s="33"/>
      <c r="FT309" s="33"/>
      <c r="FU309" s="33"/>
      <c r="FV309" s="33"/>
      <c r="FW309" s="33"/>
      <c r="FX309" s="33"/>
      <c r="FY309" s="33"/>
      <c r="FZ309" s="33"/>
      <c r="GA309" s="33"/>
      <c r="GB309" s="33"/>
      <c r="GC309" s="33"/>
      <c r="GD309" s="33"/>
      <c r="GE309" s="33"/>
      <c r="GF309" s="33"/>
      <c r="GG309" s="33"/>
      <c r="GH309" s="33"/>
      <c r="GI309" s="33"/>
      <c r="GJ309" s="33"/>
      <c r="GK309" s="33"/>
      <c r="GL309" s="33"/>
      <c r="GM309" s="33"/>
      <c r="GN309" s="33"/>
      <c r="GO309" s="33"/>
      <c r="GP309" s="33"/>
      <c r="GQ309" s="33"/>
      <c r="GR309" s="33"/>
      <c r="GS309" s="33"/>
      <c r="GT309" s="33"/>
      <c r="GU309" s="33"/>
      <c r="GV309" s="33"/>
      <c r="GW309" s="33"/>
      <c r="GX309" s="33"/>
      <c r="GY309" s="33"/>
      <c r="GZ309" s="33"/>
      <c r="HA309" s="33"/>
      <c r="HB309" s="33"/>
      <c r="HC309" s="33"/>
      <c r="HD309" s="33"/>
      <c r="HE309" s="33"/>
      <c r="HF309" s="33"/>
      <c r="HG309" s="33"/>
      <c r="HH309" s="33"/>
      <c r="HI309" s="33"/>
      <c r="HJ309" s="33"/>
      <c r="HK309" s="33"/>
      <c r="HL309" s="33"/>
      <c r="HM309" s="33"/>
      <c r="HN309" s="33"/>
      <c r="HO309" s="33"/>
      <c r="HP309" s="33"/>
      <c r="HQ309" s="33"/>
      <c r="HR309" s="33"/>
      <c r="HS309" s="33"/>
      <c r="HT309" s="33"/>
      <c r="HU309" s="33"/>
      <c r="HV309" s="33"/>
      <c r="HW309" s="33"/>
      <c r="HX309" s="33"/>
      <c r="HY309" s="33"/>
      <c r="HZ309" s="33"/>
      <c r="IA309" s="33"/>
      <c r="IB309" s="33"/>
      <c r="IC309" s="33"/>
      <c r="ID309" s="33"/>
      <c r="IE309" s="33"/>
      <c r="IF309" s="33"/>
      <c r="IG309" s="33"/>
      <c r="IH309" s="33"/>
      <c r="II309" s="33"/>
      <c r="IJ309" s="33"/>
      <c r="IK309" s="33"/>
      <c r="IL309" s="33"/>
      <c r="IM309" s="33"/>
      <c r="IN309" s="33"/>
      <c r="IO309" s="33"/>
      <c r="IP309" s="33"/>
      <c r="IQ309" s="33"/>
      <c r="IR309" s="33"/>
      <c r="IS309" s="33"/>
      <c r="IT309" s="33"/>
      <c r="IU309" s="33"/>
      <c r="IV309" s="33"/>
      <c r="IW309" s="33"/>
      <c r="IX309" s="33"/>
      <c r="IY309" s="33"/>
      <c r="IZ309" s="33"/>
      <c r="JA309" s="33"/>
      <c r="JB309" s="33"/>
      <c r="JC309" s="33"/>
      <c r="JD309" s="33"/>
      <c r="JE309" s="33"/>
      <c r="JF309" s="33"/>
      <c r="JG309" s="33"/>
      <c r="JH309" s="33"/>
      <c r="JI309" s="33"/>
      <c r="JJ309" s="33"/>
      <c r="JK309" s="33"/>
      <c r="JL309" s="33"/>
      <c r="JM309" s="33"/>
      <c r="JN309" s="33"/>
      <c r="JO309" s="33"/>
      <c r="JP309" s="33"/>
      <c r="JQ309" s="33"/>
      <c r="JR309" s="33"/>
      <c r="JS309" s="33"/>
      <c r="JT309" s="33"/>
      <c r="JU309" s="33"/>
      <c r="JV309" s="33"/>
      <c r="JW309" s="33"/>
      <c r="JX309" s="33"/>
      <c r="JY309" s="33"/>
      <c r="JZ309" s="33"/>
      <c r="KA309" s="33"/>
      <c r="KB309" s="33"/>
      <c r="KC309" s="33"/>
      <c r="KD309" s="33"/>
      <c r="KE309" s="33"/>
      <c r="KF309" s="33"/>
      <c r="KG309" s="33"/>
      <c r="KH309" s="33"/>
      <c r="KI309" s="33"/>
      <c r="KJ309" s="33"/>
      <c r="KK309" s="33"/>
      <c r="KL309" s="33"/>
      <c r="KM309" s="33"/>
      <c r="KN309" s="33"/>
      <c r="KO309" s="33"/>
      <c r="KP309" s="33"/>
      <c r="KQ309" s="33"/>
      <c r="KR309" s="33"/>
      <c r="KS309" s="33"/>
      <c r="KT309" s="33"/>
      <c r="KU309" s="33"/>
      <c r="KV309" s="33"/>
      <c r="KW309" s="33"/>
      <c r="KX309" s="33"/>
      <c r="KY309" s="33"/>
      <c r="KZ309" s="33"/>
      <c r="LA309" s="33"/>
      <c r="LB309" s="33"/>
      <c r="LC309" s="33"/>
      <c r="LD309" s="33"/>
      <c r="LE309" s="33"/>
      <c r="LF309" s="33"/>
      <c r="LG309" s="33"/>
      <c r="LH309" s="33"/>
      <c r="LI309" s="33"/>
      <c r="LJ309" s="33"/>
      <c r="LK309" s="33"/>
      <c r="LL309" s="33"/>
      <c r="LM309" s="33"/>
      <c r="LN309" s="33"/>
      <c r="LO309" s="33"/>
      <c r="LP309" s="33"/>
      <c r="LQ309" s="33"/>
      <c r="LR309" s="33"/>
      <c r="LS309" s="33"/>
      <c r="LT309" s="33"/>
      <c r="LU309" s="33"/>
      <c r="LV309" s="33"/>
      <c r="LW309" s="33"/>
      <c r="LX309" s="33"/>
      <c r="LY309" s="33"/>
      <c r="LZ309" s="33"/>
      <c r="MA309" s="33"/>
      <c r="MB309" s="33"/>
      <c r="MC309" s="33"/>
      <c r="MD309" s="33"/>
      <c r="ME309" s="33"/>
      <c r="MF309" s="33"/>
      <c r="MG309" s="33"/>
      <c r="MH309" s="33"/>
      <c r="MI309" s="33"/>
      <c r="MJ309" s="33"/>
      <c r="MK309" s="33"/>
      <c r="ML309" s="33"/>
      <c r="MM309" s="33"/>
      <c r="MN309" s="33"/>
      <c r="MO309" s="33"/>
      <c r="MP309" s="33"/>
      <c r="MQ309" s="33"/>
      <c r="MR309" s="33"/>
      <c r="MS309" s="33"/>
      <c r="MT309" s="33"/>
      <c r="MU309" s="33"/>
      <c r="MV309" s="33"/>
      <c r="MW309" s="33"/>
      <c r="MX309" s="33"/>
      <c r="MY309" s="33"/>
      <c r="MZ309" s="33"/>
      <c r="NA309" s="33"/>
      <c r="NB309" s="33"/>
      <c r="NC309" s="33"/>
      <c r="ND309" s="33"/>
      <c r="NE309" s="33"/>
      <c r="NF309" s="33"/>
      <c r="NG309" s="33"/>
      <c r="NH309" s="33"/>
      <c r="NI309" s="33"/>
      <c r="NJ309" s="33"/>
      <c r="NK309" s="33"/>
      <c r="NL309" s="33"/>
      <c r="NM309" s="33"/>
      <c r="NN309" s="33"/>
      <c r="NO309" s="33"/>
      <c r="NP309" s="33"/>
      <c r="NQ309" s="33"/>
      <c r="NR309" s="33"/>
      <c r="NS309" s="33"/>
      <c r="NT309" s="33"/>
      <c r="NU309" s="33"/>
      <c r="NV309" s="33"/>
      <c r="NW309" s="33"/>
      <c r="NX309" s="33"/>
      <c r="NY309" s="33"/>
      <c r="NZ309" s="33"/>
      <c r="OA309" s="33"/>
      <c r="OB309" s="33"/>
      <c r="OC309" s="33"/>
      <c r="OD309" s="33"/>
      <c r="OE309" s="33"/>
      <c r="OF309" s="33"/>
      <c r="OG309" s="33"/>
      <c r="OH309" s="33"/>
      <c r="OI309" s="33"/>
      <c r="OJ309" s="33"/>
      <c r="OK309" s="33"/>
      <c r="OL309" s="33"/>
      <c r="OM309" s="33"/>
      <c r="ON309" s="33"/>
      <c r="OO309" s="33"/>
      <c r="OP309" s="33"/>
      <c r="OQ309" s="33"/>
      <c r="OR309" s="33"/>
      <c r="OS309" s="33"/>
      <c r="OT309" s="33"/>
      <c r="OU309" s="33"/>
      <c r="OV309" s="33"/>
      <c r="OW309" s="33"/>
      <c r="OX309" s="33"/>
      <c r="OY309" s="33"/>
      <c r="OZ309" s="33"/>
      <c r="PA309" s="33"/>
      <c r="PB309" s="33"/>
      <c r="PC309" s="33"/>
      <c r="PD309" s="33"/>
      <c r="PE309" s="33"/>
      <c r="PF309" s="33"/>
      <c r="PG309" s="33"/>
      <c r="PH309" s="33"/>
      <c r="PI309" s="33"/>
      <c r="PJ309" s="33"/>
      <c r="PK309" s="33"/>
      <c r="PL309" s="33"/>
      <c r="PM309" s="33"/>
      <c r="PN309" s="33"/>
      <c r="PO309" s="33"/>
      <c r="PP309" s="33"/>
      <c r="PQ309" s="33"/>
      <c r="PR309" s="33"/>
      <c r="PS309" s="33"/>
      <c r="PT309" s="33"/>
      <c r="PU309" s="33"/>
      <c r="PV309" s="33"/>
      <c r="PW309" s="33"/>
      <c r="PX309" s="33"/>
      <c r="PY309" s="33"/>
      <c r="PZ309" s="33"/>
      <c r="QA309" s="33"/>
      <c r="QB309" s="33"/>
      <c r="QC309" s="33"/>
      <c r="QD309" s="33"/>
      <c r="QE309" s="33"/>
      <c r="QF309" s="33"/>
      <c r="QG309" s="33"/>
      <c r="QH309" s="33"/>
      <c r="QI309" s="33"/>
      <c r="QJ309" s="33"/>
      <c r="QK309" s="33"/>
      <c r="QL309" s="33"/>
      <c r="QM309" s="33"/>
      <c r="QN309" s="33"/>
      <c r="QO309" s="33"/>
      <c r="QP309" s="33"/>
      <c r="QQ309" s="33"/>
      <c r="QR309" s="33"/>
      <c r="QS309" s="33"/>
      <c r="QT309" s="33"/>
      <c r="QU309" s="33"/>
      <c r="QV309" s="33"/>
      <c r="QW309" s="33"/>
      <c r="QX309" s="33"/>
      <c r="QY309" s="33"/>
      <c r="QZ309" s="33"/>
      <c r="RA309" s="33"/>
      <c r="RB309" s="33"/>
      <c r="RC309" s="33"/>
      <c r="RD309" s="33"/>
      <c r="RE309" s="33"/>
      <c r="RF309" s="33"/>
      <c r="RG309" s="33"/>
      <c r="RH309" s="33"/>
      <c r="RI309" s="33"/>
      <c r="RJ309" s="33"/>
      <c r="RK309" s="33"/>
      <c r="RL309" s="33"/>
      <c r="RM309" s="33"/>
      <c r="RN309" s="33"/>
      <c r="RO309" s="33"/>
      <c r="RP309" s="33"/>
      <c r="RQ309" s="33"/>
      <c r="RR309" s="33"/>
      <c r="RS309" s="33"/>
      <c r="RT309" s="33"/>
      <c r="RU309" s="33"/>
      <c r="RV309" s="33"/>
      <c r="RW309" s="33"/>
      <c r="RX309" s="33"/>
      <c r="RY309" s="33"/>
      <c r="RZ309" s="33"/>
      <c r="SA309" s="33"/>
      <c r="SB309" s="33"/>
      <c r="SC309" s="33"/>
      <c r="SD309" s="33"/>
      <c r="SE309" s="33"/>
      <c r="SF309" s="33"/>
      <c r="SG309" s="33"/>
      <c r="SH309" s="33"/>
      <c r="SI309" s="33"/>
      <c r="SJ309" s="33"/>
      <c r="SK309" s="33"/>
      <c r="SL309" s="33"/>
      <c r="SM309" s="33"/>
      <c r="SN309" s="33"/>
      <c r="SO309" s="33"/>
      <c r="SP309" s="33"/>
      <c r="SQ309" s="33"/>
      <c r="SR309" s="33"/>
      <c r="SS309" s="33"/>
      <c r="ST309" s="33"/>
      <c r="SU309" s="33"/>
      <c r="SV309" s="33"/>
      <c r="SW309" s="33"/>
      <c r="SX309" s="33"/>
      <c r="SY309" s="33"/>
      <c r="SZ309" s="33"/>
      <c r="TA309" s="33"/>
      <c r="TB309" s="33"/>
      <c r="TC309" s="33"/>
      <c r="TD309" s="33"/>
      <c r="TE309" s="33"/>
      <c r="TF309" s="33"/>
      <c r="TG309" s="33"/>
    </row>
    <row r="310" spans="1:527" s="27" customFormat="1" ht="39" customHeight="1" x14ac:dyDescent="0.2">
      <c r="A310" s="70"/>
      <c r="B310" s="71"/>
      <c r="C310" s="72"/>
      <c r="D310" s="73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  <c r="IP310" s="32"/>
      <c r="IQ310" s="32"/>
      <c r="IR310" s="32"/>
      <c r="IS310" s="32"/>
      <c r="IT310" s="32"/>
      <c r="IU310" s="32"/>
      <c r="IV310" s="32"/>
      <c r="IW310" s="32"/>
      <c r="IX310" s="32"/>
      <c r="IY310" s="32"/>
      <c r="IZ310" s="32"/>
      <c r="JA310" s="32"/>
      <c r="JB310" s="32"/>
      <c r="JC310" s="32"/>
      <c r="JD310" s="32"/>
      <c r="JE310" s="32"/>
      <c r="JF310" s="32"/>
      <c r="JG310" s="32"/>
      <c r="JH310" s="32"/>
      <c r="JI310" s="32"/>
      <c r="JJ310" s="32"/>
      <c r="JK310" s="32"/>
      <c r="JL310" s="32"/>
      <c r="JM310" s="32"/>
      <c r="JN310" s="32"/>
      <c r="JO310" s="32"/>
      <c r="JP310" s="32"/>
      <c r="JQ310" s="32"/>
      <c r="JR310" s="32"/>
      <c r="JS310" s="32"/>
      <c r="JT310" s="32"/>
      <c r="JU310" s="32"/>
      <c r="JV310" s="32"/>
      <c r="JW310" s="32"/>
      <c r="JX310" s="32"/>
      <c r="JY310" s="32"/>
      <c r="JZ310" s="32"/>
      <c r="KA310" s="32"/>
      <c r="KB310" s="32"/>
      <c r="KC310" s="32"/>
      <c r="KD310" s="32"/>
      <c r="KE310" s="32"/>
      <c r="KF310" s="32"/>
      <c r="KG310" s="32"/>
      <c r="KH310" s="32"/>
      <c r="KI310" s="32"/>
      <c r="KJ310" s="32"/>
      <c r="KK310" s="32"/>
      <c r="KL310" s="32"/>
      <c r="KM310" s="32"/>
      <c r="KN310" s="32"/>
      <c r="KO310" s="32"/>
      <c r="KP310" s="32"/>
      <c r="KQ310" s="32"/>
      <c r="KR310" s="32"/>
      <c r="KS310" s="32"/>
      <c r="KT310" s="32"/>
      <c r="KU310" s="32"/>
      <c r="KV310" s="32"/>
      <c r="KW310" s="32"/>
      <c r="KX310" s="32"/>
      <c r="KY310" s="32"/>
      <c r="KZ310" s="32"/>
      <c r="LA310" s="32"/>
      <c r="LB310" s="32"/>
      <c r="LC310" s="32"/>
      <c r="LD310" s="32"/>
      <c r="LE310" s="32"/>
      <c r="LF310" s="32"/>
      <c r="LG310" s="32"/>
      <c r="LH310" s="32"/>
      <c r="LI310" s="32"/>
      <c r="LJ310" s="32"/>
      <c r="LK310" s="32"/>
      <c r="LL310" s="32"/>
      <c r="LM310" s="32"/>
      <c r="LN310" s="32"/>
      <c r="LO310" s="32"/>
      <c r="LP310" s="32"/>
      <c r="LQ310" s="32"/>
      <c r="LR310" s="32"/>
      <c r="LS310" s="32"/>
      <c r="LT310" s="32"/>
      <c r="LU310" s="32"/>
      <c r="LV310" s="32"/>
      <c r="LW310" s="32"/>
      <c r="LX310" s="32"/>
      <c r="LY310" s="32"/>
      <c r="LZ310" s="32"/>
      <c r="MA310" s="32"/>
      <c r="MB310" s="32"/>
      <c r="MC310" s="32"/>
      <c r="MD310" s="32"/>
      <c r="ME310" s="32"/>
      <c r="MF310" s="32"/>
      <c r="MG310" s="32"/>
      <c r="MH310" s="32"/>
      <c r="MI310" s="32"/>
      <c r="MJ310" s="32"/>
      <c r="MK310" s="32"/>
      <c r="ML310" s="32"/>
      <c r="MM310" s="32"/>
      <c r="MN310" s="32"/>
      <c r="MO310" s="32"/>
      <c r="MP310" s="32"/>
      <c r="MQ310" s="32"/>
      <c r="MR310" s="32"/>
      <c r="MS310" s="32"/>
      <c r="MT310" s="32"/>
      <c r="MU310" s="32"/>
      <c r="MV310" s="32"/>
      <c r="MW310" s="32"/>
      <c r="MX310" s="32"/>
      <c r="MY310" s="32"/>
      <c r="MZ310" s="32"/>
      <c r="NA310" s="32"/>
      <c r="NB310" s="32"/>
      <c r="NC310" s="32"/>
      <c r="ND310" s="32"/>
      <c r="NE310" s="32"/>
      <c r="NF310" s="32"/>
      <c r="NG310" s="32"/>
      <c r="NH310" s="32"/>
      <c r="NI310" s="32"/>
      <c r="NJ310" s="32"/>
      <c r="NK310" s="32"/>
      <c r="NL310" s="32"/>
      <c r="NM310" s="32"/>
      <c r="NN310" s="32"/>
      <c r="NO310" s="32"/>
      <c r="NP310" s="32"/>
      <c r="NQ310" s="32"/>
      <c r="NR310" s="32"/>
      <c r="NS310" s="32"/>
      <c r="NT310" s="32"/>
      <c r="NU310" s="32"/>
      <c r="NV310" s="32"/>
      <c r="NW310" s="32"/>
      <c r="NX310" s="32"/>
      <c r="NY310" s="32"/>
      <c r="NZ310" s="32"/>
      <c r="OA310" s="32"/>
      <c r="OB310" s="32"/>
      <c r="OC310" s="32"/>
      <c r="OD310" s="32"/>
      <c r="OE310" s="32"/>
      <c r="OF310" s="32"/>
      <c r="OG310" s="32"/>
      <c r="OH310" s="32"/>
      <c r="OI310" s="32"/>
      <c r="OJ310" s="32"/>
      <c r="OK310" s="32"/>
      <c r="OL310" s="32"/>
      <c r="OM310" s="32"/>
      <c r="ON310" s="32"/>
      <c r="OO310" s="32"/>
      <c r="OP310" s="32"/>
      <c r="OQ310" s="32"/>
      <c r="OR310" s="32"/>
      <c r="OS310" s="32"/>
      <c r="OT310" s="32"/>
      <c r="OU310" s="32"/>
      <c r="OV310" s="32"/>
      <c r="OW310" s="32"/>
      <c r="OX310" s="32"/>
      <c r="OY310" s="32"/>
      <c r="OZ310" s="32"/>
      <c r="PA310" s="32"/>
      <c r="PB310" s="32"/>
      <c r="PC310" s="32"/>
      <c r="PD310" s="32"/>
      <c r="PE310" s="32"/>
      <c r="PF310" s="32"/>
      <c r="PG310" s="32"/>
      <c r="PH310" s="32"/>
      <c r="PI310" s="32"/>
      <c r="PJ310" s="32"/>
      <c r="PK310" s="32"/>
      <c r="PL310" s="32"/>
      <c r="PM310" s="32"/>
      <c r="PN310" s="32"/>
      <c r="PO310" s="32"/>
      <c r="PP310" s="32"/>
      <c r="PQ310" s="32"/>
      <c r="PR310" s="32"/>
      <c r="PS310" s="32"/>
      <c r="PT310" s="32"/>
      <c r="PU310" s="32"/>
      <c r="PV310" s="32"/>
      <c r="PW310" s="32"/>
      <c r="PX310" s="32"/>
      <c r="PY310" s="32"/>
      <c r="PZ310" s="32"/>
      <c r="QA310" s="32"/>
      <c r="QB310" s="32"/>
      <c r="QC310" s="32"/>
      <c r="QD310" s="32"/>
      <c r="QE310" s="32"/>
      <c r="QF310" s="32"/>
      <c r="QG310" s="32"/>
      <c r="QH310" s="32"/>
      <c r="QI310" s="32"/>
      <c r="QJ310" s="32"/>
      <c r="QK310" s="32"/>
      <c r="QL310" s="32"/>
      <c r="QM310" s="32"/>
      <c r="QN310" s="32"/>
      <c r="QO310" s="32"/>
      <c r="QP310" s="32"/>
      <c r="QQ310" s="32"/>
      <c r="QR310" s="32"/>
      <c r="QS310" s="32"/>
      <c r="QT310" s="32"/>
      <c r="QU310" s="32"/>
      <c r="QV310" s="32"/>
      <c r="QW310" s="32"/>
      <c r="QX310" s="32"/>
      <c r="QY310" s="32"/>
      <c r="QZ310" s="32"/>
      <c r="RA310" s="32"/>
      <c r="RB310" s="32"/>
      <c r="RC310" s="32"/>
      <c r="RD310" s="32"/>
      <c r="RE310" s="32"/>
      <c r="RF310" s="32"/>
      <c r="RG310" s="32"/>
      <c r="RH310" s="32"/>
      <c r="RI310" s="32"/>
      <c r="RJ310" s="32"/>
      <c r="RK310" s="32"/>
      <c r="RL310" s="32"/>
      <c r="RM310" s="32"/>
      <c r="RN310" s="32"/>
      <c r="RO310" s="32"/>
      <c r="RP310" s="32"/>
      <c r="RQ310" s="32"/>
      <c r="RR310" s="32"/>
      <c r="RS310" s="32"/>
      <c r="RT310" s="32"/>
      <c r="RU310" s="32"/>
      <c r="RV310" s="32"/>
      <c r="RW310" s="32"/>
      <c r="RX310" s="32"/>
      <c r="RY310" s="32"/>
      <c r="RZ310" s="32"/>
      <c r="SA310" s="32"/>
      <c r="SB310" s="32"/>
      <c r="SC310" s="32"/>
      <c r="SD310" s="32"/>
      <c r="SE310" s="32"/>
      <c r="SF310" s="32"/>
      <c r="SG310" s="32"/>
      <c r="SH310" s="32"/>
      <c r="SI310" s="32"/>
      <c r="SJ310" s="32"/>
      <c r="SK310" s="32"/>
      <c r="SL310" s="32"/>
      <c r="SM310" s="32"/>
      <c r="SN310" s="32"/>
      <c r="SO310" s="32"/>
      <c r="SP310" s="32"/>
      <c r="SQ310" s="32"/>
      <c r="SR310" s="32"/>
      <c r="SS310" s="32"/>
      <c r="ST310" s="32"/>
      <c r="SU310" s="32"/>
      <c r="SV310" s="32"/>
      <c r="SW310" s="32"/>
      <c r="SX310" s="32"/>
      <c r="SY310" s="32"/>
      <c r="SZ310" s="32"/>
      <c r="TA310" s="32"/>
      <c r="TB310" s="32"/>
      <c r="TC310" s="32"/>
      <c r="TD310" s="32"/>
      <c r="TE310" s="32"/>
      <c r="TF310" s="32"/>
      <c r="TG310" s="32"/>
    </row>
    <row r="311" spans="1:527" s="27" customFormat="1" ht="39" customHeight="1" x14ac:dyDescent="0.25">
      <c r="A311" s="70"/>
      <c r="B311" s="71"/>
      <c r="C311" s="72"/>
      <c r="D311" s="73"/>
      <c r="E311" s="157">
        <f>E307-'дод 8'!D243</f>
        <v>0</v>
      </c>
      <c r="F311" s="157">
        <f>F307-'дод 8'!E243</f>
        <v>0</v>
      </c>
      <c r="G311" s="157">
        <f>G307-'дод 8'!F243</f>
        <v>0</v>
      </c>
      <c r="H311" s="157">
        <f>H307-'дод 8'!G243</f>
        <v>0</v>
      </c>
      <c r="I311" s="157">
        <f>I307-'дод 8'!H243</f>
        <v>0</v>
      </c>
      <c r="J311" s="157">
        <f>J307-'дод 8'!I243</f>
        <v>0</v>
      </c>
      <c r="K311" s="157">
        <f>K307-'дод 8'!J243</f>
        <v>0</v>
      </c>
      <c r="L311" s="157">
        <f>L307-'дод 8'!K243</f>
        <v>0</v>
      </c>
      <c r="M311" s="157">
        <f>M307-'дод 8'!L243</f>
        <v>0</v>
      </c>
      <c r="N311" s="157">
        <f>N307-'дод 8'!M243</f>
        <v>0</v>
      </c>
      <c r="O311" s="157">
        <f>O307-'дод 8'!N243</f>
        <v>0</v>
      </c>
      <c r="P311" s="157">
        <f>P307-'дод 8'!O243</f>
        <v>0</v>
      </c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  <c r="IP311" s="32"/>
      <c r="IQ311" s="32"/>
      <c r="IR311" s="32"/>
      <c r="IS311" s="32"/>
      <c r="IT311" s="32"/>
      <c r="IU311" s="32"/>
      <c r="IV311" s="32"/>
      <c r="IW311" s="32"/>
      <c r="IX311" s="32"/>
      <c r="IY311" s="32"/>
      <c r="IZ311" s="32"/>
      <c r="JA311" s="32"/>
      <c r="JB311" s="32"/>
      <c r="JC311" s="32"/>
      <c r="JD311" s="32"/>
      <c r="JE311" s="32"/>
      <c r="JF311" s="32"/>
      <c r="JG311" s="32"/>
      <c r="JH311" s="32"/>
      <c r="JI311" s="32"/>
      <c r="JJ311" s="32"/>
      <c r="JK311" s="32"/>
      <c r="JL311" s="32"/>
      <c r="JM311" s="32"/>
      <c r="JN311" s="32"/>
      <c r="JO311" s="32"/>
      <c r="JP311" s="32"/>
      <c r="JQ311" s="32"/>
      <c r="JR311" s="32"/>
      <c r="JS311" s="32"/>
      <c r="JT311" s="32"/>
      <c r="JU311" s="32"/>
      <c r="JV311" s="32"/>
      <c r="JW311" s="32"/>
      <c r="JX311" s="32"/>
      <c r="JY311" s="32"/>
      <c r="JZ311" s="32"/>
      <c r="KA311" s="32"/>
      <c r="KB311" s="32"/>
      <c r="KC311" s="32"/>
      <c r="KD311" s="32"/>
      <c r="KE311" s="32"/>
      <c r="KF311" s="32"/>
      <c r="KG311" s="32"/>
      <c r="KH311" s="32"/>
      <c r="KI311" s="32"/>
      <c r="KJ311" s="32"/>
      <c r="KK311" s="32"/>
      <c r="KL311" s="32"/>
      <c r="KM311" s="32"/>
      <c r="KN311" s="32"/>
      <c r="KO311" s="32"/>
      <c r="KP311" s="32"/>
      <c r="KQ311" s="32"/>
      <c r="KR311" s="32"/>
      <c r="KS311" s="32"/>
      <c r="KT311" s="32"/>
      <c r="KU311" s="32"/>
      <c r="KV311" s="32"/>
      <c r="KW311" s="32"/>
      <c r="KX311" s="32"/>
      <c r="KY311" s="32"/>
      <c r="KZ311" s="32"/>
      <c r="LA311" s="32"/>
      <c r="LB311" s="32"/>
      <c r="LC311" s="32"/>
      <c r="LD311" s="32"/>
      <c r="LE311" s="32"/>
      <c r="LF311" s="32"/>
      <c r="LG311" s="32"/>
      <c r="LH311" s="32"/>
      <c r="LI311" s="32"/>
      <c r="LJ311" s="32"/>
      <c r="LK311" s="32"/>
      <c r="LL311" s="32"/>
      <c r="LM311" s="32"/>
      <c r="LN311" s="32"/>
      <c r="LO311" s="32"/>
      <c r="LP311" s="32"/>
      <c r="LQ311" s="32"/>
      <c r="LR311" s="32"/>
      <c r="LS311" s="32"/>
      <c r="LT311" s="32"/>
      <c r="LU311" s="32"/>
      <c r="LV311" s="32"/>
      <c r="LW311" s="32"/>
      <c r="LX311" s="32"/>
      <c r="LY311" s="32"/>
      <c r="LZ311" s="32"/>
      <c r="MA311" s="32"/>
      <c r="MB311" s="32"/>
      <c r="MC311" s="32"/>
      <c r="MD311" s="32"/>
      <c r="ME311" s="32"/>
      <c r="MF311" s="32"/>
      <c r="MG311" s="32"/>
      <c r="MH311" s="32"/>
      <c r="MI311" s="32"/>
      <c r="MJ311" s="32"/>
      <c r="MK311" s="32"/>
      <c r="ML311" s="32"/>
      <c r="MM311" s="32"/>
      <c r="MN311" s="32"/>
      <c r="MO311" s="32"/>
      <c r="MP311" s="32"/>
      <c r="MQ311" s="32"/>
      <c r="MR311" s="32"/>
      <c r="MS311" s="32"/>
      <c r="MT311" s="32"/>
      <c r="MU311" s="32"/>
      <c r="MV311" s="32"/>
      <c r="MW311" s="32"/>
      <c r="MX311" s="32"/>
      <c r="MY311" s="32"/>
      <c r="MZ311" s="32"/>
      <c r="NA311" s="32"/>
      <c r="NB311" s="32"/>
      <c r="NC311" s="32"/>
      <c r="ND311" s="32"/>
      <c r="NE311" s="32"/>
      <c r="NF311" s="32"/>
      <c r="NG311" s="32"/>
      <c r="NH311" s="32"/>
      <c r="NI311" s="32"/>
      <c r="NJ311" s="32"/>
      <c r="NK311" s="32"/>
      <c r="NL311" s="32"/>
      <c r="NM311" s="32"/>
      <c r="NN311" s="32"/>
      <c r="NO311" s="32"/>
      <c r="NP311" s="32"/>
      <c r="NQ311" s="32"/>
      <c r="NR311" s="32"/>
      <c r="NS311" s="32"/>
      <c r="NT311" s="32"/>
      <c r="NU311" s="32"/>
      <c r="NV311" s="32"/>
      <c r="NW311" s="32"/>
      <c r="NX311" s="32"/>
      <c r="NY311" s="32"/>
      <c r="NZ311" s="32"/>
      <c r="OA311" s="32"/>
      <c r="OB311" s="32"/>
      <c r="OC311" s="32"/>
      <c r="OD311" s="32"/>
      <c r="OE311" s="32"/>
      <c r="OF311" s="32"/>
      <c r="OG311" s="32"/>
      <c r="OH311" s="32"/>
      <c r="OI311" s="32"/>
      <c r="OJ311" s="32"/>
      <c r="OK311" s="32"/>
      <c r="OL311" s="32"/>
      <c r="OM311" s="32"/>
      <c r="ON311" s="32"/>
      <c r="OO311" s="32"/>
      <c r="OP311" s="32"/>
      <c r="OQ311" s="32"/>
      <c r="OR311" s="32"/>
      <c r="OS311" s="32"/>
      <c r="OT311" s="32"/>
      <c r="OU311" s="32"/>
      <c r="OV311" s="32"/>
      <c r="OW311" s="32"/>
      <c r="OX311" s="32"/>
      <c r="OY311" s="32"/>
      <c r="OZ311" s="32"/>
      <c r="PA311" s="32"/>
      <c r="PB311" s="32"/>
      <c r="PC311" s="32"/>
      <c r="PD311" s="32"/>
      <c r="PE311" s="32"/>
      <c r="PF311" s="32"/>
      <c r="PG311" s="32"/>
      <c r="PH311" s="32"/>
      <c r="PI311" s="32"/>
      <c r="PJ311" s="32"/>
      <c r="PK311" s="32"/>
      <c r="PL311" s="32"/>
      <c r="PM311" s="32"/>
      <c r="PN311" s="32"/>
      <c r="PO311" s="32"/>
      <c r="PP311" s="32"/>
      <c r="PQ311" s="32"/>
      <c r="PR311" s="32"/>
      <c r="PS311" s="32"/>
      <c r="PT311" s="32"/>
      <c r="PU311" s="32"/>
      <c r="PV311" s="32"/>
      <c r="PW311" s="32"/>
      <c r="PX311" s="32"/>
      <c r="PY311" s="32"/>
      <c r="PZ311" s="32"/>
      <c r="QA311" s="32"/>
      <c r="QB311" s="32"/>
      <c r="QC311" s="32"/>
      <c r="QD311" s="32"/>
      <c r="QE311" s="32"/>
      <c r="QF311" s="32"/>
      <c r="QG311" s="32"/>
      <c r="QH311" s="32"/>
      <c r="QI311" s="32"/>
      <c r="QJ311" s="32"/>
      <c r="QK311" s="32"/>
      <c r="QL311" s="32"/>
      <c r="QM311" s="32"/>
      <c r="QN311" s="32"/>
      <c r="QO311" s="32"/>
      <c r="QP311" s="32"/>
      <c r="QQ311" s="32"/>
      <c r="QR311" s="32"/>
      <c r="QS311" s="32"/>
      <c r="QT311" s="32"/>
      <c r="QU311" s="32"/>
      <c r="QV311" s="32"/>
      <c r="QW311" s="32"/>
      <c r="QX311" s="32"/>
      <c r="QY311" s="32"/>
      <c r="QZ311" s="32"/>
      <c r="RA311" s="32"/>
      <c r="RB311" s="32"/>
      <c r="RC311" s="32"/>
      <c r="RD311" s="32"/>
      <c r="RE311" s="32"/>
      <c r="RF311" s="32"/>
      <c r="RG311" s="32"/>
      <c r="RH311" s="32"/>
      <c r="RI311" s="32"/>
      <c r="RJ311" s="32"/>
      <c r="RK311" s="32"/>
      <c r="RL311" s="32"/>
      <c r="RM311" s="32"/>
      <c r="RN311" s="32"/>
      <c r="RO311" s="32"/>
      <c r="RP311" s="32"/>
      <c r="RQ311" s="32"/>
      <c r="RR311" s="32"/>
      <c r="RS311" s="32"/>
      <c r="RT311" s="32"/>
      <c r="RU311" s="32"/>
      <c r="RV311" s="32"/>
      <c r="RW311" s="32"/>
      <c r="RX311" s="32"/>
      <c r="RY311" s="32"/>
      <c r="RZ311" s="32"/>
      <c r="SA311" s="32"/>
      <c r="SB311" s="32"/>
      <c r="SC311" s="32"/>
      <c r="SD311" s="32"/>
      <c r="SE311" s="32"/>
      <c r="SF311" s="32"/>
      <c r="SG311" s="32"/>
      <c r="SH311" s="32"/>
      <c r="SI311" s="32"/>
      <c r="SJ311" s="32"/>
      <c r="SK311" s="32"/>
      <c r="SL311" s="32"/>
      <c r="SM311" s="32"/>
      <c r="SN311" s="32"/>
      <c r="SO311" s="32"/>
      <c r="SP311" s="32"/>
      <c r="SQ311" s="32"/>
      <c r="SR311" s="32"/>
      <c r="SS311" s="32"/>
      <c r="ST311" s="32"/>
      <c r="SU311" s="32"/>
      <c r="SV311" s="32"/>
      <c r="SW311" s="32"/>
      <c r="SX311" s="32"/>
      <c r="SY311" s="32"/>
      <c r="SZ311" s="32"/>
      <c r="TA311" s="32"/>
      <c r="TB311" s="32"/>
      <c r="TC311" s="32"/>
      <c r="TD311" s="32"/>
      <c r="TE311" s="32"/>
      <c r="TF311" s="32"/>
      <c r="TG311" s="32"/>
    </row>
    <row r="312" spans="1:527" s="27" customFormat="1" ht="43.5" customHeight="1" x14ac:dyDescent="0.25">
      <c r="A312" s="70"/>
      <c r="B312" s="71"/>
      <c r="C312" s="72"/>
      <c r="D312" s="73"/>
      <c r="E312" s="157">
        <f>E308-'дод 8'!D244</f>
        <v>0</v>
      </c>
      <c r="F312" s="157">
        <f>F308-'дод 8'!E244</f>
        <v>0</v>
      </c>
      <c r="G312" s="157">
        <f>G308-'дод 8'!F244</f>
        <v>0</v>
      </c>
      <c r="H312" s="157">
        <f>H308-'дод 8'!G244</f>
        <v>0</v>
      </c>
      <c r="I312" s="157">
        <f>I308-'дод 8'!H244</f>
        <v>0</v>
      </c>
      <c r="J312" s="157">
        <f>J308-'дод 8'!I244</f>
        <v>0</v>
      </c>
      <c r="K312" s="157">
        <f>K308-'дод 8'!J244</f>
        <v>0</v>
      </c>
      <c r="L312" s="157">
        <f>L308-'дод 8'!K244</f>
        <v>0</v>
      </c>
      <c r="M312" s="157">
        <f>M308-'дод 8'!L244</f>
        <v>0</v>
      </c>
      <c r="N312" s="157">
        <f>N308-'дод 8'!M244</f>
        <v>0</v>
      </c>
      <c r="O312" s="157">
        <f>O308-'дод 8'!N244</f>
        <v>0</v>
      </c>
      <c r="P312" s="157">
        <f>P308-'дод 8'!O244</f>
        <v>0</v>
      </c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  <c r="IP312" s="32"/>
      <c r="IQ312" s="32"/>
      <c r="IR312" s="32"/>
      <c r="IS312" s="32"/>
      <c r="IT312" s="32"/>
      <c r="IU312" s="32"/>
      <c r="IV312" s="32"/>
      <c r="IW312" s="32"/>
      <c r="IX312" s="32"/>
      <c r="IY312" s="32"/>
      <c r="IZ312" s="32"/>
      <c r="JA312" s="32"/>
      <c r="JB312" s="32"/>
      <c r="JC312" s="32"/>
      <c r="JD312" s="32"/>
      <c r="JE312" s="32"/>
      <c r="JF312" s="32"/>
      <c r="JG312" s="32"/>
      <c r="JH312" s="32"/>
      <c r="JI312" s="32"/>
      <c r="JJ312" s="32"/>
      <c r="JK312" s="32"/>
      <c r="JL312" s="32"/>
      <c r="JM312" s="32"/>
      <c r="JN312" s="32"/>
      <c r="JO312" s="32"/>
      <c r="JP312" s="32"/>
      <c r="JQ312" s="32"/>
      <c r="JR312" s="32"/>
      <c r="JS312" s="32"/>
      <c r="JT312" s="32"/>
      <c r="JU312" s="32"/>
      <c r="JV312" s="32"/>
      <c r="JW312" s="32"/>
      <c r="JX312" s="32"/>
      <c r="JY312" s="32"/>
      <c r="JZ312" s="32"/>
      <c r="KA312" s="32"/>
      <c r="KB312" s="32"/>
      <c r="KC312" s="32"/>
      <c r="KD312" s="32"/>
      <c r="KE312" s="32"/>
      <c r="KF312" s="32"/>
      <c r="KG312" s="32"/>
      <c r="KH312" s="32"/>
      <c r="KI312" s="32"/>
      <c r="KJ312" s="32"/>
      <c r="KK312" s="32"/>
      <c r="KL312" s="32"/>
      <c r="KM312" s="32"/>
      <c r="KN312" s="32"/>
      <c r="KO312" s="32"/>
      <c r="KP312" s="32"/>
      <c r="KQ312" s="32"/>
      <c r="KR312" s="32"/>
      <c r="KS312" s="32"/>
      <c r="KT312" s="32"/>
      <c r="KU312" s="32"/>
      <c r="KV312" s="32"/>
      <c r="KW312" s="32"/>
      <c r="KX312" s="32"/>
      <c r="KY312" s="32"/>
      <c r="KZ312" s="32"/>
      <c r="LA312" s="32"/>
      <c r="LB312" s="32"/>
      <c r="LC312" s="32"/>
      <c r="LD312" s="32"/>
      <c r="LE312" s="32"/>
      <c r="LF312" s="32"/>
      <c r="LG312" s="32"/>
      <c r="LH312" s="32"/>
      <c r="LI312" s="32"/>
      <c r="LJ312" s="32"/>
      <c r="LK312" s="32"/>
      <c r="LL312" s="32"/>
      <c r="LM312" s="32"/>
      <c r="LN312" s="32"/>
      <c r="LO312" s="32"/>
      <c r="LP312" s="32"/>
      <c r="LQ312" s="32"/>
      <c r="LR312" s="32"/>
      <c r="LS312" s="32"/>
      <c r="LT312" s="32"/>
      <c r="LU312" s="32"/>
      <c r="LV312" s="32"/>
      <c r="LW312" s="32"/>
      <c r="LX312" s="32"/>
      <c r="LY312" s="32"/>
      <c r="LZ312" s="32"/>
      <c r="MA312" s="32"/>
      <c r="MB312" s="32"/>
      <c r="MC312" s="32"/>
      <c r="MD312" s="32"/>
      <c r="ME312" s="32"/>
      <c r="MF312" s="32"/>
      <c r="MG312" s="32"/>
      <c r="MH312" s="32"/>
      <c r="MI312" s="32"/>
      <c r="MJ312" s="32"/>
      <c r="MK312" s="32"/>
      <c r="ML312" s="32"/>
      <c r="MM312" s="32"/>
      <c r="MN312" s="32"/>
      <c r="MO312" s="32"/>
      <c r="MP312" s="32"/>
      <c r="MQ312" s="32"/>
      <c r="MR312" s="32"/>
      <c r="MS312" s="32"/>
      <c r="MT312" s="32"/>
      <c r="MU312" s="32"/>
      <c r="MV312" s="32"/>
      <c r="MW312" s="32"/>
      <c r="MX312" s="32"/>
      <c r="MY312" s="32"/>
      <c r="MZ312" s="32"/>
      <c r="NA312" s="32"/>
      <c r="NB312" s="32"/>
      <c r="NC312" s="32"/>
      <c r="ND312" s="32"/>
      <c r="NE312" s="32"/>
      <c r="NF312" s="32"/>
      <c r="NG312" s="32"/>
      <c r="NH312" s="32"/>
      <c r="NI312" s="32"/>
      <c r="NJ312" s="32"/>
      <c r="NK312" s="32"/>
      <c r="NL312" s="32"/>
      <c r="NM312" s="32"/>
      <c r="NN312" s="32"/>
      <c r="NO312" s="32"/>
      <c r="NP312" s="32"/>
      <c r="NQ312" s="32"/>
      <c r="NR312" s="32"/>
      <c r="NS312" s="32"/>
      <c r="NT312" s="32"/>
      <c r="NU312" s="32"/>
      <c r="NV312" s="32"/>
      <c r="NW312" s="32"/>
      <c r="NX312" s="32"/>
      <c r="NY312" s="32"/>
      <c r="NZ312" s="32"/>
      <c r="OA312" s="32"/>
      <c r="OB312" s="32"/>
      <c r="OC312" s="32"/>
      <c r="OD312" s="32"/>
      <c r="OE312" s="32"/>
      <c r="OF312" s="32"/>
      <c r="OG312" s="32"/>
      <c r="OH312" s="32"/>
      <c r="OI312" s="32"/>
      <c r="OJ312" s="32"/>
      <c r="OK312" s="32"/>
      <c r="OL312" s="32"/>
      <c r="OM312" s="32"/>
      <c r="ON312" s="32"/>
      <c r="OO312" s="32"/>
      <c r="OP312" s="32"/>
      <c r="OQ312" s="32"/>
      <c r="OR312" s="32"/>
      <c r="OS312" s="32"/>
      <c r="OT312" s="32"/>
      <c r="OU312" s="32"/>
      <c r="OV312" s="32"/>
      <c r="OW312" s="32"/>
      <c r="OX312" s="32"/>
      <c r="OY312" s="32"/>
      <c r="OZ312" s="32"/>
      <c r="PA312" s="32"/>
      <c r="PB312" s="32"/>
      <c r="PC312" s="32"/>
      <c r="PD312" s="32"/>
      <c r="PE312" s="32"/>
      <c r="PF312" s="32"/>
      <c r="PG312" s="32"/>
      <c r="PH312" s="32"/>
      <c r="PI312" s="32"/>
      <c r="PJ312" s="32"/>
      <c r="PK312" s="32"/>
      <c r="PL312" s="32"/>
      <c r="PM312" s="32"/>
      <c r="PN312" s="32"/>
      <c r="PO312" s="32"/>
      <c r="PP312" s="32"/>
      <c r="PQ312" s="32"/>
      <c r="PR312" s="32"/>
      <c r="PS312" s="32"/>
      <c r="PT312" s="32"/>
      <c r="PU312" s="32"/>
      <c r="PV312" s="32"/>
      <c r="PW312" s="32"/>
      <c r="PX312" s="32"/>
      <c r="PY312" s="32"/>
      <c r="PZ312" s="32"/>
      <c r="QA312" s="32"/>
      <c r="QB312" s="32"/>
      <c r="QC312" s="32"/>
      <c r="QD312" s="32"/>
      <c r="QE312" s="32"/>
      <c r="QF312" s="32"/>
      <c r="QG312" s="32"/>
      <c r="QH312" s="32"/>
      <c r="QI312" s="32"/>
      <c r="QJ312" s="32"/>
      <c r="QK312" s="32"/>
      <c r="QL312" s="32"/>
      <c r="QM312" s="32"/>
      <c r="QN312" s="32"/>
      <c r="QO312" s="32"/>
      <c r="QP312" s="32"/>
      <c r="QQ312" s="32"/>
      <c r="QR312" s="32"/>
      <c r="QS312" s="32"/>
      <c r="QT312" s="32"/>
      <c r="QU312" s="32"/>
      <c r="QV312" s="32"/>
      <c r="QW312" s="32"/>
      <c r="QX312" s="32"/>
      <c r="QY312" s="32"/>
      <c r="QZ312" s="32"/>
      <c r="RA312" s="32"/>
      <c r="RB312" s="32"/>
      <c r="RC312" s="32"/>
      <c r="RD312" s="32"/>
      <c r="RE312" s="32"/>
      <c r="RF312" s="32"/>
      <c r="RG312" s="32"/>
      <c r="RH312" s="32"/>
      <c r="RI312" s="32"/>
      <c r="RJ312" s="32"/>
      <c r="RK312" s="32"/>
      <c r="RL312" s="32"/>
      <c r="RM312" s="32"/>
      <c r="RN312" s="32"/>
      <c r="RO312" s="32"/>
      <c r="RP312" s="32"/>
      <c r="RQ312" s="32"/>
      <c r="RR312" s="32"/>
      <c r="RS312" s="32"/>
      <c r="RT312" s="32"/>
      <c r="RU312" s="32"/>
      <c r="RV312" s="32"/>
      <c r="RW312" s="32"/>
      <c r="RX312" s="32"/>
      <c r="RY312" s="32"/>
      <c r="RZ312" s="32"/>
      <c r="SA312" s="32"/>
      <c r="SB312" s="32"/>
      <c r="SC312" s="32"/>
      <c r="SD312" s="32"/>
      <c r="SE312" s="32"/>
      <c r="SF312" s="32"/>
      <c r="SG312" s="32"/>
      <c r="SH312" s="32"/>
      <c r="SI312" s="32"/>
      <c r="SJ312" s="32"/>
      <c r="SK312" s="32"/>
      <c r="SL312" s="32"/>
      <c r="SM312" s="32"/>
      <c r="SN312" s="32"/>
      <c r="SO312" s="32"/>
      <c r="SP312" s="32"/>
      <c r="SQ312" s="32"/>
      <c r="SR312" s="32"/>
      <c r="SS312" s="32"/>
      <c r="ST312" s="32"/>
      <c r="SU312" s="32"/>
      <c r="SV312" s="32"/>
      <c r="SW312" s="32"/>
      <c r="SX312" s="32"/>
      <c r="SY312" s="32"/>
      <c r="SZ312" s="32"/>
      <c r="TA312" s="32"/>
      <c r="TB312" s="32"/>
      <c r="TC312" s="32"/>
      <c r="TD312" s="32"/>
      <c r="TE312" s="32"/>
      <c r="TF312" s="32"/>
      <c r="TG312" s="32"/>
    </row>
    <row r="313" spans="1:527" s="27" customFormat="1" ht="45" customHeight="1" x14ac:dyDescent="0.25">
      <c r="A313" s="70"/>
      <c r="B313" s="71"/>
      <c r="C313" s="72"/>
      <c r="D313" s="73"/>
      <c r="E313" s="157">
        <f>E309-'дод 8'!D245</f>
        <v>0</v>
      </c>
      <c r="F313" s="157">
        <f>F309-'дод 8'!E245</f>
        <v>0</v>
      </c>
      <c r="G313" s="157">
        <f>G309-'дод 8'!F245</f>
        <v>0</v>
      </c>
      <c r="H313" s="157">
        <f>H309-'дод 8'!G245</f>
        <v>0</v>
      </c>
      <c r="I313" s="157">
        <f>I309-'дод 8'!H245</f>
        <v>0</v>
      </c>
      <c r="J313" s="157">
        <f>J309-'дод 8'!I245</f>
        <v>0</v>
      </c>
      <c r="K313" s="157">
        <f>K309-'дод 8'!J245</f>
        <v>0</v>
      </c>
      <c r="L313" s="157">
        <f>L309-'дод 8'!K245</f>
        <v>0</v>
      </c>
      <c r="M313" s="157">
        <f>M309-'дод 8'!L245</f>
        <v>0</v>
      </c>
      <c r="N313" s="157">
        <f>N309-'дод 8'!M245</f>
        <v>0</v>
      </c>
      <c r="O313" s="157">
        <f>O309-'дод 8'!N245</f>
        <v>0</v>
      </c>
      <c r="P313" s="157">
        <f>P309-'дод 8'!O245</f>
        <v>0</v>
      </c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  <c r="TF313" s="32"/>
      <c r="TG313" s="32"/>
    </row>
    <row r="314" spans="1:527" s="161" customFormat="1" ht="54" customHeight="1" x14ac:dyDescent="0.55000000000000004">
      <c r="A314" s="158" t="s">
        <v>476</v>
      </c>
      <c r="B314" s="159"/>
      <c r="C314" s="160"/>
      <c r="D314" s="149"/>
      <c r="E314" s="150"/>
      <c r="F314" s="149"/>
      <c r="G314" s="149"/>
      <c r="H314" s="149"/>
      <c r="I314" s="149"/>
      <c r="J314" s="149"/>
      <c r="M314" s="149"/>
      <c r="N314" s="149" t="s">
        <v>477</v>
      </c>
      <c r="O314" s="150"/>
      <c r="P314" s="150"/>
      <c r="Q314" s="162"/>
      <c r="R314" s="162"/>
      <c r="S314" s="162"/>
      <c r="T314" s="162"/>
      <c r="U314" s="162"/>
      <c r="V314" s="162"/>
      <c r="W314" s="162"/>
      <c r="X314" s="162"/>
      <c r="Y314" s="162"/>
      <c r="Z314" s="162"/>
      <c r="AA314" s="162"/>
      <c r="AB314" s="162"/>
      <c r="AC314" s="162"/>
      <c r="AD314" s="162"/>
      <c r="AE314" s="162"/>
      <c r="AF314" s="162"/>
      <c r="AG314" s="162"/>
      <c r="AH314" s="162"/>
      <c r="AI314" s="162"/>
      <c r="AJ314" s="162"/>
      <c r="AK314" s="162"/>
      <c r="AL314" s="162"/>
      <c r="AM314" s="162"/>
      <c r="AN314" s="162"/>
      <c r="AO314" s="162"/>
      <c r="AP314" s="162"/>
      <c r="AQ314" s="162"/>
      <c r="AR314" s="162"/>
      <c r="AS314" s="162"/>
      <c r="AT314" s="162"/>
      <c r="AU314" s="162"/>
      <c r="AV314" s="162"/>
      <c r="AW314" s="162"/>
      <c r="AX314" s="162"/>
      <c r="AY314" s="162"/>
      <c r="AZ314" s="162"/>
      <c r="BA314" s="162"/>
      <c r="BB314" s="162"/>
      <c r="BC314" s="162"/>
      <c r="BD314" s="162"/>
      <c r="BE314" s="162"/>
      <c r="BF314" s="162"/>
      <c r="BG314" s="162"/>
      <c r="BH314" s="162"/>
      <c r="BI314" s="162"/>
      <c r="BJ314" s="162"/>
      <c r="BK314" s="162"/>
      <c r="BL314" s="162"/>
      <c r="BM314" s="162"/>
      <c r="BN314" s="162"/>
      <c r="BO314" s="162"/>
      <c r="BP314" s="162"/>
      <c r="BQ314" s="162"/>
      <c r="BR314" s="162"/>
      <c r="BS314" s="162"/>
      <c r="BT314" s="162"/>
      <c r="BU314" s="162"/>
      <c r="BV314" s="162"/>
      <c r="BW314" s="162"/>
      <c r="BX314" s="162"/>
      <c r="BY314" s="162"/>
      <c r="BZ314" s="162"/>
      <c r="CA314" s="162"/>
      <c r="CB314" s="162"/>
      <c r="CC314" s="162"/>
      <c r="CD314" s="162"/>
      <c r="CE314" s="162"/>
      <c r="CF314" s="162"/>
      <c r="CG314" s="162"/>
      <c r="CH314" s="162"/>
      <c r="CI314" s="162"/>
      <c r="CJ314" s="162"/>
      <c r="CK314" s="162"/>
      <c r="CL314" s="162"/>
      <c r="CM314" s="162"/>
      <c r="CN314" s="162"/>
      <c r="CO314" s="162"/>
      <c r="CP314" s="162"/>
      <c r="CQ314" s="162"/>
      <c r="CR314" s="162"/>
      <c r="CS314" s="162"/>
      <c r="CT314" s="162"/>
      <c r="CU314" s="162"/>
      <c r="CV314" s="162"/>
      <c r="CW314" s="162"/>
      <c r="CX314" s="162"/>
      <c r="CY314" s="162"/>
      <c r="CZ314" s="162"/>
      <c r="DA314" s="162"/>
      <c r="DB314" s="162"/>
      <c r="DC314" s="162"/>
      <c r="DD314" s="162"/>
      <c r="DE314" s="162"/>
      <c r="DF314" s="162"/>
      <c r="DG314" s="162"/>
      <c r="DH314" s="162"/>
      <c r="DI314" s="162"/>
      <c r="DJ314" s="162"/>
      <c r="DK314" s="162"/>
      <c r="DL314" s="162"/>
      <c r="DM314" s="162"/>
      <c r="DN314" s="162"/>
      <c r="DO314" s="162"/>
      <c r="DP314" s="162"/>
      <c r="DQ314" s="162"/>
      <c r="DR314" s="162"/>
      <c r="DS314" s="162"/>
      <c r="DT314" s="162"/>
      <c r="DU314" s="162"/>
      <c r="DV314" s="162"/>
      <c r="DW314" s="162"/>
      <c r="DX314" s="162"/>
      <c r="DY314" s="162"/>
      <c r="DZ314" s="162"/>
      <c r="EA314" s="162"/>
      <c r="EB314" s="162"/>
      <c r="EC314" s="162"/>
      <c r="ED314" s="162"/>
      <c r="EE314" s="162"/>
      <c r="EF314" s="162"/>
      <c r="EG314" s="162"/>
      <c r="EH314" s="162"/>
      <c r="EI314" s="162"/>
      <c r="EJ314" s="162"/>
      <c r="EK314" s="162"/>
      <c r="EL314" s="162"/>
      <c r="EM314" s="162"/>
      <c r="EN314" s="162"/>
      <c r="EO314" s="162"/>
      <c r="EP314" s="162"/>
      <c r="EQ314" s="162"/>
      <c r="ER314" s="162"/>
      <c r="ES314" s="162"/>
      <c r="ET314" s="162"/>
      <c r="EU314" s="162"/>
      <c r="EV314" s="162"/>
      <c r="EW314" s="162"/>
      <c r="EX314" s="162"/>
      <c r="EY314" s="162"/>
      <c r="EZ314" s="162"/>
      <c r="FA314" s="162"/>
      <c r="FB314" s="162"/>
      <c r="FC314" s="162"/>
      <c r="FD314" s="162"/>
      <c r="FE314" s="162"/>
      <c r="FF314" s="162"/>
      <c r="FG314" s="162"/>
      <c r="FH314" s="162"/>
      <c r="FI314" s="162"/>
      <c r="FJ314" s="162"/>
      <c r="FK314" s="162"/>
      <c r="FL314" s="162"/>
      <c r="FM314" s="162"/>
      <c r="FN314" s="162"/>
      <c r="FO314" s="162"/>
      <c r="FP314" s="162"/>
      <c r="FQ314" s="162"/>
      <c r="FR314" s="162"/>
      <c r="FS314" s="162"/>
      <c r="FT314" s="162"/>
      <c r="FU314" s="162"/>
      <c r="FV314" s="162"/>
      <c r="FW314" s="162"/>
      <c r="FX314" s="162"/>
      <c r="FY314" s="162"/>
      <c r="FZ314" s="162"/>
      <c r="GA314" s="162"/>
      <c r="GB314" s="162"/>
      <c r="GC314" s="162"/>
      <c r="GD314" s="162"/>
      <c r="GE314" s="162"/>
      <c r="GF314" s="162"/>
      <c r="GG314" s="162"/>
      <c r="GH314" s="162"/>
      <c r="GI314" s="162"/>
      <c r="GJ314" s="162"/>
      <c r="GK314" s="162"/>
      <c r="GL314" s="162"/>
      <c r="GM314" s="162"/>
      <c r="GN314" s="162"/>
      <c r="GO314" s="162"/>
      <c r="GP314" s="162"/>
      <c r="GQ314" s="162"/>
      <c r="GR314" s="162"/>
      <c r="GS314" s="162"/>
      <c r="GT314" s="162"/>
      <c r="GU314" s="162"/>
      <c r="GV314" s="162"/>
      <c r="GW314" s="162"/>
      <c r="GX314" s="162"/>
      <c r="GY314" s="162"/>
      <c r="GZ314" s="162"/>
      <c r="HA314" s="162"/>
      <c r="HB314" s="162"/>
      <c r="HC314" s="162"/>
      <c r="HD314" s="162"/>
      <c r="HE314" s="162"/>
      <c r="HF314" s="162"/>
      <c r="HG314" s="162"/>
      <c r="HH314" s="162"/>
      <c r="HI314" s="162"/>
      <c r="HJ314" s="162"/>
      <c r="HK314" s="162"/>
      <c r="HL314" s="162"/>
      <c r="HM314" s="162"/>
      <c r="HN314" s="162"/>
      <c r="HO314" s="162"/>
      <c r="HP314" s="162"/>
      <c r="HQ314" s="162"/>
      <c r="HR314" s="162"/>
      <c r="HS314" s="162"/>
      <c r="HT314" s="162"/>
      <c r="HU314" s="162"/>
      <c r="HV314" s="162"/>
      <c r="HW314" s="162"/>
      <c r="HX314" s="162"/>
      <c r="HY314" s="162"/>
      <c r="HZ314" s="162"/>
      <c r="IA314" s="162"/>
      <c r="IB314" s="162"/>
      <c r="IC314" s="162"/>
      <c r="ID314" s="162"/>
      <c r="IE314" s="162"/>
      <c r="IF314" s="162"/>
      <c r="IG314" s="162"/>
      <c r="IH314" s="162"/>
      <c r="II314" s="162"/>
      <c r="IJ314" s="162"/>
      <c r="IK314" s="162"/>
      <c r="IL314" s="162"/>
      <c r="IM314" s="162"/>
      <c r="IN314" s="162"/>
      <c r="IO314" s="162"/>
      <c r="IP314" s="162"/>
      <c r="IQ314" s="162"/>
      <c r="IR314" s="162"/>
      <c r="IS314" s="162"/>
      <c r="IT314" s="162"/>
      <c r="IU314" s="162"/>
      <c r="IV314" s="162"/>
      <c r="IW314" s="162"/>
      <c r="IX314" s="162"/>
      <c r="IY314" s="162"/>
      <c r="IZ314" s="162"/>
      <c r="JA314" s="162"/>
      <c r="JB314" s="162"/>
      <c r="JC314" s="162"/>
      <c r="JD314" s="162"/>
      <c r="JE314" s="162"/>
      <c r="JF314" s="162"/>
      <c r="JG314" s="162"/>
      <c r="JH314" s="162"/>
      <c r="JI314" s="162"/>
      <c r="JJ314" s="162"/>
      <c r="JK314" s="162"/>
      <c r="JL314" s="162"/>
      <c r="JM314" s="162"/>
      <c r="JN314" s="162"/>
      <c r="JO314" s="162"/>
      <c r="JP314" s="162"/>
      <c r="JQ314" s="162"/>
      <c r="JR314" s="162"/>
      <c r="JS314" s="162"/>
      <c r="JT314" s="162"/>
      <c r="JU314" s="162"/>
      <c r="JV314" s="162"/>
      <c r="JW314" s="162"/>
      <c r="JX314" s="162"/>
      <c r="JY314" s="162"/>
      <c r="JZ314" s="162"/>
      <c r="KA314" s="162"/>
      <c r="KB314" s="162"/>
      <c r="KC314" s="162"/>
      <c r="KD314" s="162"/>
      <c r="KE314" s="162"/>
      <c r="KF314" s="162"/>
      <c r="KG314" s="162"/>
      <c r="KH314" s="162"/>
      <c r="KI314" s="162"/>
      <c r="KJ314" s="162"/>
      <c r="KK314" s="162"/>
      <c r="KL314" s="162"/>
      <c r="KM314" s="162"/>
      <c r="KN314" s="162"/>
      <c r="KO314" s="162"/>
      <c r="KP314" s="162"/>
      <c r="KQ314" s="162"/>
      <c r="KR314" s="162"/>
      <c r="KS314" s="162"/>
      <c r="KT314" s="162"/>
      <c r="KU314" s="162"/>
      <c r="KV314" s="162"/>
      <c r="KW314" s="162"/>
      <c r="KX314" s="162"/>
      <c r="KY314" s="162"/>
      <c r="KZ314" s="162"/>
      <c r="LA314" s="162"/>
      <c r="LB314" s="162"/>
      <c r="LC314" s="162"/>
      <c r="LD314" s="162"/>
      <c r="LE314" s="162"/>
      <c r="LF314" s="162"/>
      <c r="LG314" s="162"/>
      <c r="LH314" s="162"/>
      <c r="LI314" s="162"/>
      <c r="LJ314" s="162"/>
      <c r="LK314" s="162"/>
      <c r="LL314" s="162"/>
      <c r="LM314" s="162"/>
      <c r="LN314" s="162"/>
      <c r="LO314" s="162"/>
      <c r="LP314" s="162"/>
      <c r="LQ314" s="162"/>
      <c r="LR314" s="162"/>
      <c r="LS314" s="162"/>
      <c r="LT314" s="162"/>
      <c r="LU314" s="162"/>
      <c r="LV314" s="162"/>
      <c r="LW314" s="162"/>
      <c r="LX314" s="162"/>
      <c r="LY314" s="162"/>
      <c r="LZ314" s="162"/>
      <c r="MA314" s="162"/>
      <c r="MB314" s="162"/>
      <c r="MC314" s="162"/>
      <c r="MD314" s="162"/>
      <c r="ME314" s="162"/>
      <c r="MF314" s="162"/>
      <c r="MG314" s="162"/>
      <c r="MH314" s="162"/>
      <c r="MI314" s="162"/>
      <c r="MJ314" s="162"/>
      <c r="MK314" s="162"/>
      <c r="ML314" s="162"/>
      <c r="MM314" s="162"/>
      <c r="MN314" s="162"/>
      <c r="MO314" s="162"/>
      <c r="MP314" s="162"/>
      <c r="MQ314" s="162"/>
      <c r="MR314" s="162"/>
      <c r="MS314" s="162"/>
      <c r="MT314" s="162"/>
      <c r="MU314" s="162"/>
      <c r="MV314" s="162"/>
      <c r="MW314" s="162"/>
      <c r="MX314" s="162"/>
      <c r="MY314" s="162"/>
      <c r="MZ314" s="162"/>
      <c r="NA314" s="162"/>
      <c r="NB314" s="162"/>
      <c r="NC314" s="162"/>
      <c r="ND314" s="162"/>
      <c r="NE314" s="162"/>
      <c r="NF314" s="162"/>
      <c r="NG314" s="162"/>
      <c r="NH314" s="162"/>
      <c r="NI314" s="162"/>
      <c r="NJ314" s="162"/>
      <c r="NK314" s="162"/>
      <c r="NL314" s="162"/>
      <c r="NM314" s="162"/>
      <c r="NN314" s="162"/>
      <c r="NO314" s="162"/>
      <c r="NP314" s="162"/>
      <c r="NQ314" s="162"/>
      <c r="NR314" s="162"/>
      <c r="NS314" s="162"/>
      <c r="NT314" s="162"/>
      <c r="NU314" s="162"/>
      <c r="NV314" s="162"/>
      <c r="NW314" s="162"/>
      <c r="NX314" s="162"/>
      <c r="NY314" s="162"/>
      <c r="NZ314" s="162"/>
      <c r="OA314" s="162"/>
      <c r="OB314" s="162"/>
      <c r="OC314" s="162"/>
      <c r="OD314" s="162"/>
      <c r="OE314" s="162"/>
      <c r="OF314" s="162"/>
      <c r="OG314" s="162"/>
      <c r="OH314" s="162"/>
      <c r="OI314" s="162"/>
      <c r="OJ314" s="162"/>
      <c r="OK314" s="162"/>
      <c r="OL314" s="162"/>
      <c r="OM314" s="162"/>
      <c r="ON314" s="162"/>
      <c r="OO314" s="162"/>
      <c r="OP314" s="162"/>
      <c r="OQ314" s="162"/>
      <c r="OR314" s="162"/>
      <c r="OS314" s="162"/>
      <c r="OT314" s="162"/>
      <c r="OU314" s="162"/>
      <c r="OV314" s="162"/>
      <c r="OW314" s="162"/>
      <c r="OX314" s="162"/>
      <c r="OY314" s="162"/>
      <c r="OZ314" s="162"/>
      <c r="PA314" s="162"/>
      <c r="PB314" s="162"/>
      <c r="PC314" s="162"/>
      <c r="PD314" s="162"/>
      <c r="PE314" s="162"/>
      <c r="PF314" s="162"/>
      <c r="PG314" s="162"/>
      <c r="PH314" s="162"/>
      <c r="PI314" s="162"/>
      <c r="PJ314" s="162"/>
      <c r="PK314" s="162"/>
      <c r="PL314" s="162"/>
      <c r="PM314" s="162"/>
      <c r="PN314" s="162"/>
      <c r="PO314" s="162"/>
      <c r="PP314" s="162"/>
      <c r="PQ314" s="162"/>
      <c r="PR314" s="162"/>
      <c r="PS314" s="162"/>
      <c r="PT314" s="162"/>
      <c r="PU314" s="162"/>
      <c r="PV314" s="162"/>
      <c r="PW314" s="162"/>
      <c r="PX314" s="162"/>
      <c r="PY314" s="162"/>
      <c r="PZ314" s="162"/>
      <c r="QA314" s="162"/>
      <c r="QB314" s="162"/>
      <c r="QC314" s="162"/>
      <c r="QD314" s="162"/>
      <c r="QE314" s="162"/>
      <c r="QF314" s="162"/>
      <c r="QG314" s="162"/>
      <c r="QH314" s="162"/>
      <c r="QI314" s="162"/>
      <c r="QJ314" s="162"/>
      <c r="QK314" s="162"/>
      <c r="QL314" s="162"/>
      <c r="QM314" s="162"/>
      <c r="QN314" s="162"/>
      <c r="QO314" s="162"/>
      <c r="QP314" s="162"/>
      <c r="QQ314" s="162"/>
      <c r="QR314" s="162"/>
      <c r="QS314" s="162"/>
      <c r="QT314" s="162"/>
      <c r="QU314" s="162"/>
      <c r="QV314" s="162"/>
      <c r="QW314" s="162"/>
      <c r="QX314" s="162"/>
      <c r="QY314" s="162"/>
      <c r="QZ314" s="162"/>
      <c r="RA314" s="162"/>
      <c r="RB314" s="162"/>
      <c r="RC314" s="162"/>
      <c r="RD314" s="162"/>
      <c r="RE314" s="162"/>
      <c r="RF314" s="162"/>
      <c r="RG314" s="162"/>
      <c r="RH314" s="162"/>
      <c r="RI314" s="162"/>
      <c r="RJ314" s="162"/>
      <c r="RK314" s="162"/>
      <c r="RL314" s="162"/>
      <c r="RM314" s="162"/>
      <c r="RN314" s="162"/>
      <c r="RO314" s="162"/>
      <c r="RP314" s="162"/>
      <c r="RQ314" s="162"/>
      <c r="RR314" s="162"/>
      <c r="RS314" s="162"/>
      <c r="RT314" s="162"/>
      <c r="RU314" s="162"/>
      <c r="RV314" s="162"/>
      <c r="RW314" s="162"/>
      <c r="RX314" s="162"/>
      <c r="RY314" s="162"/>
      <c r="RZ314" s="162"/>
      <c r="SA314" s="162"/>
      <c r="SB314" s="162"/>
      <c r="SC314" s="162"/>
      <c r="SD314" s="162"/>
      <c r="SE314" s="162"/>
      <c r="SF314" s="162"/>
      <c r="SG314" s="162"/>
      <c r="SH314" s="162"/>
      <c r="SI314" s="162"/>
      <c r="SJ314" s="162"/>
      <c r="SK314" s="162"/>
      <c r="SL314" s="162"/>
      <c r="SM314" s="162"/>
      <c r="SN314" s="162"/>
      <c r="SO314" s="162"/>
      <c r="SP314" s="162"/>
      <c r="SQ314" s="162"/>
      <c r="SR314" s="162"/>
      <c r="SS314" s="162"/>
      <c r="ST314" s="162"/>
      <c r="SU314" s="162"/>
      <c r="SV314" s="162"/>
      <c r="SW314" s="162"/>
      <c r="SX314" s="162"/>
      <c r="SY314" s="162"/>
      <c r="SZ314" s="162"/>
      <c r="TA314" s="162"/>
      <c r="TB314" s="162"/>
      <c r="TC314" s="162"/>
      <c r="TD314" s="162"/>
      <c r="TE314" s="162"/>
      <c r="TF314" s="162"/>
      <c r="TG314" s="162"/>
    </row>
    <row r="315" spans="1:527" s="28" customFormat="1" ht="34.5" customHeigh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147"/>
    </row>
    <row r="316" spans="1:527" s="153" customFormat="1" ht="41.25" customHeight="1" x14ac:dyDescent="0.45">
      <c r="A316" s="151" t="s">
        <v>478</v>
      </c>
      <c r="B316" s="151"/>
      <c r="C316" s="151"/>
      <c r="D316" s="151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1:527" s="135" customFormat="1" ht="39.75" customHeight="1" x14ac:dyDescent="0.4">
      <c r="A317" s="164" t="s">
        <v>570</v>
      </c>
      <c r="B317" s="164"/>
      <c r="C317" s="164"/>
      <c r="D317" s="16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</row>
    <row r="318" spans="1:527" s="135" customFormat="1" ht="26.25" x14ac:dyDescent="0.4">
      <c r="A318" s="136"/>
      <c r="B318" s="137"/>
      <c r="C318" s="137"/>
      <c r="D318" s="138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</row>
    <row r="319" spans="1:527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</row>
    <row r="320" spans="1:527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</row>
    <row r="321" spans="1:16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</row>
    <row r="322" spans="1:16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</row>
    <row r="323" spans="1:16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147"/>
    </row>
    <row r="324" spans="1:16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147"/>
    </row>
    <row r="325" spans="1:16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147"/>
    </row>
    <row r="326" spans="1:16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147"/>
    </row>
    <row r="327" spans="1:16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147"/>
    </row>
    <row r="328" spans="1:16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147"/>
    </row>
    <row r="329" spans="1:16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147"/>
    </row>
    <row r="330" spans="1:16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147"/>
    </row>
    <row r="331" spans="1:16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147"/>
    </row>
    <row r="332" spans="1:16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147"/>
    </row>
    <row r="333" spans="1:16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147"/>
    </row>
    <row r="334" spans="1:16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147"/>
    </row>
    <row r="335" spans="1:16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147"/>
    </row>
    <row r="336" spans="1:16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147"/>
    </row>
    <row r="337" spans="1:16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147"/>
    </row>
    <row r="338" spans="1:16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147"/>
    </row>
    <row r="339" spans="1:16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147"/>
    </row>
    <row r="340" spans="1:16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147"/>
    </row>
    <row r="341" spans="1:16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147"/>
    </row>
    <row r="342" spans="1:16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147"/>
    </row>
    <row r="343" spans="1:16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147"/>
    </row>
    <row r="344" spans="1:16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147"/>
    </row>
    <row r="345" spans="1:16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147"/>
    </row>
    <row r="346" spans="1:16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147"/>
    </row>
    <row r="347" spans="1:16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147"/>
    </row>
    <row r="348" spans="1:16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147"/>
    </row>
    <row r="349" spans="1:16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147"/>
    </row>
    <row r="350" spans="1:16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147"/>
    </row>
    <row r="351" spans="1:16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147"/>
    </row>
    <row r="352" spans="1:16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147"/>
    </row>
    <row r="353" spans="1:16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147"/>
    </row>
    <row r="354" spans="1:16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147"/>
    </row>
    <row r="355" spans="1:16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147"/>
    </row>
    <row r="356" spans="1:16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147"/>
    </row>
    <row r="357" spans="1:16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147"/>
    </row>
    <row r="358" spans="1:16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147"/>
    </row>
    <row r="359" spans="1:16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147"/>
    </row>
    <row r="360" spans="1:16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147"/>
    </row>
    <row r="361" spans="1:16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147"/>
    </row>
    <row r="362" spans="1:16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147"/>
    </row>
    <row r="363" spans="1:16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147"/>
    </row>
    <row r="364" spans="1:16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147"/>
    </row>
    <row r="365" spans="1:16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147"/>
    </row>
    <row r="366" spans="1:16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147"/>
    </row>
    <row r="367" spans="1:16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147"/>
    </row>
    <row r="368" spans="1:16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147"/>
    </row>
    <row r="369" spans="1:16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147"/>
    </row>
    <row r="370" spans="1:16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147"/>
    </row>
    <row r="371" spans="1:16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147"/>
    </row>
    <row r="372" spans="1:16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147"/>
    </row>
    <row r="373" spans="1:16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147"/>
    </row>
    <row r="374" spans="1:16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147"/>
    </row>
    <row r="375" spans="1:16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147"/>
    </row>
    <row r="376" spans="1:16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147"/>
    </row>
    <row r="377" spans="1:16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147"/>
    </row>
    <row r="378" spans="1:16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147"/>
    </row>
    <row r="379" spans="1:16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147"/>
    </row>
    <row r="380" spans="1:16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147"/>
    </row>
    <row r="381" spans="1:16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147"/>
    </row>
    <row r="382" spans="1:16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147"/>
    </row>
    <row r="383" spans="1:16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147"/>
    </row>
    <row r="384" spans="1:16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147"/>
    </row>
    <row r="385" spans="1:16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147"/>
    </row>
    <row r="386" spans="1:16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147"/>
    </row>
    <row r="387" spans="1:16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147"/>
    </row>
    <row r="388" spans="1:16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147"/>
    </row>
    <row r="389" spans="1:16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147"/>
    </row>
    <row r="390" spans="1:16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147"/>
    </row>
    <row r="391" spans="1:16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147"/>
    </row>
    <row r="392" spans="1:16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147"/>
    </row>
    <row r="393" spans="1:16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147"/>
    </row>
    <row r="394" spans="1:16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147"/>
    </row>
    <row r="395" spans="1:16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147"/>
    </row>
    <row r="396" spans="1:16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147"/>
    </row>
    <row r="397" spans="1:16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147"/>
    </row>
    <row r="398" spans="1:16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147"/>
    </row>
    <row r="399" spans="1:16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147"/>
    </row>
    <row r="400" spans="1:16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147"/>
    </row>
    <row r="401" spans="1:16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147"/>
    </row>
    <row r="402" spans="1:16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147"/>
    </row>
    <row r="403" spans="1:16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147"/>
    </row>
    <row r="404" spans="1:16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147"/>
    </row>
    <row r="405" spans="1:16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147"/>
    </row>
    <row r="406" spans="1:16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147"/>
    </row>
    <row r="407" spans="1:16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147"/>
    </row>
    <row r="408" spans="1:16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147"/>
    </row>
    <row r="409" spans="1:16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147"/>
    </row>
    <row r="410" spans="1:16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147"/>
    </row>
    <row r="411" spans="1:16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147"/>
    </row>
    <row r="412" spans="1:16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147"/>
    </row>
    <row r="413" spans="1:16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147"/>
    </row>
    <row r="414" spans="1:16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147"/>
    </row>
    <row r="415" spans="1:16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147"/>
    </row>
    <row r="416" spans="1:16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147"/>
    </row>
    <row r="417" spans="1:16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147"/>
    </row>
    <row r="418" spans="1:16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147"/>
    </row>
    <row r="419" spans="1:16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147"/>
    </row>
    <row r="420" spans="1:16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147"/>
    </row>
    <row r="421" spans="1:16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147"/>
    </row>
    <row r="422" spans="1:16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147"/>
    </row>
    <row r="423" spans="1:16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147"/>
    </row>
    <row r="424" spans="1:16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147"/>
    </row>
    <row r="425" spans="1:16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147"/>
    </row>
    <row r="426" spans="1:16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147"/>
    </row>
    <row r="427" spans="1:16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147"/>
    </row>
    <row r="428" spans="1:16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147"/>
    </row>
    <row r="429" spans="1:16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147"/>
    </row>
    <row r="430" spans="1:16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147"/>
    </row>
    <row r="431" spans="1:16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147"/>
    </row>
    <row r="432" spans="1:16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147"/>
    </row>
    <row r="433" spans="1:16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147"/>
    </row>
    <row r="434" spans="1:16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147"/>
    </row>
    <row r="435" spans="1:16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147"/>
    </row>
    <row r="436" spans="1:16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147"/>
    </row>
    <row r="437" spans="1:16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147"/>
    </row>
    <row r="438" spans="1:16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147"/>
    </row>
    <row r="439" spans="1:16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147"/>
    </row>
    <row r="440" spans="1:16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147"/>
    </row>
    <row r="441" spans="1:16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147"/>
    </row>
    <row r="442" spans="1:16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147"/>
    </row>
    <row r="443" spans="1:16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147"/>
    </row>
    <row r="444" spans="1:16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147"/>
    </row>
    <row r="445" spans="1:16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147"/>
    </row>
    <row r="446" spans="1:16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147"/>
    </row>
    <row r="447" spans="1:16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147"/>
    </row>
    <row r="448" spans="1:16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147"/>
    </row>
    <row r="449" spans="1:16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147"/>
    </row>
    <row r="450" spans="1:16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147"/>
    </row>
    <row r="451" spans="1:16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147"/>
    </row>
    <row r="452" spans="1:16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147"/>
    </row>
    <row r="453" spans="1:16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147"/>
    </row>
    <row r="454" spans="1:16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147"/>
    </row>
    <row r="455" spans="1:16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147"/>
    </row>
    <row r="456" spans="1:16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147"/>
    </row>
    <row r="457" spans="1:16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147"/>
    </row>
    <row r="458" spans="1:16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147"/>
    </row>
    <row r="459" spans="1:16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147"/>
    </row>
    <row r="460" spans="1:16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147"/>
    </row>
    <row r="461" spans="1:16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147"/>
    </row>
    <row r="462" spans="1:16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147"/>
    </row>
    <row r="463" spans="1:16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147"/>
    </row>
    <row r="464" spans="1:16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147"/>
    </row>
    <row r="465" spans="1:16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147"/>
    </row>
    <row r="466" spans="1:16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147"/>
    </row>
    <row r="467" spans="1:16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147"/>
    </row>
    <row r="468" spans="1:16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147"/>
    </row>
    <row r="469" spans="1:16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147"/>
    </row>
    <row r="470" spans="1:16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147"/>
    </row>
    <row r="471" spans="1:16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147"/>
    </row>
    <row r="472" spans="1:16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147"/>
    </row>
    <row r="473" spans="1:16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147"/>
    </row>
    <row r="474" spans="1:16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147"/>
    </row>
    <row r="475" spans="1:16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147"/>
    </row>
    <row r="476" spans="1:16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147"/>
    </row>
    <row r="477" spans="1:16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147"/>
    </row>
    <row r="478" spans="1:16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147"/>
    </row>
    <row r="479" spans="1:16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147"/>
    </row>
    <row r="480" spans="1:16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147"/>
    </row>
    <row r="481" spans="1:16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147"/>
    </row>
    <row r="482" spans="1:16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147"/>
    </row>
    <row r="483" spans="1:16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147"/>
    </row>
    <row r="484" spans="1:16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147"/>
    </row>
    <row r="485" spans="1:16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147"/>
    </row>
    <row r="486" spans="1:16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147"/>
    </row>
    <row r="487" spans="1:16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147"/>
    </row>
    <row r="488" spans="1:16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147"/>
    </row>
    <row r="489" spans="1:16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147"/>
    </row>
    <row r="490" spans="1:16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147"/>
    </row>
    <row r="491" spans="1:16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147"/>
    </row>
    <row r="492" spans="1:16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147"/>
    </row>
    <row r="493" spans="1:16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147"/>
    </row>
    <row r="494" spans="1:16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147"/>
    </row>
    <row r="495" spans="1:16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147"/>
    </row>
    <row r="496" spans="1:16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147"/>
    </row>
    <row r="497" spans="1:16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147"/>
    </row>
    <row r="498" spans="1:16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147"/>
    </row>
    <row r="499" spans="1:16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147"/>
    </row>
    <row r="500" spans="1:16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147"/>
    </row>
    <row r="501" spans="1:16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147"/>
    </row>
    <row r="502" spans="1:16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147"/>
    </row>
    <row r="503" spans="1:16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147"/>
    </row>
    <row r="504" spans="1:16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147"/>
    </row>
    <row r="505" spans="1:16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147"/>
    </row>
    <row r="506" spans="1:16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147"/>
    </row>
    <row r="507" spans="1:16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147"/>
    </row>
    <row r="508" spans="1:16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147"/>
    </row>
    <row r="509" spans="1:16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147"/>
    </row>
    <row r="510" spans="1:16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147"/>
    </row>
    <row r="511" spans="1:16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147"/>
    </row>
    <row r="512" spans="1:16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147"/>
    </row>
    <row r="513" spans="1:16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147"/>
    </row>
    <row r="514" spans="1:16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147"/>
    </row>
    <row r="515" spans="1:16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147"/>
    </row>
    <row r="516" spans="1:16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147"/>
    </row>
    <row r="517" spans="1:16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147"/>
    </row>
    <row r="518" spans="1:16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147"/>
    </row>
    <row r="519" spans="1:16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147"/>
    </row>
    <row r="520" spans="1:16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147"/>
    </row>
    <row r="521" spans="1:16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147"/>
    </row>
    <row r="522" spans="1:16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147"/>
    </row>
    <row r="523" spans="1:16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147"/>
    </row>
    <row r="524" spans="1:16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147"/>
    </row>
    <row r="525" spans="1:16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147"/>
    </row>
    <row r="526" spans="1:16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147"/>
    </row>
    <row r="527" spans="1:16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147"/>
    </row>
    <row r="528" spans="1:16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147"/>
    </row>
    <row r="529" spans="1:16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147"/>
    </row>
    <row r="530" spans="1:16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147"/>
    </row>
    <row r="531" spans="1:16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147"/>
    </row>
    <row r="532" spans="1:16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147"/>
    </row>
    <row r="533" spans="1:16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147"/>
    </row>
    <row r="534" spans="1:16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147"/>
    </row>
    <row r="535" spans="1:16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147"/>
    </row>
    <row r="536" spans="1:16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147"/>
    </row>
    <row r="537" spans="1:16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147"/>
    </row>
    <row r="538" spans="1:16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147"/>
    </row>
    <row r="539" spans="1:16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147"/>
    </row>
    <row r="540" spans="1:16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147"/>
    </row>
    <row r="541" spans="1:16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147"/>
    </row>
    <row r="542" spans="1:16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147"/>
    </row>
    <row r="543" spans="1:16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147"/>
    </row>
    <row r="544" spans="1:16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147"/>
    </row>
    <row r="545" spans="1:16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147"/>
    </row>
    <row r="546" spans="1:16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147"/>
    </row>
    <row r="547" spans="1:16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147"/>
    </row>
    <row r="548" spans="1:16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147"/>
    </row>
    <row r="549" spans="1:16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147"/>
    </row>
    <row r="550" spans="1:16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147"/>
    </row>
    <row r="551" spans="1:16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147"/>
    </row>
    <row r="552" spans="1:16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147"/>
    </row>
    <row r="553" spans="1:16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147"/>
    </row>
    <row r="554" spans="1:16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147"/>
    </row>
    <row r="555" spans="1:16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147"/>
    </row>
    <row r="556" spans="1:16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147"/>
    </row>
    <row r="557" spans="1:16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147"/>
    </row>
    <row r="558" spans="1:16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147"/>
    </row>
    <row r="559" spans="1:16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147"/>
    </row>
    <row r="560" spans="1:16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147"/>
    </row>
    <row r="561" spans="1:16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147"/>
    </row>
    <row r="562" spans="1:16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147"/>
    </row>
    <row r="563" spans="1:16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147"/>
    </row>
    <row r="564" spans="1:16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147"/>
    </row>
    <row r="565" spans="1:16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147"/>
    </row>
    <row r="566" spans="1:16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147"/>
    </row>
    <row r="567" spans="1:16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147"/>
    </row>
    <row r="568" spans="1:16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147"/>
    </row>
    <row r="569" spans="1:16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147"/>
    </row>
    <row r="570" spans="1:16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147"/>
    </row>
    <row r="571" spans="1:16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147"/>
    </row>
    <row r="572" spans="1:16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147"/>
    </row>
    <row r="573" spans="1:16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147"/>
    </row>
    <row r="574" spans="1:16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147"/>
    </row>
    <row r="575" spans="1:16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147"/>
    </row>
    <row r="576" spans="1:16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147"/>
    </row>
    <row r="577" spans="1:16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147"/>
    </row>
    <row r="578" spans="1:16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147"/>
    </row>
    <row r="579" spans="1:16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147"/>
    </row>
    <row r="580" spans="1:16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147"/>
    </row>
    <row r="581" spans="1:16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147"/>
    </row>
    <row r="582" spans="1:16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147"/>
    </row>
    <row r="583" spans="1:16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147"/>
    </row>
    <row r="584" spans="1:16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147"/>
    </row>
    <row r="585" spans="1:16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147"/>
    </row>
    <row r="586" spans="1:16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147"/>
    </row>
    <row r="587" spans="1:16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147"/>
    </row>
    <row r="588" spans="1:16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147"/>
    </row>
    <row r="589" spans="1:16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147"/>
    </row>
    <row r="590" spans="1:16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147"/>
    </row>
    <row r="591" spans="1:16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147"/>
    </row>
    <row r="592" spans="1:16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147"/>
    </row>
    <row r="593" spans="1:16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147"/>
    </row>
    <row r="594" spans="1:16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147"/>
    </row>
    <row r="595" spans="1:16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147"/>
    </row>
    <row r="596" spans="1:16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147"/>
    </row>
    <row r="597" spans="1:16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147"/>
    </row>
    <row r="598" spans="1:16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147"/>
    </row>
    <row r="599" spans="1:16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147"/>
    </row>
    <row r="600" spans="1:16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147"/>
    </row>
    <row r="601" spans="1:16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147"/>
    </row>
    <row r="602" spans="1:16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147"/>
    </row>
    <row r="603" spans="1:16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147"/>
    </row>
    <row r="604" spans="1:16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147"/>
    </row>
    <row r="605" spans="1:16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147"/>
    </row>
    <row r="606" spans="1:16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147"/>
    </row>
    <row r="607" spans="1:16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147"/>
    </row>
    <row r="608" spans="1:16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147"/>
    </row>
    <row r="609" spans="1:16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147"/>
    </row>
    <row r="610" spans="1:16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147"/>
    </row>
    <row r="611" spans="1:16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147"/>
    </row>
    <row r="612" spans="1:16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147"/>
    </row>
    <row r="613" spans="1:16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147"/>
    </row>
    <row r="614" spans="1:16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147"/>
    </row>
    <row r="615" spans="1:16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147"/>
    </row>
    <row r="616" spans="1:16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147"/>
    </row>
    <row r="617" spans="1:16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147"/>
    </row>
    <row r="618" spans="1:16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147"/>
    </row>
    <row r="619" spans="1:16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147"/>
    </row>
    <row r="620" spans="1:16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147"/>
    </row>
    <row r="621" spans="1:16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147"/>
    </row>
    <row r="622" spans="1:16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147"/>
    </row>
    <row r="623" spans="1:16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147"/>
    </row>
    <row r="624" spans="1:16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147"/>
    </row>
    <row r="625" spans="1:16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147"/>
    </row>
    <row r="626" spans="1:16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147"/>
    </row>
    <row r="627" spans="1:16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147"/>
    </row>
    <row r="628" spans="1:16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147"/>
    </row>
    <row r="629" spans="1:16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147"/>
    </row>
    <row r="630" spans="1:16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147"/>
    </row>
    <row r="631" spans="1:16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147"/>
    </row>
    <row r="632" spans="1:16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147"/>
    </row>
    <row r="633" spans="1:16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147"/>
    </row>
    <row r="634" spans="1:16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147"/>
    </row>
    <row r="635" spans="1:16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147"/>
    </row>
    <row r="636" spans="1:16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147"/>
    </row>
    <row r="637" spans="1:16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147"/>
    </row>
    <row r="638" spans="1:16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147"/>
    </row>
    <row r="639" spans="1:16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147"/>
    </row>
    <row r="640" spans="1:16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147"/>
    </row>
    <row r="641" spans="1:16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147"/>
    </row>
    <row r="642" spans="1:16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147"/>
    </row>
    <row r="643" spans="1:16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147"/>
    </row>
    <row r="644" spans="1:16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147"/>
    </row>
    <row r="645" spans="1:16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147"/>
    </row>
    <row r="646" spans="1:16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147"/>
    </row>
    <row r="647" spans="1:16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147"/>
    </row>
    <row r="648" spans="1:16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147"/>
    </row>
    <row r="649" spans="1:16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147"/>
    </row>
    <row r="650" spans="1:16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147"/>
    </row>
    <row r="651" spans="1:16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147"/>
    </row>
    <row r="652" spans="1:16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147"/>
    </row>
    <row r="653" spans="1:16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147"/>
    </row>
    <row r="654" spans="1:16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147"/>
    </row>
    <row r="655" spans="1:16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147"/>
    </row>
    <row r="656" spans="1:16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147"/>
    </row>
    <row r="657" spans="1:16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147"/>
    </row>
    <row r="658" spans="1:16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147"/>
    </row>
    <row r="659" spans="1:16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147"/>
    </row>
    <row r="660" spans="1:16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147"/>
    </row>
    <row r="661" spans="1:16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147"/>
    </row>
    <row r="662" spans="1:16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147"/>
    </row>
    <row r="663" spans="1:16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147"/>
    </row>
    <row r="664" spans="1:16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147"/>
    </row>
    <row r="665" spans="1:16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147"/>
    </row>
    <row r="666" spans="1:16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147"/>
    </row>
    <row r="667" spans="1:16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147"/>
    </row>
    <row r="668" spans="1:16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147"/>
    </row>
    <row r="669" spans="1:16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147"/>
    </row>
    <row r="670" spans="1:16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147"/>
    </row>
    <row r="671" spans="1:16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147"/>
    </row>
    <row r="672" spans="1:16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147"/>
    </row>
    <row r="673" spans="1:16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147"/>
    </row>
    <row r="674" spans="1:16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147"/>
    </row>
    <row r="675" spans="1:16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147"/>
    </row>
    <row r="676" spans="1:16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147"/>
    </row>
    <row r="677" spans="1:16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147"/>
    </row>
    <row r="678" spans="1:16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147"/>
    </row>
    <row r="679" spans="1:16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147"/>
    </row>
    <row r="680" spans="1:16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147"/>
    </row>
    <row r="681" spans="1:16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147"/>
    </row>
    <row r="682" spans="1:16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147"/>
    </row>
    <row r="683" spans="1:16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147"/>
    </row>
    <row r="684" spans="1:16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147"/>
    </row>
    <row r="685" spans="1:16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147"/>
    </row>
    <row r="686" spans="1:16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147"/>
    </row>
    <row r="687" spans="1:16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147"/>
    </row>
    <row r="688" spans="1:16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147"/>
    </row>
    <row r="689" spans="1:16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147"/>
    </row>
    <row r="690" spans="1:16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147"/>
    </row>
    <row r="691" spans="1:16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147"/>
    </row>
    <row r="692" spans="1:16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147"/>
    </row>
    <row r="693" spans="1:16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147"/>
    </row>
    <row r="694" spans="1:16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147"/>
    </row>
    <row r="695" spans="1:16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147"/>
    </row>
    <row r="696" spans="1:16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147"/>
    </row>
    <row r="697" spans="1:16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147"/>
    </row>
    <row r="698" spans="1:16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147"/>
    </row>
    <row r="699" spans="1:16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147"/>
    </row>
    <row r="700" spans="1:16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147"/>
    </row>
    <row r="701" spans="1:16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147"/>
    </row>
    <row r="702" spans="1:16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147"/>
    </row>
    <row r="703" spans="1:16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147"/>
    </row>
    <row r="704" spans="1:16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147"/>
    </row>
    <row r="705" spans="1:16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147"/>
    </row>
    <row r="706" spans="1:16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147"/>
    </row>
    <row r="707" spans="1:16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147"/>
    </row>
    <row r="708" spans="1:16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147"/>
    </row>
    <row r="709" spans="1:16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147"/>
    </row>
    <row r="710" spans="1:16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147"/>
    </row>
    <row r="711" spans="1:16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147"/>
    </row>
    <row r="712" spans="1:16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147"/>
    </row>
    <row r="713" spans="1:16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147"/>
    </row>
    <row r="714" spans="1:16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147"/>
    </row>
    <row r="715" spans="1:16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147"/>
    </row>
    <row r="716" spans="1:16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147"/>
    </row>
    <row r="717" spans="1:16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147"/>
    </row>
    <row r="718" spans="1:16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147"/>
    </row>
    <row r="719" spans="1:16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147"/>
    </row>
    <row r="720" spans="1:16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147"/>
    </row>
    <row r="721" spans="1:16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147"/>
    </row>
    <row r="722" spans="1:16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147"/>
    </row>
    <row r="723" spans="1:16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147"/>
    </row>
    <row r="724" spans="1:16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147"/>
    </row>
    <row r="725" spans="1:16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147"/>
    </row>
    <row r="726" spans="1:16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147"/>
    </row>
    <row r="727" spans="1:16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147"/>
    </row>
    <row r="728" spans="1:16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147"/>
    </row>
    <row r="729" spans="1:16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147"/>
    </row>
    <row r="730" spans="1:16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147"/>
    </row>
    <row r="731" spans="1:16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147"/>
    </row>
    <row r="732" spans="1:16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147"/>
    </row>
    <row r="733" spans="1:16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147"/>
    </row>
    <row r="734" spans="1:16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147"/>
    </row>
    <row r="735" spans="1:16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147"/>
    </row>
    <row r="736" spans="1:16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147"/>
    </row>
    <row r="737" spans="1:16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147"/>
    </row>
    <row r="738" spans="1:16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147"/>
    </row>
    <row r="739" spans="1:16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147"/>
    </row>
    <row r="740" spans="1:16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147"/>
    </row>
    <row r="741" spans="1:16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147"/>
    </row>
    <row r="742" spans="1:16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147"/>
    </row>
    <row r="743" spans="1:16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147"/>
    </row>
    <row r="744" spans="1:16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147"/>
    </row>
    <row r="745" spans="1:16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147"/>
    </row>
    <row r="746" spans="1:16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147"/>
    </row>
    <row r="747" spans="1:16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147"/>
    </row>
    <row r="748" spans="1:16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147"/>
    </row>
    <row r="749" spans="1:16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147"/>
    </row>
    <row r="750" spans="1:16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147"/>
    </row>
    <row r="751" spans="1:16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147"/>
    </row>
    <row r="752" spans="1:16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147"/>
    </row>
    <row r="753" spans="1:16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147"/>
    </row>
    <row r="754" spans="1:16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147"/>
    </row>
    <row r="755" spans="1:16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147"/>
    </row>
    <row r="756" spans="1:16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147"/>
    </row>
    <row r="757" spans="1:16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147"/>
    </row>
    <row r="758" spans="1:16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147"/>
    </row>
    <row r="759" spans="1:16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147"/>
    </row>
    <row r="760" spans="1:16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147"/>
    </row>
    <row r="761" spans="1:16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147"/>
    </row>
    <row r="762" spans="1:16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147"/>
    </row>
    <row r="763" spans="1:16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147"/>
    </row>
    <row r="764" spans="1:16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147"/>
    </row>
    <row r="765" spans="1:16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147"/>
    </row>
    <row r="766" spans="1:16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147"/>
    </row>
    <row r="767" spans="1:16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147"/>
    </row>
    <row r="768" spans="1:16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147"/>
    </row>
    <row r="769" spans="1:16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147"/>
    </row>
    <row r="770" spans="1:16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147"/>
    </row>
    <row r="771" spans="1:16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147"/>
    </row>
    <row r="772" spans="1:16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147"/>
    </row>
    <row r="773" spans="1:16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147"/>
    </row>
    <row r="774" spans="1:16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147"/>
    </row>
    <row r="775" spans="1:16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147"/>
    </row>
    <row r="776" spans="1:16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147"/>
    </row>
    <row r="777" spans="1:16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147"/>
    </row>
    <row r="778" spans="1:16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147"/>
    </row>
    <row r="779" spans="1:16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147"/>
    </row>
    <row r="780" spans="1:16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147"/>
    </row>
    <row r="781" spans="1:16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147"/>
    </row>
    <row r="782" spans="1:16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147"/>
    </row>
    <row r="783" spans="1:16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147"/>
    </row>
    <row r="784" spans="1:16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147"/>
    </row>
    <row r="785" spans="1:16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147"/>
    </row>
    <row r="786" spans="1:16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147"/>
    </row>
    <row r="787" spans="1:16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147"/>
    </row>
    <row r="788" spans="1:16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147"/>
    </row>
    <row r="789" spans="1:16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147"/>
    </row>
    <row r="790" spans="1:16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147"/>
    </row>
    <row r="791" spans="1:16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147"/>
    </row>
    <row r="792" spans="1:16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147"/>
    </row>
    <row r="793" spans="1:16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147"/>
    </row>
    <row r="794" spans="1:16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147"/>
    </row>
    <row r="795" spans="1:16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147"/>
    </row>
    <row r="796" spans="1:16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147"/>
    </row>
    <row r="797" spans="1:16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147"/>
    </row>
    <row r="798" spans="1:16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147"/>
    </row>
    <row r="799" spans="1:16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147"/>
    </row>
    <row r="800" spans="1:16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147"/>
    </row>
    <row r="801" spans="1:16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147"/>
    </row>
    <row r="802" spans="1:16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147"/>
    </row>
    <row r="803" spans="1:16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147"/>
    </row>
    <row r="804" spans="1:16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147"/>
    </row>
    <row r="805" spans="1:16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147"/>
    </row>
    <row r="806" spans="1:16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147"/>
    </row>
    <row r="807" spans="1:16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147"/>
    </row>
    <row r="808" spans="1:16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147"/>
    </row>
    <row r="809" spans="1:16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147"/>
    </row>
    <row r="810" spans="1:16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147"/>
    </row>
    <row r="811" spans="1:16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147"/>
    </row>
    <row r="812" spans="1:16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147"/>
    </row>
    <row r="813" spans="1:16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147"/>
    </row>
    <row r="814" spans="1:16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147"/>
    </row>
    <row r="815" spans="1:16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147"/>
    </row>
    <row r="816" spans="1:16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147"/>
    </row>
    <row r="817" spans="1:16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147"/>
    </row>
    <row r="818" spans="1:16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147"/>
    </row>
    <row r="819" spans="1:16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147"/>
    </row>
    <row r="820" spans="1:16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147"/>
    </row>
    <row r="821" spans="1:16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147"/>
    </row>
    <row r="822" spans="1:16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147"/>
    </row>
    <row r="823" spans="1:16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147"/>
    </row>
    <row r="824" spans="1:16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147"/>
    </row>
    <row r="825" spans="1:16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147"/>
    </row>
    <row r="826" spans="1:16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147"/>
    </row>
    <row r="827" spans="1:16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147"/>
    </row>
    <row r="828" spans="1:16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147"/>
    </row>
    <row r="829" spans="1:16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147"/>
    </row>
    <row r="830" spans="1:16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147"/>
    </row>
    <row r="831" spans="1:16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147"/>
    </row>
    <row r="832" spans="1:16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147"/>
    </row>
    <row r="833" spans="1:16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147"/>
    </row>
    <row r="834" spans="1:16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147"/>
    </row>
    <row r="835" spans="1:16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147"/>
    </row>
    <row r="836" spans="1:16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147"/>
    </row>
    <row r="837" spans="1:16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147"/>
    </row>
    <row r="838" spans="1:16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147"/>
    </row>
    <row r="839" spans="1:16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147"/>
    </row>
    <row r="840" spans="1:16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147"/>
    </row>
    <row r="841" spans="1:16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147"/>
    </row>
    <row r="842" spans="1:16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147"/>
    </row>
    <row r="843" spans="1:16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147"/>
    </row>
    <row r="844" spans="1:16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147"/>
    </row>
    <row r="845" spans="1:16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147"/>
    </row>
    <row r="846" spans="1:16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147"/>
    </row>
    <row r="847" spans="1:16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147"/>
    </row>
    <row r="848" spans="1:16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147"/>
    </row>
    <row r="849" spans="1:16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147"/>
    </row>
    <row r="850" spans="1:16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147"/>
    </row>
    <row r="851" spans="1:16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147"/>
    </row>
    <row r="852" spans="1:16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147"/>
    </row>
    <row r="853" spans="1:16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147"/>
    </row>
    <row r="854" spans="1:16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147"/>
    </row>
    <row r="855" spans="1:16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147"/>
    </row>
    <row r="856" spans="1:16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147"/>
    </row>
    <row r="857" spans="1:16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147"/>
    </row>
    <row r="858" spans="1:16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147"/>
    </row>
    <row r="859" spans="1:16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147"/>
    </row>
    <row r="860" spans="1:16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147"/>
    </row>
    <row r="861" spans="1:16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147"/>
    </row>
    <row r="862" spans="1:16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147"/>
    </row>
    <row r="863" spans="1:16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147"/>
    </row>
    <row r="864" spans="1:16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147"/>
    </row>
    <row r="865" spans="1:16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147"/>
    </row>
    <row r="866" spans="1:16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147"/>
    </row>
    <row r="867" spans="1:16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147"/>
    </row>
    <row r="868" spans="1:16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147"/>
    </row>
    <row r="869" spans="1:16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147"/>
    </row>
    <row r="870" spans="1:16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147"/>
    </row>
    <row r="871" spans="1:16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147"/>
    </row>
    <row r="872" spans="1:16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147"/>
    </row>
    <row r="873" spans="1:16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147"/>
    </row>
    <row r="874" spans="1:16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147"/>
    </row>
    <row r="875" spans="1:16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147"/>
    </row>
    <row r="876" spans="1:16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147"/>
    </row>
    <row r="877" spans="1:16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147"/>
    </row>
    <row r="878" spans="1:16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147"/>
    </row>
    <row r="879" spans="1:16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147"/>
    </row>
    <row r="880" spans="1:16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147"/>
    </row>
    <row r="881" spans="1:16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147"/>
    </row>
    <row r="882" spans="1:16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147"/>
    </row>
    <row r="883" spans="1:16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147"/>
    </row>
    <row r="884" spans="1:16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147"/>
    </row>
    <row r="885" spans="1:16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147"/>
    </row>
    <row r="886" spans="1:16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147"/>
    </row>
    <row r="887" spans="1:16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147"/>
    </row>
    <row r="888" spans="1:16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147"/>
    </row>
    <row r="889" spans="1:16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147"/>
    </row>
    <row r="890" spans="1:16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147"/>
    </row>
    <row r="891" spans="1:16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147"/>
    </row>
    <row r="892" spans="1:16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147"/>
    </row>
    <row r="893" spans="1:16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147"/>
    </row>
    <row r="894" spans="1:16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147"/>
    </row>
    <row r="895" spans="1:16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147"/>
    </row>
    <row r="896" spans="1:16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147"/>
    </row>
    <row r="897" spans="1:16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147"/>
    </row>
    <row r="898" spans="1:16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147"/>
    </row>
    <row r="899" spans="1:16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147"/>
    </row>
    <row r="900" spans="1:16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147"/>
    </row>
    <row r="901" spans="1:16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147"/>
    </row>
    <row r="902" spans="1:16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147"/>
    </row>
    <row r="903" spans="1:16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147"/>
    </row>
    <row r="904" spans="1:16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147"/>
    </row>
    <row r="905" spans="1:16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147"/>
    </row>
    <row r="906" spans="1:16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147"/>
    </row>
    <row r="907" spans="1:16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147"/>
    </row>
    <row r="908" spans="1:16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147"/>
    </row>
    <row r="909" spans="1:16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147"/>
    </row>
    <row r="910" spans="1:16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147"/>
    </row>
    <row r="911" spans="1:16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147"/>
    </row>
    <row r="912" spans="1:16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147"/>
    </row>
    <row r="913" spans="1:16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147"/>
    </row>
    <row r="914" spans="1:16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147"/>
    </row>
    <row r="915" spans="1:16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147"/>
    </row>
    <row r="916" spans="1:16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147"/>
    </row>
    <row r="917" spans="1:16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147"/>
    </row>
    <row r="918" spans="1:16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147"/>
    </row>
    <row r="919" spans="1:16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147"/>
    </row>
    <row r="920" spans="1:16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147"/>
    </row>
    <row r="921" spans="1:16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147"/>
    </row>
    <row r="922" spans="1:16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147"/>
    </row>
    <row r="923" spans="1:16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147"/>
    </row>
    <row r="924" spans="1:16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147"/>
    </row>
    <row r="925" spans="1:16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147"/>
    </row>
    <row r="926" spans="1:16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147"/>
    </row>
    <row r="927" spans="1:16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147"/>
    </row>
    <row r="928" spans="1:16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147"/>
    </row>
    <row r="929" spans="1:16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147"/>
    </row>
    <row r="930" spans="1:16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147"/>
    </row>
    <row r="931" spans="1:16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147"/>
    </row>
    <row r="932" spans="1:16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147"/>
    </row>
    <row r="933" spans="1:16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147"/>
    </row>
    <row r="934" spans="1:16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147"/>
    </row>
    <row r="935" spans="1:16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147"/>
    </row>
    <row r="936" spans="1:16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147"/>
    </row>
    <row r="937" spans="1:16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147"/>
    </row>
    <row r="938" spans="1:16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147"/>
    </row>
    <row r="939" spans="1:16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147"/>
    </row>
    <row r="940" spans="1:16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147"/>
    </row>
    <row r="941" spans="1:16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147"/>
    </row>
    <row r="942" spans="1:16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147"/>
    </row>
    <row r="943" spans="1:16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147"/>
    </row>
    <row r="944" spans="1:16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147"/>
    </row>
    <row r="945" spans="1:16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147"/>
    </row>
    <row r="946" spans="1:16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147"/>
    </row>
    <row r="947" spans="1:16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147"/>
    </row>
    <row r="948" spans="1:16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147"/>
    </row>
    <row r="949" spans="1:16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147"/>
    </row>
    <row r="950" spans="1:16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147"/>
    </row>
    <row r="951" spans="1:16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147"/>
    </row>
    <row r="952" spans="1:16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147"/>
    </row>
    <row r="953" spans="1:16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147"/>
    </row>
    <row r="954" spans="1:16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147"/>
    </row>
    <row r="955" spans="1:16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147"/>
    </row>
    <row r="956" spans="1:16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147"/>
    </row>
    <row r="957" spans="1:16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147"/>
    </row>
    <row r="958" spans="1:16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147"/>
    </row>
    <row r="959" spans="1:16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147"/>
    </row>
    <row r="960" spans="1:16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147"/>
    </row>
    <row r="961" spans="1:16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147"/>
    </row>
    <row r="962" spans="1:16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147"/>
    </row>
    <row r="963" spans="1:16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147"/>
    </row>
    <row r="964" spans="1:16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147"/>
    </row>
    <row r="965" spans="1:16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147"/>
    </row>
    <row r="966" spans="1:16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147"/>
    </row>
    <row r="967" spans="1:16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147"/>
    </row>
    <row r="968" spans="1:16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147"/>
    </row>
    <row r="969" spans="1:16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147"/>
    </row>
    <row r="970" spans="1:16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147"/>
    </row>
    <row r="971" spans="1:16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147"/>
    </row>
    <row r="972" spans="1:16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147"/>
    </row>
    <row r="973" spans="1:16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147"/>
    </row>
    <row r="974" spans="1:16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147"/>
    </row>
    <row r="975" spans="1:16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147"/>
    </row>
    <row r="976" spans="1:16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147"/>
    </row>
    <row r="977" spans="1:16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147"/>
    </row>
    <row r="978" spans="1:16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147"/>
    </row>
    <row r="979" spans="1:16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147"/>
    </row>
    <row r="980" spans="1:16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147"/>
    </row>
    <row r="981" spans="1:16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147"/>
    </row>
    <row r="982" spans="1:16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147"/>
    </row>
    <row r="983" spans="1:16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147"/>
    </row>
    <row r="984" spans="1:16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147"/>
    </row>
    <row r="985" spans="1:16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147"/>
    </row>
    <row r="986" spans="1:16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147"/>
    </row>
    <row r="987" spans="1:16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147"/>
    </row>
    <row r="988" spans="1:16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147"/>
    </row>
    <row r="989" spans="1:16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147"/>
    </row>
    <row r="990" spans="1:16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147"/>
    </row>
    <row r="991" spans="1:16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147"/>
    </row>
    <row r="992" spans="1:16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147"/>
    </row>
    <row r="993" spans="1:16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147"/>
    </row>
    <row r="994" spans="1:16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147"/>
    </row>
    <row r="995" spans="1:16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147"/>
    </row>
    <row r="996" spans="1:16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147"/>
    </row>
    <row r="997" spans="1:16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147"/>
    </row>
    <row r="998" spans="1:16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147"/>
    </row>
    <row r="999" spans="1:16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147"/>
    </row>
    <row r="1000" spans="1:16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147"/>
    </row>
    <row r="1001" spans="1:16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147"/>
    </row>
    <row r="1002" spans="1:16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147"/>
    </row>
    <row r="1003" spans="1:16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147"/>
    </row>
    <row r="1004" spans="1:16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147"/>
    </row>
    <row r="1005" spans="1:16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147"/>
    </row>
    <row r="1006" spans="1:16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147"/>
    </row>
    <row r="1007" spans="1:16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147"/>
    </row>
    <row r="1008" spans="1:16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147"/>
    </row>
    <row r="1009" spans="1:16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147"/>
    </row>
    <row r="1010" spans="1:16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147"/>
    </row>
    <row r="1011" spans="1:16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147"/>
    </row>
    <row r="1012" spans="1:16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147"/>
    </row>
    <row r="1013" spans="1:16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147"/>
    </row>
    <row r="1014" spans="1:16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147"/>
    </row>
    <row r="1015" spans="1:16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147"/>
    </row>
    <row r="1016" spans="1:16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147"/>
    </row>
    <row r="1017" spans="1:16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147"/>
    </row>
    <row r="1018" spans="1:16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147"/>
    </row>
    <row r="1019" spans="1:16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147"/>
    </row>
    <row r="1020" spans="1:16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147"/>
    </row>
    <row r="1021" spans="1:16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147"/>
    </row>
    <row r="1022" spans="1:16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147"/>
    </row>
    <row r="1023" spans="1:16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147"/>
    </row>
    <row r="1024" spans="1:16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147"/>
    </row>
    <row r="1025" spans="1:16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147"/>
    </row>
    <row r="1026" spans="1:16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147"/>
    </row>
    <row r="1027" spans="1:16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147"/>
    </row>
    <row r="1028" spans="1:16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147"/>
    </row>
    <row r="1029" spans="1:16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147"/>
    </row>
    <row r="1030" spans="1:16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147"/>
    </row>
    <row r="1031" spans="1:16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147"/>
    </row>
    <row r="1032" spans="1:16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147"/>
    </row>
    <row r="1033" spans="1:16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147"/>
    </row>
    <row r="1034" spans="1:16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147"/>
    </row>
    <row r="1035" spans="1:16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147"/>
    </row>
    <row r="1036" spans="1:16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147"/>
    </row>
    <row r="1037" spans="1:16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147"/>
    </row>
    <row r="1038" spans="1:16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147"/>
    </row>
    <row r="1039" spans="1:16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147"/>
    </row>
    <row r="1040" spans="1:16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147"/>
    </row>
    <row r="1041" spans="1:16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147"/>
    </row>
    <row r="1042" spans="1:16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147"/>
    </row>
    <row r="1043" spans="1:16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147"/>
    </row>
    <row r="1044" spans="1:16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147"/>
    </row>
    <row r="1045" spans="1:16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147"/>
    </row>
    <row r="1046" spans="1:16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147"/>
    </row>
    <row r="1047" spans="1:16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147"/>
    </row>
    <row r="1048" spans="1:16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147"/>
    </row>
    <row r="1049" spans="1:16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147"/>
    </row>
    <row r="1050" spans="1:16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147"/>
    </row>
    <row r="1051" spans="1:16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147"/>
    </row>
    <row r="1052" spans="1:16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147"/>
    </row>
    <row r="1053" spans="1:16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147"/>
    </row>
    <row r="1054" spans="1:16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147"/>
    </row>
    <row r="1055" spans="1:16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147"/>
    </row>
    <row r="1056" spans="1:16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147"/>
    </row>
    <row r="1057" spans="1:16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147"/>
    </row>
    <row r="1058" spans="1:16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147"/>
    </row>
    <row r="1059" spans="1:16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147"/>
    </row>
    <row r="1060" spans="1:16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147"/>
    </row>
    <row r="1061" spans="1:16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147"/>
    </row>
    <row r="1062" spans="1:16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147"/>
    </row>
    <row r="1063" spans="1:16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147"/>
    </row>
    <row r="1064" spans="1:16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147"/>
    </row>
    <row r="1065" spans="1:16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147"/>
    </row>
    <row r="1066" spans="1:16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147"/>
    </row>
    <row r="1067" spans="1:16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147"/>
    </row>
    <row r="1068" spans="1:16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147"/>
    </row>
    <row r="1069" spans="1:16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147"/>
    </row>
    <row r="1070" spans="1:16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147"/>
    </row>
    <row r="1071" spans="1:16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147"/>
    </row>
    <row r="1072" spans="1:16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147"/>
    </row>
    <row r="1073" spans="1:16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147"/>
    </row>
    <row r="1074" spans="1:16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147"/>
    </row>
    <row r="1075" spans="1:16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147"/>
    </row>
    <row r="1076" spans="1:16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147"/>
    </row>
    <row r="1077" spans="1:16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147"/>
    </row>
    <row r="1078" spans="1:16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147"/>
    </row>
    <row r="1079" spans="1:16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147"/>
    </row>
    <row r="1080" spans="1:16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147"/>
    </row>
    <row r="1081" spans="1:16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147"/>
    </row>
    <row r="1082" spans="1:16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147"/>
    </row>
    <row r="1083" spans="1:16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147"/>
    </row>
    <row r="1084" spans="1:16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147"/>
    </row>
    <row r="1085" spans="1:16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147"/>
    </row>
    <row r="1086" spans="1:16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147"/>
    </row>
    <row r="1087" spans="1:16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147"/>
    </row>
    <row r="1088" spans="1:16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147"/>
    </row>
    <row r="1089" spans="1:16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147"/>
    </row>
    <row r="1090" spans="1:16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147"/>
    </row>
    <row r="1091" spans="1:16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147"/>
    </row>
    <row r="1092" spans="1:16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147"/>
    </row>
    <row r="1093" spans="1:16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147"/>
    </row>
    <row r="1094" spans="1:16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147"/>
    </row>
    <row r="1095" spans="1:16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147"/>
    </row>
    <row r="1096" spans="1:16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147"/>
    </row>
    <row r="1097" spans="1:16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147"/>
    </row>
    <row r="1098" spans="1:16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147"/>
    </row>
    <row r="1099" spans="1:16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147"/>
    </row>
    <row r="1100" spans="1:16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147"/>
    </row>
    <row r="1101" spans="1:16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147"/>
    </row>
    <row r="1102" spans="1:16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147"/>
    </row>
    <row r="1103" spans="1:16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147"/>
    </row>
    <row r="1104" spans="1:16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147"/>
    </row>
    <row r="1105" spans="1:16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147"/>
    </row>
    <row r="1106" spans="1:16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147"/>
    </row>
    <row r="1107" spans="1:16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147"/>
    </row>
    <row r="1108" spans="1:16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147"/>
    </row>
    <row r="1109" spans="1:16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147"/>
    </row>
    <row r="1110" spans="1:16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147"/>
    </row>
    <row r="1111" spans="1:16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147"/>
    </row>
    <row r="1112" spans="1:16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147"/>
    </row>
    <row r="1113" spans="1:16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147"/>
    </row>
    <row r="1114" spans="1:16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147"/>
    </row>
    <row r="1115" spans="1:16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147"/>
    </row>
    <row r="1116" spans="1:16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147"/>
    </row>
    <row r="1117" spans="1:16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147"/>
    </row>
    <row r="1118" spans="1:16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147"/>
    </row>
    <row r="1119" spans="1:16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147"/>
    </row>
    <row r="1120" spans="1:16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147"/>
    </row>
    <row r="1121" spans="1:16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147"/>
    </row>
    <row r="1122" spans="1:16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147"/>
    </row>
    <row r="1123" spans="1:16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147"/>
    </row>
    <row r="1124" spans="1:16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147"/>
    </row>
    <row r="1125" spans="1:16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147"/>
    </row>
    <row r="1126" spans="1:16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147"/>
    </row>
    <row r="1127" spans="1:16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147"/>
    </row>
    <row r="1128" spans="1:16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147"/>
    </row>
    <row r="1129" spans="1:16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147"/>
    </row>
    <row r="1130" spans="1:16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147"/>
    </row>
    <row r="1131" spans="1:16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147"/>
    </row>
    <row r="1132" spans="1:16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147"/>
    </row>
    <row r="1133" spans="1:16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147"/>
    </row>
    <row r="1134" spans="1:16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147"/>
    </row>
    <row r="1135" spans="1:16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147"/>
    </row>
    <row r="1136" spans="1:16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147"/>
    </row>
    <row r="1137" spans="1:16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147"/>
    </row>
    <row r="1138" spans="1:16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147"/>
    </row>
    <row r="1139" spans="1:16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147"/>
    </row>
    <row r="1140" spans="1:16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147"/>
    </row>
    <row r="1141" spans="1:16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147"/>
    </row>
    <row r="1142" spans="1:16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147"/>
    </row>
    <row r="1143" spans="1:16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147"/>
    </row>
    <row r="1144" spans="1:16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147"/>
    </row>
    <row r="1145" spans="1:16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147"/>
    </row>
    <row r="1146" spans="1:16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147"/>
    </row>
    <row r="1147" spans="1:16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147"/>
    </row>
    <row r="1148" spans="1:16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147"/>
    </row>
    <row r="1149" spans="1:16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147"/>
    </row>
    <row r="1150" spans="1:16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147"/>
    </row>
    <row r="1151" spans="1:16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147"/>
    </row>
    <row r="1152" spans="1:16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147"/>
    </row>
    <row r="1153" spans="1:16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147"/>
    </row>
    <row r="1154" spans="1:16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147"/>
    </row>
    <row r="1155" spans="1:16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147"/>
    </row>
    <row r="1156" spans="1:16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147"/>
    </row>
    <row r="1157" spans="1:16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147"/>
    </row>
    <row r="1158" spans="1:16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147"/>
    </row>
    <row r="1159" spans="1:16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147"/>
    </row>
    <row r="1160" spans="1:16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147"/>
    </row>
    <row r="1161" spans="1:16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147"/>
    </row>
    <row r="1162" spans="1:16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147"/>
    </row>
    <row r="1163" spans="1:16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147"/>
    </row>
    <row r="1164" spans="1:16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147"/>
    </row>
    <row r="1165" spans="1:16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147"/>
    </row>
    <row r="1166" spans="1:16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147"/>
    </row>
    <row r="1167" spans="1:16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147"/>
    </row>
    <row r="1168" spans="1:16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147"/>
    </row>
    <row r="1169" spans="1:16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147"/>
    </row>
    <row r="1170" spans="1:16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147"/>
    </row>
    <row r="1171" spans="1:16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147"/>
    </row>
    <row r="1172" spans="1:16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147"/>
    </row>
    <row r="1173" spans="1:16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147"/>
    </row>
    <row r="1174" spans="1:16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147"/>
    </row>
    <row r="1175" spans="1:16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147"/>
    </row>
    <row r="1176" spans="1:16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147"/>
    </row>
    <row r="1177" spans="1:16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147"/>
    </row>
    <row r="1178" spans="1:16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147"/>
    </row>
    <row r="1179" spans="1:16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147"/>
    </row>
    <row r="1180" spans="1:16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147"/>
    </row>
    <row r="1181" spans="1:16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147"/>
    </row>
    <row r="1182" spans="1:16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147"/>
    </row>
    <row r="1183" spans="1:16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147"/>
    </row>
    <row r="1184" spans="1:16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147"/>
    </row>
    <row r="1185" spans="1:16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147"/>
    </row>
    <row r="1186" spans="1:16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147"/>
    </row>
    <row r="1187" spans="1:16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147"/>
    </row>
    <row r="1188" spans="1:16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147"/>
    </row>
    <row r="1189" spans="1:16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147"/>
    </row>
    <row r="1190" spans="1:16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147"/>
    </row>
    <row r="1191" spans="1:16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147"/>
    </row>
    <row r="1192" spans="1:16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147"/>
    </row>
    <row r="1193" spans="1:16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147"/>
    </row>
    <row r="1194" spans="1:16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147"/>
    </row>
    <row r="1195" spans="1:16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147"/>
    </row>
    <row r="1196" spans="1:16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147"/>
    </row>
    <row r="1197" spans="1:16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147"/>
    </row>
    <row r="1198" spans="1:16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147"/>
    </row>
    <row r="1199" spans="1:16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147"/>
    </row>
    <row r="1200" spans="1:16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147"/>
    </row>
    <row r="1201" spans="1:16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147"/>
    </row>
    <row r="1202" spans="1:16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147"/>
    </row>
    <row r="1203" spans="1:16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147"/>
    </row>
    <row r="1204" spans="1:16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147"/>
    </row>
    <row r="1205" spans="1:16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147"/>
    </row>
    <row r="1206" spans="1:16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147"/>
    </row>
    <row r="1207" spans="1:16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147"/>
    </row>
    <row r="1208" spans="1:16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147"/>
    </row>
    <row r="1209" spans="1:16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147"/>
    </row>
    <row r="1210" spans="1:16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147"/>
    </row>
    <row r="1211" spans="1:16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147"/>
    </row>
    <row r="1212" spans="1:16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147"/>
    </row>
    <row r="1213" spans="1:16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147"/>
    </row>
    <row r="1214" spans="1:16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147"/>
    </row>
    <row r="1215" spans="1:16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147"/>
    </row>
    <row r="1216" spans="1:16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147"/>
    </row>
    <row r="1217" spans="1:16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147"/>
    </row>
    <row r="1218" spans="1:16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147"/>
    </row>
    <row r="1219" spans="1:16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147"/>
    </row>
    <row r="1220" spans="1:16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147"/>
    </row>
    <row r="1221" spans="1:16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147"/>
    </row>
    <row r="1222" spans="1:16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147"/>
    </row>
    <row r="1223" spans="1:16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147"/>
    </row>
    <row r="1224" spans="1:16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147"/>
    </row>
    <row r="1225" spans="1:16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147"/>
    </row>
    <row r="1226" spans="1:16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147"/>
    </row>
    <row r="1227" spans="1:16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147"/>
    </row>
    <row r="1228" spans="1:16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147"/>
    </row>
    <row r="1229" spans="1:16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147"/>
    </row>
    <row r="1230" spans="1:16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147"/>
    </row>
    <row r="1231" spans="1:16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147"/>
    </row>
    <row r="1232" spans="1:16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147"/>
    </row>
    <row r="1233" spans="1:16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147"/>
    </row>
    <row r="1234" spans="1:16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147"/>
    </row>
    <row r="1235" spans="1:16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147"/>
    </row>
    <row r="1236" spans="1:16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147"/>
    </row>
    <row r="1237" spans="1:16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147"/>
    </row>
    <row r="1238" spans="1:16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147"/>
    </row>
    <row r="1239" spans="1:16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147"/>
    </row>
    <row r="1240" spans="1:16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147"/>
    </row>
    <row r="1241" spans="1:16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147"/>
    </row>
    <row r="1242" spans="1:16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147"/>
    </row>
    <row r="1243" spans="1:16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147"/>
    </row>
    <row r="1244" spans="1:16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147"/>
    </row>
    <row r="1245" spans="1:16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147"/>
    </row>
    <row r="1246" spans="1:16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147"/>
    </row>
    <row r="1247" spans="1:16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147"/>
    </row>
    <row r="1248" spans="1:16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147"/>
    </row>
    <row r="1249" spans="1:16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147"/>
    </row>
    <row r="1250" spans="1:16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147"/>
    </row>
    <row r="1251" spans="1:16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147"/>
    </row>
    <row r="1252" spans="1:16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147"/>
    </row>
    <row r="1253" spans="1:16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147"/>
    </row>
    <row r="1254" spans="1:16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147"/>
    </row>
    <row r="1255" spans="1:16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147"/>
    </row>
    <row r="1256" spans="1:16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147"/>
    </row>
    <row r="1257" spans="1:16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147"/>
    </row>
    <row r="1258" spans="1:16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147"/>
    </row>
    <row r="1259" spans="1:16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147"/>
    </row>
    <row r="1260" spans="1:16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147"/>
    </row>
    <row r="1261" spans="1:16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147"/>
    </row>
    <row r="1262" spans="1:16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147"/>
    </row>
    <row r="1263" spans="1:16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147"/>
    </row>
    <row r="1264" spans="1:16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147"/>
    </row>
    <row r="1265" spans="1:16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147"/>
    </row>
    <row r="1266" spans="1:16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147"/>
    </row>
    <row r="1267" spans="1:16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147"/>
    </row>
    <row r="1268" spans="1:16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147"/>
    </row>
    <row r="1269" spans="1:16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147"/>
    </row>
    <row r="1270" spans="1:16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147"/>
    </row>
    <row r="1271" spans="1:16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147"/>
    </row>
    <row r="1272" spans="1:16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147"/>
    </row>
    <row r="1273" spans="1:16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147"/>
    </row>
    <row r="1274" spans="1:16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147"/>
    </row>
    <row r="1275" spans="1:16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147"/>
    </row>
    <row r="1276" spans="1:16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147"/>
    </row>
    <row r="1277" spans="1:16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147"/>
    </row>
    <row r="1278" spans="1:16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147"/>
    </row>
    <row r="1279" spans="1:16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147"/>
    </row>
    <row r="1280" spans="1:16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147"/>
    </row>
    <row r="1281" spans="1:16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147"/>
    </row>
    <row r="1282" spans="1:16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147"/>
    </row>
    <row r="1283" spans="1:16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147"/>
    </row>
    <row r="1284" spans="1:16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147"/>
    </row>
    <row r="1285" spans="1:16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147"/>
    </row>
    <row r="1286" spans="1:16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147"/>
    </row>
    <row r="1287" spans="1:16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147"/>
    </row>
    <row r="1288" spans="1:16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147"/>
    </row>
    <row r="1289" spans="1:16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147"/>
    </row>
    <row r="1290" spans="1:16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147"/>
    </row>
    <row r="1291" spans="1:16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147"/>
    </row>
    <row r="1292" spans="1:16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147"/>
    </row>
    <row r="1293" spans="1:16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147"/>
    </row>
    <row r="1294" spans="1:16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147"/>
    </row>
    <row r="1295" spans="1:16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147"/>
    </row>
    <row r="1296" spans="1:16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147"/>
    </row>
    <row r="1297" spans="1:16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147"/>
    </row>
    <row r="1298" spans="1:16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147"/>
    </row>
    <row r="1299" spans="1:16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147"/>
    </row>
    <row r="1300" spans="1:16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147"/>
    </row>
    <row r="1301" spans="1:16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147"/>
    </row>
    <row r="1302" spans="1:16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147"/>
    </row>
    <row r="1303" spans="1:16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147"/>
    </row>
    <row r="1304" spans="1:16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147"/>
    </row>
    <row r="1305" spans="1:16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147"/>
    </row>
    <row r="1306" spans="1:16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147"/>
    </row>
    <row r="1307" spans="1:16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147"/>
    </row>
    <row r="1308" spans="1:16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147"/>
    </row>
    <row r="1309" spans="1:16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147"/>
    </row>
    <row r="1310" spans="1:16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147"/>
    </row>
    <row r="1311" spans="1:16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147"/>
    </row>
    <row r="1312" spans="1:16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147"/>
    </row>
    <row r="1313" spans="1:16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147"/>
    </row>
    <row r="1314" spans="1:16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147"/>
    </row>
    <row r="1315" spans="1:16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147"/>
    </row>
    <row r="1316" spans="1:16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147"/>
    </row>
    <row r="1317" spans="1:16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147"/>
    </row>
    <row r="1318" spans="1:16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147"/>
    </row>
    <row r="1319" spans="1:16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147"/>
    </row>
    <row r="1320" spans="1:16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147"/>
    </row>
    <row r="1321" spans="1:16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147"/>
    </row>
    <row r="1322" spans="1:16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147"/>
    </row>
    <row r="1323" spans="1:16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147"/>
    </row>
    <row r="1324" spans="1:16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147"/>
    </row>
    <row r="1325" spans="1:16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147"/>
    </row>
    <row r="1326" spans="1:16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147"/>
    </row>
    <row r="1327" spans="1:16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147"/>
    </row>
    <row r="1328" spans="1:16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147"/>
    </row>
    <row r="1329" spans="1:16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147"/>
    </row>
    <row r="1330" spans="1:16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147"/>
    </row>
    <row r="1331" spans="1:16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147"/>
    </row>
    <row r="1332" spans="1:16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147"/>
    </row>
    <row r="1333" spans="1:16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147"/>
    </row>
    <row r="1334" spans="1:16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147"/>
    </row>
    <row r="1335" spans="1:16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147"/>
    </row>
    <row r="1336" spans="1:16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147"/>
    </row>
    <row r="1337" spans="1:16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147"/>
    </row>
    <row r="1338" spans="1:16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147"/>
    </row>
    <row r="1339" spans="1:16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147"/>
    </row>
    <row r="1340" spans="1:16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147"/>
    </row>
    <row r="1341" spans="1:16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147"/>
    </row>
    <row r="1342" spans="1:16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147"/>
    </row>
    <row r="1343" spans="1:16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147"/>
    </row>
    <row r="1344" spans="1:16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147"/>
    </row>
    <row r="1345" spans="1:16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147"/>
    </row>
    <row r="1346" spans="1:16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147"/>
    </row>
    <row r="1347" spans="1:16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147"/>
    </row>
    <row r="1348" spans="1:16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147"/>
    </row>
    <row r="1349" spans="1:16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147"/>
    </row>
    <row r="1350" spans="1:16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147"/>
    </row>
    <row r="1351" spans="1:16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147"/>
    </row>
    <row r="1352" spans="1:16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147"/>
    </row>
    <row r="1353" spans="1:16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147"/>
    </row>
    <row r="1354" spans="1:16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147"/>
    </row>
    <row r="1355" spans="1:16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147"/>
    </row>
    <row r="1356" spans="1:16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147"/>
    </row>
    <row r="1357" spans="1:16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147"/>
    </row>
    <row r="1358" spans="1:16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147"/>
    </row>
    <row r="1359" spans="1:16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147"/>
    </row>
    <row r="1360" spans="1:16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147"/>
    </row>
    <row r="1361" spans="1:16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147"/>
    </row>
    <row r="1362" spans="1:16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147"/>
    </row>
    <row r="1363" spans="1:16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147"/>
    </row>
    <row r="1364" spans="1:16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147"/>
    </row>
    <row r="1365" spans="1:16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147"/>
    </row>
    <row r="1366" spans="1:16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147"/>
    </row>
    <row r="1367" spans="1:16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147"/>
    </row>
    <row r="1368" spans="1:16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147"/>
    </row>
    <row r="1369" spans="1:16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147"/>
    </row>
    <row r="1370" spans="1:16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147"/>
    </row>
    <row r="1371" spans="1:16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147"/>
    </row>
    <row r="1372" spans="1:16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147"/>
    </row>
    <row r="1373" spans="1:16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147"/>
    </row>
    <row r="1374" spans="1:16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147"/>
    </row>
    <row r="1375" spans="1:16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147"/>
    </row>
    <row r="1376" spans="1:16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147"/>
    </row>
    <row r="1377" spans="1:16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147"/>
    </row>
    <row r="1378" spans="1:16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147"/>
    </row>
    <row r="1379" spans="1:16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147"/>
    </row>
    <row r="1380" spans="1:16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147"/>
    </row>
    <row r="1381" spans="1:16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147"/>
    </row>
    <row r="1382" spans="1:16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147"/>
    </row>
    <row r="1383" spans="1:16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147"/>
    </row>
    <row r="1384" spans="1:16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147"/>
    </row>
    <row r="1385" spans="1:16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147"/>
    </row>
    <row r="1386" spans="1:16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147"/>
    </row>
    <row r="1387" spans="1:16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147"/>
    </row>
    <row r="1388" spans="1:16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147"/>
    </row>
    <row r="1389" spans="1:16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147"/>
    </row>
    <row r="1390" spans="1:16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147"/>
    </row>
    <row r="1391" spans="1:16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147"/>
    </row>
    <row r="1392" spans="1:16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147"/>
    </row>
    <row r="1393" spans="1:16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147"/>
    </row>
    <row r="1394" spans="1:16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147"/>
    </row>
    <row r="1395" spans="1:16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147"/>
    </row>
    <row r="1396" spans="1:16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147"/>
    </row>
    <row r="1397" spans="1:16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147"/>
    </row>
    <row r="1398" spans="1:16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147"/>
    </row>
    <row r="1399" spans="1:16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147"/>
    </row>
    <row r="1400" spans="1:16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147"/>
    </row>
    <row r="1401" spans="1:16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147"/>
    </row>
    <row r="1402" spans="1:16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147"/>
    </row>
    <row r="1403" spans="1:16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147"/>
    </row>
    <row r="1404" spans="1:16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147"/>
    </row>
    <row r="1405" spans="1:16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147"/>
    </row>
    <row r="1406" spans="1:16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147"/>
    </row>
    <row r="1407" spans="1:16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147"/>
    </row>
    <row r="1408" spans="1:16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147"/>
    </row>
    <row r="1409" spans="1:16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147"/>
    </row>
    <row r="1410" spans="1:16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147"/>
    </row>
    <row r="1411" spans="1:16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147"/>
    </row>
    <row r="1412" spans="1:16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147"/>
    </row>
    <row r="1413" spans="1:16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147"/>
    </row>
    <row r="1414" spans="1:16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147"/>
    </row>
    <row r="1415" spans="1:16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147"/>
    </row>
    <row r="1416" spans="1:16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147"/>
    </row>
    <row r="1417" spans="1:16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147"/>
    </row>
    <row r="1418" spans="1:16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147"/>
    </row>
    <row r="1419" spans="1:16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147"/>
    </row>
    <row r="1420" spans="1:16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147"/>
    </row>
    <row r="1421" spans="1:16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147"/>
    </row>
    <row r="1422" spans="1:16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147"/>
    </row>
    <row r="1423" spans="1:16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147"/>
    </row>
    <row r="1424" spans="1:16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147"/>
    </row>
    <row r="1425" spans="1:16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147"/>
    </row>
    <row r="1426" spans="1:16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147"/>
    </row>
    <row r="1427" spans="1:16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147"/>
    </row>
    <row r="1428" spans="1:16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147"/>
    </row>
    <row r="1429" spans="1:16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147"/>
    </row>
    <row r="1430" spans="1:16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147"/>
    </row>
    <row r="1431" spans="1:16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147"/>
    </row>
    <row r="1432" spans="1:16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147"/>
    </row>
    <row r="1433" spans="1:16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147"/>
    </row>
    <row r="1434" spans="1:16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147"/>
    </row>
    <row r="1435" spans="1:16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147"/>
    </row>
    <row r="1436" spans="1:16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147"/>
    </row>
    <row r="1437" spans="1:16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147"/>
    </row>
    <row r="1438" spans="1:16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147"/>
    </row>
    <row r="1439" spans="1:16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147"/>
    </row>
    <row r="1440" spans="1:16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147"/>
    </row>
    <row r="1441" spans="1:16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147"/>
    </row>
    <row r="1442" spans="1:16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147"/>
    </row>
    <row r="1443" spans="1:16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147"/>
    </row>
    <row r="1444" spans="1:16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147"/>
    </row>
    <row r="1445" spans="1:16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147"/>
    </row>
    <row r="1446" spans="1:16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147"/>
    </row>
    <row r="1447" spans="1:16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147"/>
    </row>
    <row r="1448" spans="1:16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147"/>
    </row>
    <row r="1449" spans="1:16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147"/>
    </row>
    <row r="1450" spans="1:16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147"/>
    </row>
    <row r="1451" spans="1:16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147"/>
    </row>
    <row r="1452" spans="1:16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147"/>
    </row>
    <row r="1453" spans="1:16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147"/>
    </row>
    <row r="1454" spans="1:16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147"/>
    </row>
    <row r="1455" spans="1:16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147"/>
    </row>
    <row r="1456" spans="1:16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147"/>
    </row>
    <row r="1457" spans="1:16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147"/>
    </row>
    <row r="1458" spans="1:16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147"/>
    </row>
    <row r="1459" spans="1:16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147"/>
    </row>
    <row r="1460" spans="1:16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147"/>
    </row>
    <row r="1461" spans="1:16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147"/>
    </row>
    <row r="1462" spans="1:16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147"/>
    </row>
    <row r="1463" spans="1:16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147"/>
    </row>
    <row r="1464" spans="1:16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147"/>
    </row>
    <row r="1465" spans="1:16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147"/>
    </row>
    <row r="1466" spans="1:16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147"/>
    </row>
    <row r="1467" spans="1:16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147"/>
    </row>
    <row r="1468" spans="1:16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147"/>
    </row>
    <row r="1469" spans="1:16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147"/>
    </row>
    <row r="1470" spans="1:16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147"/>
    </row>
    <row r="1471" spans="1:16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147"/>
    </row>
    <row r="1472" spans="1:16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147"/>
    </row>
    <row r="1473" spans="1:16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147"/>
    </row>
    <row r="1474" spans="1:16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147"/>
    </row>
    <row r="1475" spans="1:16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147"/>
    </row>
    <row r="1476" spans="1:16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147"/>
    </row>
    <row r="1477" spans="1:16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147"/>
    </row>
    <row r="1478" spans="1:16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147"/>
    </row>
    <row r="1479" spans="1:16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147"/>
    </row>
    <row r="1480" spans="1:16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147"/>
    </row>
    <row r="1481" spans="1:16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147"/>
    </row>
    <row r="1482" spans="1:16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147"/>
    </row>
    <row r="1483" spans="1:16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147"/>
    </row>
    <row r="1484" spans="1:16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147"/>
    </row>
    <row r="1485" spans="1:16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147"/>
    </row>
    <row r="1486" spans="1:16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147"/>
    </row>
    <row r="1487" spans="1:16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147"/>
    </row>
    <row r="1488" spans="1:16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147"/>
    </row>
    <row r="1489" spans="1:16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147"/>
    </row>
    <row r="1490" spans="1:16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147"/>
    </row>
    <row r="1491" spans="1:16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147"/>
    </row>
    <row r="1492" spans="1:16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147"/>
    </row>
    <row r="1493" spans="1:16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147"/>
    </row>
    <row r="1494" spans="1:16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147"/>
    </row>
    <row r="1495" spans="1:16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147"/>
    </row>
    <row r="1496" spans="1:16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147"/>
    </row>
    <row r="1497" spans="1:16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147"/>
    </row>
    <row r="1498" spans="1:16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147"/>
    </row>
    <row r="1499" spans="1:16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147"/>
    </row>
    <row r="1500" spans="1:16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147"/>
    </row>
    <row r="1501" spans="1:16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147"/>
    </row>
    <row r="1502" spans="1:16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147"/>
    </row>
    <row r="1503" spans="1:16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147"/>
    </row>
    <row r="1504" spans="1:16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147"/>
    </row>
    <row r="1505" spans="1:16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147"/>
    </row>
    <row r="1506" spans="1:16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147"/>
    </row>
    <row r="1507" spans="1:16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147"/>
    </row>
    <row r="1508" spans="1:16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147"/>
    </row>
    <row r="1509" spans="1:16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147"/>
    </row>
    <row r="1510" spans="1:16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147"/>
    </row>
    <row r="1511" spans="1:16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147"/>
    </row>
    <row r="1512" spans="1:16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147"/>
    </row>
    <row r="1513" spans="1:16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147"/>
    </row>
    <row r="1514" spans="1:16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147"/>
    </row>
    <row r="1515" spans="1:16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147"/>
    </row>
    <row r="1516" spans="1:16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147"/>
    </row>
    <row r="1517" spans="1:16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147"/>
    </row>
    <row r="1518" spans="1:16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147"/>
    </row>
    <row r="1519" spans="1:16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147"/>
    </row>
    <row r="1520" spans="1:16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147"/>
    </row>
    <row r="1521" spans="1:16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147"/>
    </row>
    <row r="1522" spans="1:16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147"/>
    </row>
    <row r="1523" spans="1:16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147"/>
    </row>
    <row r="1524" spans="1:16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147"/>
    </row>
    <row r="1525" spans="1:16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147"/>
    </row>
    <row r="1526" spans="1:16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147"/>
    </row>
    <row r="1527" spans="1:16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147"/>
    </row>
    <row r="1528" spans="1:16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147"/>
    </row>
    <row r="1529" spans="1:16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147"/>
    </row>
    <row r="1530" spans="1:16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147"/>
    </row>
    <row r="1531" spans="1:16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147"/>
    </row>
    <row r="1532" spans="1:16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147"/>
    </row>
    <row r="1533" spans="1:16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147"/>
    </row>
    <row r="1534" spans="1:16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147"/>
    </row>
    <row r="1535" spans="1:16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147"/>
    </row>
    <row r="1536" spans="1:16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147"/>
    </row>
    <row r="1537" spans="1:16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147"/>
    </row>
    <row r="1538" spans="1:16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147"/>
    </row>
    <row r="1539" spans="1:16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147"/>
    </row>
    <row r="1540" spans="1:16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147"/>
    </row>
    <row r="1541" spans="1:16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147"/>
    </row>
    <row r="1542" spans="1:16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147"/>
    </row>
    <row r="1543" spans="1:16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147"/>
    </row>
    <row r="1544" spans="1:16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147"/>
    </row>
    <row r="1545" spans="1:16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147"/>
    </row>
    <row r="1546" spans="1:16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147"/>
    </row>
    <row r="1547" spans="1:16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147"/>
    </row>
    <row r="1548" spans="1:16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147"/>
    </row>
    <row r="1549" spans="1:16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147"/>
    </row>
    <row r="1550" spans="1:16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147"/>
    </row>
    <row r="1551" spans="1:16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147"/>
    </row>
    <row r="1552" spans="1:16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147"/>
    </row>
    <row r="1553" spans="1:16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147"/>
    </row>
    <row r="1554" spans="1:16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147"/>
    </row>
    <row r="1555" spans="1:16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147"/>
    </row>
    <row r="1556" spans="1:16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147"/>
    </row>
    <row r="1557" spans="1:16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147"/>
    </row>
    <row r="1558" spans="1:16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147"/>
    </row>
    <row r="1559" spans="1:16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147"/>
    </row>
    <row r="1560" spans="1:16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147"/>
    </row>
    <row r="1561" spans="1:16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147"/>
    </row>
    <row r="1562" spans="1:16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147"/>
    </row>
    <row r="1563" spans="1:16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147"/>
    </row>
    <row r="1564" spans="1:16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147"/>
    </row>
    <row r="1565" spans="1:16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147"/>
    </row>
    <row r="1566" spans="1:16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147"/>
    </row>
    <row r="1567" spans="1:16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147"/>
    </row>
    <row r="1568" spans="1:16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147"/>
    </row>
    <row r="1569" spans="1:16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147"/>
    </row>
    <row r="1570" spans="1:16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147"/>
    </row>
    <row r="1571" spans="1:16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147"/>
    </row>
    <row r="1572" spans="1:16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147"/>
    </row>
    <row r="1573" spans="1:16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147"/>
    </row>
    <row r="1574" spans="1:16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147"/>
    </row>
    <row r="1575" spans="1:16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147"/>
    </row>
    <row r="1576" spans="1:16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147"/>
    </row>
    <row r="1577" spans="1:16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147"/>
    </row>
    <row r="1578" spans="1:16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147"/>
    </row>
    <row r="1579" spans="1:16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147"/>
    </row>
    <row r="1580" spans="1:16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147"/>
    </row>
    <row r="1581" spans="1:16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147"/>
    </row>
    <row r="1582" spans="1:16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147"/>
    </row>
    <row r="1583" spans="1:16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147"/>
    </row>
    <row r="1584" spans="1:16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147"/>
    </row>
    <row r="1585" spans="1:16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147"/>
    </row>
    <row r="1586" spans="1:16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147"/>
    </row>
    <row r="1587" spans="1:16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147"/>
    </row>
    <row r="1588" spans="1:16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147"/>
    </row>
    <row r="1589" spans="1:16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147"/>
    </row>
    <row r="1590" spans="1:16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147"/>
    </row>
    <row r="1591" spans="1:16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147"/>
    </row>
    <row r="1592" spans="1:16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147"/>
    </row>
    <row r="1593" spans="1:16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147"/>
    </row>
    <row r="1594" spans="1:16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147"/>
    </row>
    <row r="1595" spans="1:16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147"/>
    </row>
    <row r="1596" spans="1:16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147"/>
    </row>
    <row r="1597" spans="1:16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147"/>
    </row>
    <row r="1598" spans="1:16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147"/>
    </row>
    <row r="1599" spans="1:16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147"/>
    </row>
    <row r="1600" spans="1:16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147"/>
    </row>
    <row r="1601" spans="1:16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147"/>
    </row>
    <row r="1602" spans="1:16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147"/>
    </row>
    <row r="1603" spans="1:16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147"/>
    </row>
    <row r="1604" spans="1:16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147"/>
    </row>
    <row r="1605" spans="1:16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147"/>
    </row>
    <row r="1606" spans="1:16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147"/>
    </row>
    <row r="1607" spans="1:16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147"/>
    </row>
    <row r="1608" spans="1:16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147"/>
    </row>
    <row r="1609" spans="1:16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147"/>
    </row>
    <row r="1610" spans="1:16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147"/>
    </row>
    <row r="1611" spans="1:16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147"/>
    </row>
    <row r="1612" spans="1:16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147"/>
    </row>
    <row r="1613" spans="1:16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147"/>
    </row>
    <row r="1614" spans="1:16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147"/>
    </row>
    <row r="1615" spans="1:16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147"/>
    </row>
    <row r="1616" spans="1:16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147"/>
    </row>
    <row r="1617" spans="1:16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147"/>
    </row>
    <row r="1618" spans="1:16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147"/>
    </row>
    <row r="1619" spans="1:16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147"/>
    </row>
    <row r="1620" spans="1:16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147"/>
    </row>
    <row r="1621" spans="1:16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147"/>
    </row>
    <row r="1622" spans="1:16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147"/>
    </row>
    <row r="1623" spans="1:16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147"/>
    </row>
    <row r="1624" spans="1:16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147"/>
    </row>
    <row r="1625" spans="1:16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147"/>
    </row>
    <row r="1626" spans="1:16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147"/>
    </row>
    <row r="1627" spans="1:16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147"/>
    </row>
    <row r="1628" spans="1:16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147"/>
    </row>
    <row r="1629" spans="1:16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147"/>
    </row>
    <row r="1630" spans="1:16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147"/>
    </row>
    <row r="1631" spans="1:16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147"/>
    </row>
    <row r="1632" spans="1:16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147"/>
    </row>
    <row r="1633" spans="1:16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147"/>
    </row>
    <row r="1634" spans="1:16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147"/>
    </row>
    <row r="1635" spans="1:16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147"/>
    </row>
    <row r="1636" spans="1:16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147"/>
    </row>
    <row r="1637" spans="1:16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147"/>
    </row>
    <row r="1638" spans="1:16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147"/>
    </row>
    <row r="1639" spans="1:16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147"/>
    </row>
    <row r="1640" spans="1:16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147"/>
    </row>
    <row r="1641" spans="1:16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147"/>
    </row>
    <row r="1642" spans="1:16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147"/>
    </row>
    <row r="1643" spans="1:16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147"/>
    </row>
    <row r="1644" spans="1:16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147"/>
    </row>
    <row r="1645" spans="1:16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147"/>
    </row>
    <row r="1646" spans="1:16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147"/>
    </row>
    <row r="1647" spans="1:16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147"/>
    </row>
    <row r="1648" spans="1:16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147"/>
    </row>
    <row r="1649" spans="1:16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147"/>
    </row>
    <row r="1650" spans="1:16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147"/>
    </row>
    <row r="1651" spans="1:16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147"/>
    </row>
    <row r="1652" spans="1:16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147"/>
    </row>
    <row r="1653" spans="1:16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147"/>
    </row>
    <row r="1654" spans="1:16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147"/>
    </row>
    <row r="1655" spans="1:16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147"/>
    </row>
    <row r="1656" spans="1:16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147"/>
    </row>
    <row r="1657" spans="1:16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147"/>
    </row>
    <row r="1658" spans="1:16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147"/>
    </row>
    <row r="1659" spans="1:16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147"/>
    </row>
    <row r="1660" spans="1:16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147"/>
    </row>
    <row r="1661" spans="1:16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147"/>
    </row>
    <row r="1662" spans="1:16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147"/>
    </row>
    <row r="1663" spans="1:16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147"/>
    </row>
    <row r="1664" spans="1:16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147"/>
    </row>
    <row r="1665" spans="1:16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147"/>
    </row>
    <row r="1666" spans="1:16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147"/>
    </row>
    <row r="1667" spans="1:16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147"/>
    </row>
    <row r="1668" spans="1:16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147"/>
    </row>
    <row r="1669" spans="1:16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147"/>
    </row>
    <row r="1670" spans="1:16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147"/>
    </row>
    <row r="1671" spans="1:16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147"/>
    </row>
    <row r="1672" spans="1:16" s="28" customFormat="1" x14ac:dyDescent="0.25">
      <c r="A1672" s="56"/>
      <c r="B1672" s="62"/>
      <c r="C1672" s="62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147"/>
    </row>
    <row r="1673" spans="1:16" s="28" customFormat="1" x14ac:dyDescent="0.25">
      <c r="A1673" s="56"/>
      <c r="B1673" s="62"/>
      <c r="C1673" s="62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147"/>
    </row>
    <row r="1674" spans="1:16" s="28" customFormat="1" x14ac:dyDescent="0.25">
      <c r="A1674" s="56"/>
      <c r="B1674" s="62"/>
      <c r="C1674" s="62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147"/>
    </row>
    <row r="1675" spans="1:16" s="28" customFormat="1" x14ac:dyDescent="0.25">
      <c r="A1675" s="56"/>
      <c r="B1675" s="62"/>
      <c r="C1675" s="62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147"/>
    </row>
    <row r="1676" spans="1:16" s="28" customFormat="1" x14ac:dyDescent="0.25">
      <c r="A1676" s="56"/>
      <c r="B1676" s="62"/>
      <c r="C1676" s="62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147"/>
    </row>
    <row r="1677" spans="1:16" s="28" customFormat="1" x14ac:dyDescent="0.25">
      <c r="A1677" s="56"/>
      <c r="B1677" s="62"/>
      <c r="C1677" s="62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147"/>
    </row>
    <row r="1678" spans="1:16" s="28" customFormat="1" x14ac:dyDescent="0.25">
      <c r="A1678" s="56"/>
      <c r="B1678" s="62"/>
      <c r="C1678" s="62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147"/>
    </row>
    <row r="1679" spans="1:16" s="28" customFormat="1" x14ac:dyDescent="0.25">
      <c r="A1679" s="56"/>
      <c r="B1679" s="62"/>
      <c r="C1679" s="62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147"/>
    </row>
    <row r="1680" spans="1:16" s="28" customFormat="1" x14ac:dyDescent="0.25">
      <c r="A1680" s="56"/>
      <c r="B1680" s="62"/>
      <c r="C1680" s="62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147"/>
    </row>
    <row r="1681" spans="1:16" s="28" customFormat="1" x14ac:dyDescent="0.25">
      <c r="A1681" s="56"/>
      <c r="B1681" s="62"/>
      <c r="C1681" s="62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147"/>
    </row>
    <row r="1682" spans="1:16" s="28" customFormat="1" x14ac:dyDescent="0.25">
      <c r="A1682" s="56"/>
      <c r="B1682" s="62"/>
      <c r="C1682" s="62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147"/>
    </row>
    <row r="1683" spans="1:16" s="28" customFormat="1" x14ac:dyDescent="0.25">
      <c r="A1683" s="56"/>
      <c r="B1683" s="62"/>
      <c r="C1683" s="62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147"/>
    </row>
    <row r="1684" spans="1:16" s="28" customFormat="1" x14ac:dyDescent="0.25">
      <c r="A1684" s="56"/>
      <c r="B1684" s="62"/>
      <c r="C1684" s="62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147"/>
    </row>
    <row r="1685" spans="1:16" s="28" customFormat="1" x14ac:dyDescent="0.25">
      <c r="A1685" s="56"/>
      <c r="B1685" s="62"/>
      <c r="C1685" s="62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147"/>
    </row>
    <row r="1686" spans="1:16" s="28" customFormat="1" x14ac:dyDescent="0.25">
      <c r="A1686" s="56"/>
      <c r="B1686" s="62"/>
      <c r="C1686" s="62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147"/>
    </row>
    <row r="1687" spans="1:16" s="28" customFormat="1" x14ac:dyDescent="0.25">
      <c r="A1687" s="56"/>
      <c r="B1687" s="62"/>
      <c r="C1687" s="62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147"/>
    </row>
    <row r="1688" spans="1:16" s="28" customFormat="1" x14ac:dyDescent="0.25">
      <c r="A1688" s="56"/>
      <c r="B1688" s="62"/>
      <c r="C1688" s="62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147"/>
    </row>
    <row r="1689" spans="1:16" s="28" customFormat="1" x14ac:dyDescent="0.25">
      <c r="A1689" s="56"/>
      <c r="B1689" s="62"/>
      <c r="C1689" s="62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147"/>
    </row>
    <row r="1690" spans="1:16" s="28" customFormat="1" x14ac:dyDescent="0.25">
      <c r="A1690" s="56"/>
      <c r="B1690" s="62"/>
      <c r="C1690" s="62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147"/>
    </row>
    <row r="1691" spans="1:16" s="28" customFormat="1" x14ac:dyDescent="0.25">
      <c r="A1691" s="56"/>
      <c r="B1691" s="62"/>
      <c r="C1691" s="62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147"/>
    </row>
  </sheetData>
  <mergeCells count="23">
    <mergeCell ref="M15:N15"/>
    <mergeCell ref="O15:O16"/>
    <mergeCell ref="K3:P3"/>
    <mergeCell ref="K4:P4"/>
    <mergeCell ref="K5:P5"/>
    <mergeCell ref="K6:P6"/>
    <mergeCell ref="K8:P8"/>
    <mergeCell ref="A317:D317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  <mergeCell ref="F15:F16"/>
    <mergeCell ref="E14:I14"/>
    <mergeCell ref="L15:L16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44" fitToHeight="100" orientation="landscape" useFirstPageNumber="1" r:id="rId1"/>
  <headerFooter scaleWithDoc="0" alignWithMargins="0">
    <oddHeader xml:space="preserve">&amp;R
</oddHeader>
    <oddFooter>&amp;R&amp;9Сторінка &amp;P</oddFooter>
  </headerFooter>
  <rowBreaks count="3" manualBreakCount="3">
    <brk id="34" max="16" man="1"/>
    <brk id="61" max="16" man="1"/>
    <brk id="3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S254"/>
  <sheetViews>
    <sheetView showGridLines="0" showZeros="0" tabSelected="1" view="pageBreakPreview" topLeftCell="A124" zoomScale="71" zoomScaleNormal="87" zoomScaleSheetLayoutView="71" workbookViewId="0">
      <selection activeCell="E129" sqref="E129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.1640625" style="4" customWidth="1"/>
    <col min="5" max="5" width="23.83203125" style="4" customWidth="1"/>
    <col min="6" max="6" width="22.33203125" style="4" customWidth="1"/>
    <col min="7" max="7" width="20.1640625" style="4" customWidth="1"/>
    <col min="8" max="8" width="19.6640625" style="4" customWidth="1"/>
    <col min="9" max="9" width="21.33203125" style="4" bestFit="1" customWidth="1"/>
    <col min="10" max="10" width="21.1640625" style="4" customWidth="1"/>
    <col min="11" max="11" width="19.83203125" style="4" customWidth="1"/>
    <col min="12" max="12" width="18" style="4" customWidth="1"/>
    <col min="13" max="13" width="14.83203125" style="4" customWidth="1"/>
    <col min="14" max="14" width="21.5" style="4" customWidth="1"/>
    <col min="15" max="15" width="22.83203125" style="4" customWidth="1"/>
    <col min="16" max="16384" width="9.1640625" style="4"/>
  </cols>
  <sheetData>
    <row r="1" spans="1:15" ht="27.75" customHeight="1" x14ac:dyDescent="0.4">
      <c r="J1" s="172" t="s">
        <v>551</v>
      </c>
      <c r="K1" s="172"/>
      <c r="L1" s="172"/>
      <c r="M1" s="172"/>
      <c r="N1" s="172"/>
      <c r="O1" s="172"/>
    </row>
    <row r="2" spans="1:15" ht="24" customHeight="1" x14ac:dyDescent="0.25">
      <c r="J2" s="96" t="s">
        <v>604</v>
      </c>
      <c r="K2" s="96"/>
      <c r="L2" s="96"/>
      <c r="M2" s="96"/>
      <c r="N2" s="96"/>
      <c r="O2" s="96"/>
    </row>
    <row r="3" spans="1:15" ht="26.25" customHeight="1" x14ac:dyDescent="0.4">
      <c r="J3" s="171" t="s">
        <v>603</v>
      </c>
      <c r="K3" s="171"/>
      <c r="L3" s="171"/>
      <c r="M3" s="171"/>
      <c r="N3" s="171"/>
      <c r="O3" s="171"/>
    </row>
    <row r="4" spans="1:15" ht="26.25" customHeight="1" x14ac:dyDescent="0.4">
      <c r="J4" s="171" t="s">
        <v>596</v>
      </c>
      <c r="K4" s="171"/>
      <c r="L4" s="171"/>
      <c r="M4" s="171"/>
      <c r="N4" s="171"/>
      <c r="O4" s="171"/>
    </row>
    <row r="5" spans="1:15" ht="29.25" customHeight="1" x14ac:dyDescent="0.4">
      <c r="J5" s="171" t="s">
        <v>605</v>
      </c>
      <c r="K5" s="171"/>
      <c r="L5" s="171"/>
      <c r="M5" s="171"/>
      <c r="N5" s="171"/>
      <c r="O5" s="171"/>
    </row>
    <row r="6" spans="1:15" ht="29.25" customHeight="1" x14ac:dyDescent="0.4">
      <c r="J6" s="171" t="s">
        <v>606</v>
      </c>
      <c r="K6" s="171"/>
      <c r="L6" s="171"/>
      <c r="M6" s="171"/>
      <c r="N6" s="171"/>
      <c r="O6" s="171"/>
    </row>
    <row r="7" spans="1:15" ht="29.25" customHeight="1" x14ac:dyDescent="0.4">
      <c r="J7" s="132" t="s">
        <v>550</v>
      </c>
      <c r="K7" s="132"/>
      <c r="L7" s="132"/>
      <c r="M7" s="132"/>
      <c r="N7" s="132"/>
      <c r="O7" s="132"/>
    </row>
    <row r="8" spans="1:15" ht="29.25" customHeight="1" x14ac:dyDescent="0.4">
      <c r="J8" s="171" t="s">
        <v>607</v>
      </c>
      <c r="K8" s="171"/>
      <c r="L8" s="171"/>
      <c r="M8" s="171"/>
      <c r="N8" s="171"/>
      <c r="O8" s="171"/>
    </row>
    <row r="9" spans="1:15" ht="29.25" customHeight="1" x14ac:dyDescent="0.25">
      <c r="J9" s="96"/>
      <c r="K9" s="96"/>
      <c r="L9" s="96"/>
      <c r="M9" s="96"/>
      <c r="N9" s="96"/>
      <c r="O9" s="96"/>
    </row>
    <row r="10" spans="1:15" ht="105.75" customHeight="1" x14ac:dyDescent="0.25">
      <c r="A10" s="173" t="s">
        <v>453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ht="23.25" customHeight="1" x14ac:dyDescent="0.25">
      <c r="A11" s="65"/>
      <c r="B11" s="65"/>
      <c r="C11" s="58"/>
      <c r="D11" s="58"/>
      <c r="E11" s="58"/>
      <c r="F11" s="124" t="s">
        <v>528</v>
      </c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21" customHeight="1" x14ac:dyDescent="0.25">
      <c r="A12" s="66"/>
      <c r="B12" s="66"/>
      <c r="C12" s="58"/>
      <c r="D12" s="58"/>
      <c r="E12" s="58"/>
      <c r="F12" s="66" t="s">
        <v>529</v>
      </c>
      <c r="G12" s="58"/>
      <c r="H12" s="58"/>
      <c r="I12" s="58"/>
      <c r="J12" s="58"/>
      <c r="K12" s="58"/>
      <c r="L12" s="58"/>
      <c r="M12" s="58"/>
      <c r="N12" s="58"/>
      <c r="O12" s="58"/>
    </row>
    <row r="13" spans="1:15" s="17" customFormat="1" ht="20.25" customHeight="1" x14ac:dyDescent="0.3">
      <c r="A13" s="14"/>
      <c r="B13" s="15"/>
      <c r="C13" s="16"/>
      <c r="O13" s="133" t="s">
        <v>360</v>
      </c>
    </row>
    <row r="14" spans="1:15" s="52" customFormat="1" ht="21.75" customHeight="1" x14ac:dyDescent="0.25">
      <c r="A14" s="170" t="s">
        <v>339</v>
      </c>
      <c r="B14" s="170" t="s">
        <v>329</v>
      </c>
      <c r="C14" s="170" t="s">
        <v>341</v>
      </c>
      <c r="D14" s="169" t="s">
        <v>226</v>
      </c>
      <c r="E14" s="169"/>
      <c r="F14" s="169"/>
      <c r="G14" s="169"/>
      <c r="H14" s="169"/>
      <c r="I14" s="169" t="s">
        <v>227</v>
      </c>
      <c r="J14" s="169"/>
      <c r="K14" s="169"/>
      <c r="L14" s="169"/>
      <c r="M14" s="169"/>
      <c r="N14" s="169"/>
      <c r="O14" s="169" t="s">
        <v>228</v>
      </c>
    </row>
    <row r="15" spans="1:15" s="52" customFormat="1" ht="29.25" customHeight="1" x14ac:dyDescent="0.25">
      <c r="A15" s="170"/>
      <c r="B15" s="170"/>
      <c r="C15" s="170"/>
      <c r="D15" s="167" t="s">
        <v>330</v>
      </c>
      <c r="E15" s="167" t="s">
        <v>229</v>
      </c>
      <c r="F15" s="168" t="s">
        <v>230</v>
      </c>
      <c r="G15" s="168"/>
      <c r="H15" s="167" t="s">
        <v>231</v>
      </c>
      <c r="I15" s="167" t="s">
        <v>330</v>
      </c>
      <c r="J15" s="167" t="s">
        <v>331</v>
      </c>
      <c r="K15" s="167" t="s">
        <v>229</v>
      </c>
      <c r="L15" s="168" t="s">
        <v>230</v>
      </c>
      <c r="M15" s="168"/>
      <c r="N15" s="167" t="s">
        <v>231</v>
      </c>
      <c r="O15" s="169"/>
    </row>
    <row r="16" spans="1:15" s="52" customFormat="1" ht="60.75" customHeight="1" x14ac:dyDescent="0.25">
      <c r="A16" s="170"/>
      <c r="B16" s="170"/>
      <c r="C16" s="170"/>
      <c r="D16" s="167"/>
      <c r="E16" s="167"/>
      <c r="F16" s="131" t="s">
        <v>232</v>
      </c>
      <c r="G16" s="131" t="s">
        <v>233</v>
      </c>
      <c r="H16" s="167"/>
      <c r="I16" s="167"/>
      <c r="J16" s="167"/>
      <c r="K16" s="167"/>
      <c r="L16" s="131" t="s">
        <v>232</v>
      </c>
      <c r="M16" s="131" t="s">
        <v>233</v>
      </c>
      <c r="N16" s="167"/>
      <c r="O16" s="169"/>
    </row>
    <row r="17" spans="1:15" s="52" customFormat="1" ht="21" customHeight="1" x14ac:dyDescent="0.25">
      <c r="A17" s="7" t="s">
        <v>44</v>
      </c>
      <c r="B17" s="8"/>
      <c r="C17" s="9" t="s">
        <v>45</v>
      </c>
      <c r="D17" s="48">
        <f>D19+D20+D21+D22</f>
        <v>261195983</v>
      </c>
      <c r="E17" s="48">
        <f t="shared" ref="E17:O17" si="0">E19+E20+E21+E22</f>
        <v>261195983</v>
      </c>
      <c r="F17" s="48">
        <f>F19+F20+F21+F22</f>
        <v>196459700</v>
      </c>
      <c r="G17" s="48">
        <f t="shared" si="0"/>
        <v>5172383</v>
      </c>
      <c r="H17" s="48">
        <f t="shared" si="0"/>
        <v>0</v>
      </c>
      <c r="I17" s="48">
        <f t="shared" si="0"/>
        <v>2568000</v>
      </c>
      <c r="J17" s="48">
        <f t="shared" si="0"/>
        <v>668000</v>
      </c>
      <c r="K17" s="48">
        <f t="shared" si="0"/>
        <v>1900000</v>
      </c>
      <c r="L17" s="48">
        <f t="shared" si="0"/>
        <v>1332000</v>
      </c>
      <c r="M17" s="48">
        <f t="shared" si="0"/>
        <v>71500</v>
      </c>
      <c r="N17" s="48">
        <f t="shared" si="0"/>
        <v>668000</v>
      </c>
      <c r="O17" s="48">
        <f t="shared" si="0"/>
        <v>263763983</v>
      </c>
    </row>
    <row r="18" spans="1:15" s="52" customFormat="1" ht="61.5" hidden="1" customHeight="1" x14ac:dyDescent="0.25">
      <c r="A18" s="7"/>
      <c r="B18" s="8"/>
      <c r="C18" s="9" t="s">
        <v>442</v>
      </c>
      <c r="D18" s="48">
        <f>D23</f>
        <v>0</v>
      </c>
      <c r="E18" s="48">
        <f t="shared" ref="E18:O18" si="1">E23</f>
        <v>0</v>
      </c>
      <c r="F18" s="48">
        <f t="shared" si="1"/>
        <v>0</v>
      </c>
      <c r="G18" s="48">
        <f t="shared" si="1"/>
        <v>0</v>
      </c>
      <c r="H18" s="48">
        <f t="shared" si="1"/>
        <v>0</v>
      </c>
      <c r="I18" s="48">
        <f t="shared" si="1"/>
        <v>0</v>
      </c>
      <c r="J18" s="48">
        <f t="shared" si="1"/>
        <v>0</v>
      </c>
      <c r="K18" s="48">
        <f t="shared" si="1"/>
        <v>0</v>
      </c>
      <c r="L18" s="48">
        <f t="shared" si="1"/>
        <v>0</v>
      </c>
      <c r="M18" s="48">
        <f t="shared" si="1"/>
        <v>0</v>
      </c>
      <c r="N18" s="48">
        <f t="shared" si="1"/>
        <v>0</v>
      </c>
      <c r="O18" s="48">
        <f t="shared" si="1"/>
        <v>0</v>
      </c>
    </row>
    <row r="19" spans="1:15" ht="37.5" customHeight="1" x14ac:dyDescent="0.25">
      <c r="A19" s="37" t="s">
        <v>121</v>
      </c>
      <c r="B19" s="37" t="s">
        <v>47</v>
      </c>
      <c r="C19" s="6" t="s">
        <v>503</v>
      </c>
      <c r="D19" s="49">
        <f>'дод 3'!E21+'дод 3'!E76+'дод 3'!E130+'дод 3'!E162+'дод 3'!E199+'дод 3'!E206+'дод 3'!E222+'дод 3'!E254+'дод 3'!E258+'дод 3'!E277+'дод 3'!E284+'дод 3'!E287+'дод 3'!E298+'дод 3'!E295</f>
        <v>259560483</v>
      </c>
      <c r="E19" s="49">
        <f>'дод 3'!F21+'дод 3'!F76+'дод 3'!F130+'дод 3'!F162+'дод 3'!F199+'дод 3'!F206+'дод 3'!F222+'дод 3'!F254+'дод 3'!F258+'дод 3'!F277+'дод 3'!F284+'дод 3'!F287+'дод 3'!F298+'дод 3'!F295</f>
        <v>259560483</v>
      </c>
      <c r="F19" s="49">
        <f>'дод 3'!G21+'дод 3'!G76+'дод 3'!G130+'дод 3'!G162+'дод 3'!G199+'дод 3'!G206+'дод 3'!G222+'дод 3'!G254+'дод 3'!G258+'дод 3'!G277+'дод 3'!G284+'дод 3'!G287+'дод 3'!G298+'дод 3'!G295</f>
        <v>196459700</v>
      </c>
      <c r="G19" s="49">
        <f>'дод 3'!H21+'дод 3'!H76+'дод 3'!H130+'дод 3'!H162+'дод 3'!H199+'дод 3'!H206+'дод 3'!H222+'дод 3'!H254+'дод 3'!H258+'дод 3'!H277+'дод 3'!H284+'дод 3'!H287+'дод 3'!H298+'дод 3'!H295</f>
        <v>5172383</v>
      </c>
      <c r="H19" s="49">
        <f>'дод 3'!I21+'дод 3'!I76+'дод 3'!I130+'дод 3'!I162+'дод 3'!I199+'дод 3'!I206+'дод 3'!I222+'дод 3'!I254+'дод 3'!I258+'дод 3'!I277+'дод 3'!I284+'дод 3'!I287+'дод 3'!I298+'дод 3'!I295</f>
        <v>0</v>
      </c>
      <c r="I19" s="49">
        <f>'дод 3'!J21+'дод 3'!J76+'дод 3'!J130+'дод 3'!J162+'дод 3'!J199+'дод 3'!J206+'дод 3'!J222+'дод 3'!J254+'дод 3'!J258+'дод 3'!J277+'дод 3'!J284+'дод 3'!J287+'дод 3'!J298+'дод 3'!J295</f>
        <v>2568000</v>
      </c>
      <c r="J19" s="49">
        <f>'дод 3'!K21+'дод 3'!K76+'дод 3'!K130+'дод 3'!K162+'дод 3'!K199+'дод 3'!K206+'дод 3'!K222+'дод 3'!K254+'дод 3'!K258+'дод 3'!K277+'дод 3'!K284+'дод 3'!K287+'дод 3'!K298+'дод 3'!K295</f>
        <v>668000</v>
      </c>
      <c r="K19" s="49">
        <f>'дод 3'!L21+'дод 3'!L76+'дод 3'!L130+'дод 3'!L162+'дод 3'!L199+'дод 3'!L206+'дод 3'!L222+'дод 3'!L254+'дод 3'!L258+'дод 3'!L277+'дод 3'!L284+'дод 3'!L287+'дод 3'!L298+'дод 3'!L295</f>
        <v>1900000</v>
      </c>
      <c r="L19" s="49">
        <f>'дод 3'!M21+'дод 3'!M76+'дод 3'!M130+'дод 3'!M162+'дод 3'!M199+'дод 3'!M206+'дод 3'!M222+'дод 3'!M254+'дод 3'!M258+'дод 3'!M277+'дод 3'!M284+'дод 3'!M287+'дод 3'!M298+'дод 3'!M295</f>
        <v>1332000</v>
      </c>
      <c r="M19" s="49">
        <f>'дод 3'!N21+'дод 3'!N76+'дод 3'!N130+'дод 3'!N162+'дод 3'!N199+'дод 3'!N206+'дод 3'!N222+'дод 3'!N254+'дод 3'!N258+'дод 3'!N277+'дод 3'!N284+'дод 3'!N287+'дод 3'!N298+'дод 3'!N295</f>
        <v>71500</v>
      </c>
      <c r="N19" s="49">
        <f>'дод 3'!O21+'дод 3'!O76+'дод 3'!O130+'дод 3'!O162+'дод 3'!O199+'дод 3'!O206+'дод 3'!O222+'дод 3'!O254+'дод 3'!O258+'дод 3'!O277+'дод 3'!O284+'дод 3'!O287+'дод 3'!O298+'дод 3'!O295</f>
        <v>668000</v>
      </c>
      <c r="O19" s="49">
        <f>'дод 3'!P21+'дод 3'!P76+'дод 3'!P130+'дод 3'!P162+'дод 3'!P199+'дод 3'!P206+'дод 3'!P222+'дод 3'!P254+'дод 3'!P258+'дод 3'!P277+'дод 3'!P284+'дод 3'!P287+'дод 3'!P298+'дод 3'!P295</f>
        <v>262128483</v>
      </c>
    </row>
    <row r="20" spans="1:15" ht="33" customHeight="1" x14ac:dyDescent="0.25">
      <c r="A20" s="59" t="s">
        <v>92</v>
      </c>
      <c r="B20" s="59" t="s">
        <v>465</v>
      </c>
      <c r="C20" s="6" t="s">
        <v>456</v>
      </c>
      <c r="D20" s="49">
        <f>'дод 3'!E22</f>
        <v>200000</v>
      </c>
      <c r="E20" s="49">
        <f>'дод 3'!F22</f>
        <v>200000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200000</v>
      </c>
    </row>
    <row r="21" spans="1:15" ht="22.5" customHeight="1" x14ac:dyDescent="0.25">
      <c r="A21" s="37" t="s">
        <v>46</v>
      </c>
      <c r="B21" s="37" t="s">
        <v>95</v>
      </c>
      <c r="C21" s="6" t="s">
        <v>244</v>
      </c>
      <c r="D21" s="49">
        <f>'дод 3'!E23+'дод 3'!E163+'дод 3'!E223</f>
        <v>1435500</v>
      </c>
      <c r="E21" s="49">
        <f>'дод 3'!F23+'дод 3'!F163+'дод 3'!F223</f>
        <v>1435500</v>
      </c>
      <c r="F21" s="49">
        <f>'дод 3'!G23+'дод 3'!G163+'дод 3'!G223</f>
        <v>0</v>
      </c>
      <c r="G21" s="49">
        <f>'дод 3'!H23+'дод 3'!H163+'дод 3'!H223</f>
        <v>0</v>
      </c>
      <c r="H21" s="49">
        <f>'дод 3'!I23+'дод 3'!I163+'дод 3'!I223</f>
        <v>0</v>
      </c>
      <c r="I21" s="49">
        <f>'дод 3'!J23+'дод 3'!J163+'дод 3'!J223</f>
        <v>0</v>
      </c>
      <c r="J21" s="49">
        <f>'дод 3'!K23+'дод 3'!K163+'дод 3'!K223</f>
        <v>0</v>
      </c>
      <c r="K21" s="49">
        <f>'дод 3'!L23+'дод 3'!L163+'дод 3'!L223</f>
        <v>0</v>
      </c>
      <c r="L21" s="49">
        <f>'дод 3'!M23+'дод 3'!M163+'дод 3'!M223</f>
        <v>0</v>
      </c>
      <c r="M21" s="49">
        <f>'дод 3'!N23+'дод 3'!N163+'дод 3'!N223</f>
        <v>0</v>
      </c>
      <c r="N21" s="49">
        <f>'дод 3'!O23+'дод 3'!O163+'дод 3'!O223</f>
        <v>0</v>
      </c>
      <c r="O21" s="49">
        <f>'дод 3'!P23+'дод 3'!P163+'дод 3'!P223</f>
        <v>1435500</v>
      </c>
    </row>
    <row r="22" spans="1:15" ht="27" hidden="1" customHeight="1" x14ac:dyDescent="0.25">
      <c r="A22" s="59" t="s">
        <v>438</v>
      </c>
      <c r="B22" s="59" t="s">
        <v>121</v>
      </c>
      <c r="C22" s="6" t="s">
        <v>439</v>
      </c>
      <c r="D22" s="49">
        <f>'дод 3'!E24</f>
        <v>0</v>
      </c>
      <c r="E22" s="49">
        <f>'дод 3'!F24</f>
        <v>0</v>
      </c>
      <c r="F22" s="49">
        <f>'дод 3'!G24</f>
        <v>0</v>
      </c>
      <c r="G22" s="49">
        <f>'дод 3'!H24</f>
        <v>0</v>
      </c>
      <c r="H22" s="49">
        <f>'дод 3'!I24</f>
        <v>0</v>
      </c>
      <c r="I22" s="49">
        <f>'дод 3'!J24</f>
        <v>0</v>
      </c>
      <c r="J22" s="49">
        <f>'дод 3'!K24</f>
        <v>0</v>
      </c>
      <c r="K22" s="49">
        <f>'дод 3'!L24</f>
        <v>0</v>
      </c>
      <c r="L22" s="49">
        <f>'дод 3'!M24</f>
        <v>0</v>
      </c>
      <c r="M22" s="49">
        <f>'дод 3'!N24</f>
        <v>0</v>
      </c>
      <c r="N22" s="49">
        <f>'дод 3'!O24</f>
        <v>0</v>
      </c>
      <c r="O22" s="49">
        <f>'дод 3'!P24</f>
        <v>0</v>
      </c>
    </row>
    <row r="23" spans="1:15" s="54" customFormat="1" ht="63" hidden="1" customHeight="1" x14ac:dyDescent="0.25">
      <c r="A23" s="82"/>
      <c r="B23" s="92"/>
      <c r="C23" s="83" t="s">
        <v>442</v>
      </c>
      <c r="D23" s="84">
        <f>'дод 3'!E25</f>
        <v>0</v>
      </c>
      <c r="E23" s="84">
        <f>'дод 3'!F25</f>
        <v>0</v>
      </c>
      <c r="F23" s="84">
        <f>'дод 3'!G25</f>
        <v>0</v>
      </c>
      <c r="G23" s="84">
        <f>'дод 3'!H25</f>
        <v>0</v>
      </c>
      <c r="H23" s="84">
        <f>'дод 3'!I25</f>
        <v>0</v>
      </c>
      <c r="I23" s="84">
        <f>'дод 3'!J25</f>
        <v>0</v>
      </c>
      <c r="J23" s="84">
        <f>'дод 3'!K25</f>
        <v>0</v>
      </c>
      <c r="K23" s="84">
        <f>'дод 3'!L25</f>
        <v>0</v>
      </c>
      <c r="L23" s="84">
        <f>'дод 3'!M25</f>
        <v>0</v>
      </c>
      <c r="M23" s="84">
        <f>'дод 3'!N25</f>
        <v>0</v>
      </c>
      <c r="N23" s="84">
        <f>'дод 3'!O25</f>
        <v>0</v>
      </c>
      <c r="O23" s="84">
        <f>'дод 3'!P25</f>
        <v>0</v>
      </c>
    </row>
    <row r="24" spans="1:15" s="52" customFormat="1" ht="18.75" customHeight="1" x14ac:dyDescent="0.25">
      <c r="A24" s="38" t="s">
        <v>48</v>
      </c>
      <c r="B24" s="39"/>
      <c r="C24" s="9" t="s">
        <v>405</v>
      </c>
      <c r="D24" s="48">
        <f>D35+D37+D44+D46+D49+D51+D54+D56+D57+D58+D59+D60+D61+D63+D64+D65+D67+D68+D70+D72</f>
        <v>1122636953.23</v>
      </c>
      <c r="E24" s="48">
        <f t="shared" ref="E24:O24" si="2">E35+E37+E44+E46+E49+E51+E54+E56+E57+E58+E59+E60+E61+E63+E64+E65+E67+E68+E70+E72</f>
        <v>1122636953.23</v>
      </c>
      <c r="F24" s="48">
        <f t="shared" si="2"/>
        <v>810172830</v>
      </c>
      <c r="G24" s="48">
        <f t="shared" si="2"/>
        <v>62483910</v>
      </c>
      <c r="H24" s="48">
        <f t="shared" si="2"/>
        <v>0</v>
      </c>
      <c r="I24" s="48">
        <f t="shared" si="2"/>
        <v>53092756.18</v>
      </c>
      <c r="J24" s="48">
        <f t="shared" si="2"/>
        <v>13473156.18</v>
      </c>
      <c r="K24" s="48">
        <f t="shared" si="2"/>
        <v>39616470</v>
      </c>
      <c r="L24" s="48">
        <f t="shared" si="2"/>
        <v>4494964</v>
      </c>
      <c r="M24" s="48">
        <f t="shared" si="2"/>
        <v>139890</v>
      </c>
      <c r="N24" s="48">
        <f t="shared" si="2"/>
        <v>13476286.18</v>
      </c>
      <c r="O24" s="48">
        <f t="shared" si="2"/>
        <v>1175729709.4099998</v>
      </c>
    </row>
    <row r="25" spans="1:15" s="53" customFormat="1" ht="31.5" x14ac:dyDescent="0.25">
      <c r="A25" s="75"/>
      <c r="B25" s="78"/>
      <c r="C25" s="79" t="s">
        <v>391</v>
      </c>
      <c r="D25" s="80">
        <f>D47+D50</f>
        <v>482448000</v>
      </c>
      <c r="E25" s="80">
        <f t="shared" ref="E25:O25" si="3">E47+E50</f>
        <v>482448000</v>
      </c>
      <c r="F25" s="80">
        <f t="shared" si="3"/>
        <v>396066000</v>
      </c>
      <c r="G25" s="80">
        <f t="shared" si="3"/>
        <v>0</v>
      </c>
      <c r="H25" s="80">
        <f t="shared" si="3"/>
        <v>0</v>
      </c>
      <c r="I25" s="80">
        <f t="shared" si="3"/>
        <v>0</v>
      </c>
      <c r="J25" s="80">
        <f t="shared" si="3"/>
        <v>0</v>
      </c>
      <c r="K25" s="80">
        <f t="shared" si="3"/>
        <v>0</v>
      </c>
      <c r="L25" s="80">
        <f t="shared" si="3"/>
        <v>0</v>
      </c>
      <c r="M25" s="80">
        <f t="shared" si="3"/>
        <v>0</v>
      </c>
      <c r="N25" s="80">
        <f t="shared" si="3"/>
        <v>0</v>
      </c>
      <c r="O25" s="80">
        <f t="shared" si="3"/>
        <v>482448000</v>
      </c>
    </row>
    <row r="26" spans="1:15" s="53" customFormat="1" ht="47.25" x14ac:dyDescent="0.25">
      <c r="A26" s="75"/>
      <c r="B26" s="78"/>
      <c r="C26" s="81" t="s">
        <v>561</v>
      </c>
      <c r="D26" s="80">
        <f>D52</f>
        <v>246000</v>
      </c>
      <c r="E26" s="80">
        <f t="shared" ref="E26:O26" si="4">E52</f>
        <v>246000</v>
      </c>
      <c r="F26" s="80">
        <f t="shared" si="4"/>
        <v>0</v>
      </c>
      <c r="G26" s="80">
        <f t="shared" si="4"/>
        <v>0</v>
      </c>
      <c r="H26" s="80">
        <f t="shared" si="4"/>
        <v>0</v>
      </c>
      <c r="I26" s="80">
        <f t="shared" si="4"/>
        <v>1754000</v>
      </c>
      <c r="J26" s="80">
        <f t="shared" si="4"/>
        <v>1754000</v>
      </c>
      <c r="K26" s="80">
        <f t="shared" si="4"/>
        <v>0</v>
      </c>
      <c r="L26" s="80">
        <f t="shared" si="4"/>
        <v>0</v>
      </c>
      <c r="M26" s="80">
        <f t="shared" si="4"/>
        <v>0</v>
      </c>
      <c r="N26" s="80">
        <f t="shared" si="4"/>
        <v>1754000</v>
      </c>
      <c r="O26" s="80">
        <f t="shared" si="4"/>
        <v>2000000</v>
      </c>
    </row>
    <row r="27" spans="1:15" s="53" customFormat="1" ht="47.25" x14ac:dyDescent="0.25">
      <c r="A27" s="75"/>
      <c r="B27" s="78"/>
      <c r="C27" s="79" t="s">
        <v>386</v>
      </c>
      <c r="D27" s="80">
        <f>D48+D62</f>
        <v>3578416</v>
      </c>
      <c r="E27" s="80">
        <f t="shared" ref="E27:O27" si="5">E48+E62</f>
        <v>3578416</v>
      </c>
      <c r="F27" s="80">
        <f t="shared" si="5"/>
        <v>1228720</v>
      </c>
      <c r="G27" s="80">
        <f t="shared" si="5"/>
        <v>0</v>
      </c>
      <c r="H27" s="80">
        <f t="shared" si="5"/>
        <v>0</v>
      </c>
      <c r="I27" s="80">
        <f t="shared" si="5"/>
        <v>0</v>
      </c>
      <c r="J27" s="80">
        <f t="shared" si="5"/>
        <v>0</v>
      </c>
      <c r="K27" s="80">
        <f t="shared" si="5"/>
        <v>0</v>
      </c>
      <c r="L27" s="80">
        <f t="shared" si="5"/>
        <v>0</v>
      </c>
      <c r="M27" s="80">
        <f t="shared" si="5"/>
        <v>0</v>
      </c>
      <c r="N27" s="80">
        <f t="shared" si="5"/>
        <v>0</v>
      </c>
      <c r="O27" s="80">
        <f t="shared" si="5"/>
        <v>3578416</v>
      </c>
    </row>
    <row r="28" spans="1:15" s="53" customFormat="1" ht="47.25" hidden="1" customHeight="1" x14ac:dyDescent="0.25">
      <c r="A28" s="75"/>
      <c r="B28" s="78"/>
      <c r="C28" s="79" t="s">
        <v>388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s="53" customFormat="1" ht="50.25" customHeight="1" x14ac:dyDescent="0.25">
      <c r="A29" s="75"/>
      <c r="B29" s="78"/>
      <c r="C29" s="81" t="s">
        <v>385</v>
      </c>
      <c r="D29" s="80">
        <f>D71</f>
        <v>2612700</v>
      </c>
      <c r="E29" s="80">
        <f t="shared" ref="E29:O29" si="6">E71</f>
        <v>2612700</v>
      </c>
      <c r="F29" s="80">
        <f t="shared" si="6"/>
        <v>1459720</v>
      </c>
      <c r="G29" s="80">
        <f t="shared" si="6"/>
        <v>0</v>
      </c>
      <c r="H29" s="80">
        <f t="shared" si="6"/>
        <v>0</v>
      </c>
      <c r="I29" s="80">
        <f t="shared" si="6"/>
        <v>72000</v>
      </c>
      <c r="J29" s="80">
        <f t="shared" si="6"/>
        <v>72000</v>
      </c>
      <c r="K29" s="80">
        <f t="shared" si="6"/>
        <v>0</v>
      </c>
      <c r="L29" s="80">
        <f t="shared" si="6"/>
        <v>0</v>
      </c>
      <c r="M29" s="80">
        <f t="shared" si="6"/>
        <v>0</v>
      </c>
      <c r="N29" s="80">
        <f t="shared" si="6"/>
        <v>72000</v>
      </c>
      <c r="O29" s="80">
        <f t="shared" si="6"/>
        <v>2684700</v>
      </c>
    </row>
    <row r="30" spans="1:15" s="53" customFormat="1" ht="63" hidden="1" customHeight="1" x14ac:dyDescent="0.25">
      <c r="A30" s="75"/>
      <c r="B30" s="78"/>
      <c r="C30" s="79" t="s">
        <v>387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pans="1:15" s="53" customFormat="1" ht="63" x14ac:dyDescent="0.25">
      <c r="A31" s="75"/>
      <c r="B31" s="75"/>
      <c r="C31" s="81" t="s">
        <v>539</v>
      </c>
      <c r="D31" s="80">
        <f>D73</f>
        <v>1174231</v>
      </c>
      <c r="E31" s="80">
        <f t="shared" ref="E31:O31" si="7">E73</f>
        <v>1174231</v>
      </c>
      <c r="F31" s="80">
        <f t="shared" si="7"/>
        <v>962484</v>
      </c>
      <c r="G31" s="80">
        <f t="shared" si="7"/>
        <v>0</v>
      </c>
      <c r="H31" s="80">
        <f t="shared" si="7"/>
        <v>0</v>
      </c>
      <c r="I31" s="80">
        <f t="shared" si="7"/>
        <v>0</v>
      </c>
      <c r="J31" s="80">
        <f t="shared" si="7"/>
        <v>0</v>
      </c>
      <c r="K31" s="80">
        <f t="shared" si="7"/>
        <v>0</v>
      </c>
      <c r="L31" s="80">
        <f t="shared" si="7"/>
        <v>0</v>
      </c>
      <c r="M31" s="80">
        <f t="shared" si="7"/>
        <v>0</v>
      </c>
      <c r="N31" s="80">
        <f t="shared" si="7"/>
        <v>0</v>
      </c>
      <c r="O31" s="80">
        <f t="shared" si="7"/>
        <v>1174231</v>
      </c>
    </row>
    <row r="32" spans="1:15" s="53" customFormat="1" ht="31.5" x14ac:dyDescent="0.25">
      <c r="A32" s="75"/>
      <c r="B32" s="75"/>
      <c r="C32" s="81" t="s">
        <v>558</v>
      </c>
      <c r="D32" s="80">
        <f>D53+D55</f>
        <v>709009.6</v>
      </c>
      <c r="E32" s="80">
        <f t="shared" ref="E32:O32" si="8">E53+E55</f>
        <v>709009.6</v>
      </c>
      <c r="F32" s="80">
        <f t="shared" si="8"/>
        <v>0</v>
      </c>
      <c r="G32" s="80">
        <f t="shared" si="8"/>
        <v>0</v>
      </c>
      <c r="H32" s="80">
        <f t="shared" si="8"/>
        <v>0</v>
      </c>
      <c r="I32" s="80">
        <f t="shared" si="8"/>
        <v>4388733.18</v>
      </c>
      <c r="J32" s="80">
        <f t="shared" si="8"/>
        <v>4388733.18</v>
      </c>
      <c r="K32" s="80">
        <f t="shared" si="8"/>
        <v>0</v>
      </c>
      <c r="L32" s="80">
        <f t="shared" si="8"/>
        <v>0</v>
      </c>
      <c r="M32" s="80">
        <f t="shared" si="8"/>
        <v>0</v>
      </c>
      <c r="N32" s="80">
        <f t="shared" si="8"/>
        <v>4388733.18</v>
      </c>
      <c r="O32" s="80">
        <f t="shared" si="8"/>
        <v>5097742.7799999993</v>
      </c>
    </row>
    <row r="33" spans="1:15" s="53" customFormat="1" ht="55.5" customHeight="1" x14ac:dyDescent="0.25">
      <c r="A33" s="75"/>
      <c r="B33" s="75"/>
      <c r="C33" s="79" t="s">
        <v>432</v>
      </c>
      <c r="D33" s="80">
        <f>D66</f>
        <v>287772</v>
      </c>
      <c r="E33" s="80">
        <f t="shared" ref="E33:O33" si="9">E66</f>
        <v>287772</v>
      </c>
      <c r="F33" s="80">
        <f t="shared" si="9"/>
        <v>0</v>
      </c>
      <c r="G33" s="80">
        <f t="shared" si="9"/>
        <v>0</v>
      </c>
      <c r="H33" s="80">
        <f t="shared" si="9"/>
        <v>0</v>
      </c>
      <c r="I33" s="80">
        <f t="shared" si="9"/>
        <v>2859726</v>
      </c>
      <c r="J33" s="80">
        <f t="shared" si="9"/>
        <v>2859726</v>
      </c>
      <c r="K33" s="80">
        <f t="shared" si="9"/>
        <v>0</v>
      </c>
      <c r="L33" s="80">
        <f t="shared" si="9"/>
        <v>0</v>
      </c>
      <c r="M33" s="80">
        <f t="shared" si="9"/>
        <v>0</v>
      </c>
      <c r="N33" s="80">
        <f t="shared" si="9"/>
        <v>2859726</v>
      </c>
      <c r="O33" s="80">
        <f t="shared" si="9"/>
        <v>3147498</v>
      </c>
    </row>
    <row r="34" spans="1:15" s="53" customFormat="1" ht="63" x14ac:dyDescent="0.25">
      <c r="A34" s="75"/>
      <c r="B34" s="75"/>
      <c r="C34" s="81" t="s">
        <v>581</v>
      </c>
      <c r="D34" s="80">
        <f>D69</f>
        <v>5811208</v>
      </c>
      <c r="E34" s="80">
        <f t="shared" ref="E34:O34" si="10">E69</f>
        <v>5811208</v>
      </c>
      <c r="F34" s="80">
        <f t="shared" si="10"/>
        <v>0</v>
      </c>
      <c r="G34" s="80">
        <f t="shared" si="10"/>
        <v>0</v>
      </c>
      <c r="H34" s="80">
        <f t="shared" si="10"/>
        <v>0</v>
      </c>
      <c r="I34" s="80">
        <f t="shared" si="10"/>
        <v>1095855</v>
      </c>
      <c r="J34" s="80">
        <f t="shared" si="10"/>
        <v>1095855</v>
      </c>
      <c r="K34" s="80">
        <f t="shared" si="10"/>
        <v>0</v>
      </c>
      <c r="L34" s="80">
        <f t="shared" si="10"/>
        <v>0</v>
      </c>
      <c r="M34" s="80">
        <f t="shared" si="10"/>
        <v>0</v>
      </c>
      <c r="N34" s="80">
        <f t="shared" si="10"/>
        <v>1095855</v>
      </c>
      <c r="O34" s="80">
        <f t="shared" si="10"/>
        <v>6907063</v>
      </c>
    </row>
    <row r="35" spans="1:15" ht="17.25" customHeight="1" x14ac:dyDescent="0.25">
      <c r="A35" s="37" t="s">
        <v>49</v>
      </c>
      <c r="B35" s="37" t="s">
        <v>50</v>
      </c>
      <c r="C35" s="6" t="s">
        <v>512</v>
      </c>
      <c r="D35" s="49">
        <f>'дод 3'!E77</f>
        <v>295954544.63</v>
      </c>
      <c r="E35" s="49">
        <f>'дод 3'!F77</f>
        <v>295954544.63</v>
      </c>
      <c r="F35" s="49">
        <f>'дод 3'!G77</f>
        <v>205054200</v>
      </c>
      <c r="G35" s="49">
        <f>'дод 3'!H77</f>
        <v>24363307</v>
      </c>
      <c r="H35" s="49">
        <f>'дод 3'!I77</f>
        <v>0</v>
      </c>
      <c r="I35" s="49">
        <f>'дод 3'!J77</f>
        <v>12341980</v>
      </c>
      <c r="J35" s="49">
        <f>'дод 3'!K77</f>
        <v>582280</v>
      </c>
      <c r="K35" s="49">
        <f>'дод 3'!L77</f>
        <v>11759700</v>
      </c>
      <c r="L35" s="49">
        <f>'дод 3'!M77</f>
        <v>0</v>
      </c>
      <c r="M35" s="49">
        <f>'дод 3'!N77</f>
        <v>0</v>
      </c>
      <c r="N35" s="49">
        <f>'дод 3'!O77</f>
        <v>582280</v>
      </c>
      <c r="O35" s="49">
        <f>'дод 3'!P77</f>
        <v>308296524.63</v>
      </c>
    </row>
    <row r="36" spans="1:15" s="54" customFormat="1" ht="47.25" hidden="1" customHeight="1" x14ac:dyDescent="0.25">
      <c r="A36" s="82"/>
      <c r="B36" s="82"/>
      <c r="C36" s="83" t="s">
        <v>385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38.25" customHeight="1" x14ac:dyDescent="0.25">
      <c r="A37" s="37">
        <v>1021</v>
      </c>
      <c r="B37" s="37" t="s">
        <v>52</v>
      </c>
      <c r="C37" s="61" t="s">
        <v>480</v>
      </c>
      <c r="D37" s="49">
        <f>'дод 3'!E78</f>
        <v>213215989</v>
      </c>
      <c r="E37" s="49">
        <f>'дод 3'!F78</f>
        <v>213215989</v>
      </c>
      <c r="F37" s="49">
        <f>'дод 3'!G78</f>
        <v>119662706</v>
      </c>
      <c r="G37" s="49">
        <f>'дод 3'!H78</f>
        <v>32280276</v>
      </c>
      <c r="H37" s="49">
        <f>'дод 3'!I78</f>
        <v>0</v>
      </c>
      <c r="I37" s="49">
        <f>'дод 3'!J78</f>
        <v>26068836</v>
      </c>
      <c r="J37" s="49">
        <f>'дод 3'!K78</f>
        <v>938036</v>
      </c>
      <c r="K37" s="49">
        <f>'дод 3'!L78</f>
        <v>25130800</v>
      </c>
      <c r="L37" s="49">
        <f>'дод 3'!M78</f>
        <v>2268060</v>
      </c>
      <c r="M37" s="49">
        <f>'дод 3'!N78</f>
        <v>139890</v>
      </c>
      <c r="N37" s="49">
        <f>'дод 3'!O78</f>
        <v>938036</v>
      </c>
      <c r="O37" s="49">
        <f>'дод 3'!P78</f>
        <v>239284825</v>
      </c>
    </row>
    <row r="38" spans="1:15" s="54" customFormat="1" ht="63" hidden="1" customHeight="1" x14ac:dyDescent="0.25">
      <c r="A38" s="82"/>
      <c r="B38" s="82"/>
      <c r="C38" s="83" t="s">
        <v>389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54" customFormat="1" ht="47.25" hidden="1" customHeight="1" x14ac:dyDescent="0.25">
      <c r="A39" s="82"/>
      <c r="B39" s="82"/>
      <c r="C39" s="83" t="s">
        <v>386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s="54" customFormat="1" ht="47.25" hidden="1" customHeight="1" x14ac:dyDescent="0.25">
      <c r="A40" s="82"/>
      <c r="B40" s="82"/>
      <c r="C40" s="83" t="s">
        <v>388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54" customFormat="1" ht="47.25" hidden="1" customHeight="1" x14ac:dyDescent="0.25">
      <c r="A41" s="82"/>
      <c r="B41" s="82"/>
      <c r="C41" s="83" t="s">
        <v>385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s="54" customFormat="1" ht="31.5" hidden="1" customHeight="1" x14ac:dyDescent="0.25">
      <c r="A42" s="82"/>
      <c r="B42" s="82"/>
      <c r="C42" s="83" t="s">
        <v>391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s="54" customFormat="1" ht="63" hidden="1" customHeight="1" x14ac:dyDescent="0.25">
      <c r="A43" s="82"/>
      <c r="B43" s="82"/>
      <c r="C43" s="83" t="s">
        <v>387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59.25" customHeight="1" x14ac:dyDescent="0.25">
      <c r="A44" s="37">
        <v>1022</v>
      </c>
      <c r="B44" s="60" t="s">
        <v>56</v>
      </c>
      <c r="C44" s="36" t="s">
        <v>482</v>
      </c>
      <c r="D44" s="49">
        <f>'дод 3'!E79</f>
        <v>14338277</v>
      </c>
      <c r="E44" s="49">
        <f>'дод 3'!F79</f>
        <v>14338277</v>
      </c>
      <c r="F44" s="49">
        <f>'дод 3'!G79</f>
        <v>8830500</v>
      </c>
      <c r="G44" s="49">
        <f>'дод 3'!H79</f>
        <v>1512107</v>
      </c>
      <c r="H44" s="49">
        <f>'дод 3'!I79</f>
        <v>0</v>
      </c>
      <c r="I44" s="49">
        <f>'дод 3'!J79</f>
        <v>153030</v>
      </c>
      <c r="J44" s="49">
        <f>'дод 3'!K79</f>
        <v>153030</v>
      </c>
      <c r="K44" s="49">
        <f>'дод 3'!L79</f>
        <v>0</v>
      </c>
      <c r="L44" s="49">
        <f>'дод 3'!M79</f>
        <v>0</v>
      </c>
      <c r="M44" s="49">
        <f>'дод 3'!N79</f>
        <v>0</v>
      </c>
      <c r="N44" s="49">
        <f>'дод 3'!O79</f>
        <v>153030</v>
      </c>
      <c r="O44" s="49">
        <f>'дод 3'!P79</f>
        <v>14491307</v>
      </c>
    </row>
    <row r="45" spans="1:15" ht="63" hidden="1" customHeight="1" x14ac:dyDescent="0.25">
      <c r="A45" s="37"/>
      <c r="B45" s="37"/>
      <c r="C45" s="83" t="s">
        <v>389</v>
      </c>
      <c r="D45" s="49" t="e">
        <f>'дод 3'!#REF!</f>
        <v>#REF!</v>
      </c>
      <c r="E45" s="49" t="e">
        <f>'дод 3'!#REF!</f>
        <v>#REF!</v>
      </c>
      <c r="F45" s="49" t="e">
        <f>'дод 3'!#REF!</f>
        <v>#REF!</v>
      </c>
      <c r="G45" s="49" t="e">
        <f>'дод 3'!#REF!</f>
        <v>#REF!</v>
      </c>
      <c r="H45" s="49" t="e">
        <f>'дод 3'!#REF!</f>
        <v>#REF!</v>
      </c>
      <c r="I45" s="49" t="e">
        <f>'дод 3'!#REF!</f>
        <v>#REF!</v>
      </c>
      <c r="J45" s="49" t="e">
        <f>'дод 3'!#REF!</f>
        <v>#REF!</v>
      </c>
      <c r="K45" s="49" t="e">
        <f>'дод 3'!#REF!</f>
        <v>#REF!</v>
      </c>
      <c r="L45" s="49" t="e">
        <f>'дод 3'!#REF!</f>
        <v>#REF!</v>
      </c>
      <c r="M45" s="49" t="e">
        <f>'дод 3'!#REF!</f>
        <v>#REF!</v>
      </c>
      <c r="N45" s="49" t="e">
        <f>'дод 3'!#REF!</f>
        <v>#REF!</v>
      </c>
      <c r="O45" s="49" t="e">
        <f>'дод 3'!#REF!</f>
        <v>#REF!</v>
      </c>
    </row>
    <row r="46" spans="1:15" s="54" customFormat="1" ht="35.25" customHeight="1" x14ac:dyDescent="0.25">
      <c r="A46" s="97">
        <v>1031</v>
      </c>
      <c r="B46" s="60" t="s">
        <v>52</v>
      </c>
      <c r="C46" s="61" t="s">
        <v>513</v>
      </c>
      <c r="D46" s="49">
        <f>'дод 3'!E80</f>
        <v>468962880</v>
      </c>
      <c r="E46" s="49">
        <f>'дод 3'!F80</f>
        <v>468962880</v>
      </c>
      <c r="F46" s="49">
        <f>'дод 3'!G80</f>
        <v>383296900</v>
      </c>
      <c r="G46" s="49">
        <f>'дод 3'!H80</f>
        <v>0</v>
      </c>
      <c r="H46" s="49">
        <f>'дод 3'!I80</f>
        <v>0</v>
      </c>
      <c r="I46" s="49">
        <f>'дод 3'!J80</f>
        <v>0</v>
      </c>
      <c r="J46" s="49">
        <f>'дод 3'!K80</f>
        <v>0</v>
      </c>
      <c r="K46" s="49">
        <f>'дод 3'!L80</f>
        <v>0</v>
      </c>
      <c r="L46" s="49">
        <f>'дод 3'!M80</f>
        <v>0</v>
      </c>
      <c r="M46" s="49">
        <f>'дод 3'!N80</f>
        <v>0</v>
      </c>
      <c r="N46" s="49">
        <f>'дод 3'!O80</f>
        <v>0</v>
      </c>
      <c r="O46" s="49">
        <f>'дод 3'!P80</f>
        <v>468962880</v>
      </c>
    </row>
    <row r="47" spans="1:15" s="54" customFormat="1" ht="31.5" x14ac:dyDescent="0.25">
      <c r="A47" s="82"/>
      <c r="B47" s="82"/>
      <c r="C47" s="91" t="s">
        <v>391</v>
      </c>
      <c r="D47" s="84">
        <f>'дод 3'!E81</f>
        <v>466883500</v>
      </c>
      <c r="E47" s="84">
        <f>'дод 3'!F81</f>
        <v>466883500</v>
      </c>
      <c r="F47" s="84">
        <f>'дод 3'!G81</f>
        <v>383296900</v>
      </c>
      <c r="G47" s="84">
        <f>'дод 3'!H81</f>
        <v>0</v>
      </c>
      <c r="H47" s="84">
        <f>'дод 3'!I81</f>
        <v>0</v>
      </c>
      <c r="I47" s="84">
        <f>'дод 3'!J81</f>
        <v>0</v>
      </c>
      <c r="J47" s="84">
        <f>'дод 3'!K81</f>
        <v>0</v>
      </c>
      <c r="K47" s="84">
        <f>'дод 3'!L81</f>
        <v>0</v>
      </c>
      <c r="L47" s="84">
        <f>'дод 3'!M81</f>
        <v>0</v>
      </c>
      <c r="M47" s="84">
        <f>'дод 3'!N81</f>
        <v>0</v>
      </c>
      <c r="N47" s="84">
        <f>'дод 3'!O81</f>
        <v>0</v>
      </c>
      <c r="O47" s="84">
        <f>'дод 3'!P81</f>
        <v>466883500</v>
      </c>
    </row>
    <row r="48" spans="1:15" ht="50.25" customHeight="1" x14ac:dyDescent="0.25">
      <c r="A48" s="37"/>
      <c r="B48" s="37"/>
      <c r="C48" s="91" t="s">
        <v>386</v>
      </c>
      <c r="D48" s="84">
        <f>'дод 3'!E82</f>
        <v>2079380</v>
      </c>
      <c r="E48" s="84">
        <f>'дод 3'!F82</f>
        <v>2079380</v>
      </c>
      <c r="F48" s="84">
        <f>'дод 3'!G82</f>
        <v>0</v>
      </c>
      <c r="G48" s="84">
        <f>'дод 3'!H82</f>
        <v>0</v>
      </c>
      <c r="H48" s="84">
        <f>'дод 3'!I82</f>
        <v>0</v>
      </c>
      <c r="I48" s="84">
        <f>'дод 3'!J82</f>
        <v>0</v>
      </c>
      <c r="J48" s="84">
        <f>'дод 3'!K82</f>
        <v>0</v>
      </c>
      <c r="K48" s="84">
        <f>'дод 3'!L82</f>
        <v>0</v>
      </c>
      <c r="L48" s="84">
        <f>'дод 3'!M82</f>
        <v>0</v>
      </c>
      <c r="M48" s="84">
        <f>'дод 3'!N82</f>
        <v>0</v>
      </c>
      <c r="N48" s="84">
        <f>'дод 3'!O82</f>
        <v>0</v>
      </c>
      <c r="O48" s="84">
        <f>'дод 3'!P82</f>
        <v>2079380</v>
      </c>
    </row>
    <row r="49" spans="1:15" ht="63.75" customHeight="1" x14ac:dyDescent="0.25">
      <c r="A49" s="60" t="s">
        <v>485</v>
      </c>
      <c r="B49" s="60" t="s">
        <v>56</v>
      </c>
      <c r="C49" s="61" t="s">
        <v>514</v>
      </c>
      <c r="D49" s="49">
        <f>'дод 3'!E83</f>
        <v>15564500</v>
      </c>
      <c r="E49" s="49">
        <f>'дод 3'!F83</f>
        <v>15564500</v>
      </c>
      <c r="F49" s="49">
        <f>'дод 3'!G83</f>
        <v>12769100</v>
      </c>
      <c r="G49" s="49">
        <f>'дод 3'!H83</f>
        <v>0</v>
      </c>
      <c r="H49" s="49">
        <f>'дод 3'!I83</f>
        <v>0</v>
      </c>
      <c r="I49" s="49">
        <f>'дод 3'!J83</f>
        <v>0</v>
      </c>
      <c r="J49" s="49">
        <f>'дод 3'!K83</f>
        <v>0</v>
      </c>
      <c r="K49" s="49">
        <f>'дод 3'!L83</f>
        <v>0</v>
      </c>
      <c r="L49" s="49">
        <f>'дод 3'!M83</f>
        <v>0</v>
      </c>
      <c r="M49" s="49">
        <f>'дод 3'!N83</f>
        <v>0</v>
      </c>
      <c r="N49" s="49">
        <f>'дод 3'!O83</f>
        <v>0</v>
      </c>
      <c r="O49" s="49">
        <f>'дод 3'!P83</f>
        <v>15564500</v>
      </c>
    </row>
    <row r="50" spans="1:15" ht="31.5" x14ac:dyDescent="0.25">
      <c r="A50" s="37"/>
      <c r="B50" s="37"/>
      <c r="C50" s="91" t="s">
        <v>391</v>
      </c>
      <c r="D50" s="84">
        <f>'дод 3'!E84</f>
        <v>15564500</v>
      </c>
      <c r="E50" s="84">
        <f>'дод 3'!F84</f>
        <v>15564500</v>
      </c>
      <c r="F50" s="84">
        <f>'дод 3'!G84</f>
        <v>12769100</v>
      </c>
      <c r="G50" s="84">
        <f>'дод 3'!H84</f>
        <v>0</v>
      </c>
      <c r="H50" s="84">
        <f>'дод 3'!I84</f>
        <v>0</v>
      </c>
      <c r="I50" s="84">
        <f>'дод 3'!J84</f>
        <v>0</v>
      </c>
      <c r="J50" s="84">
        <f>'дод 3'!K84</f>
        <v>0</v>
      </c>
      <c r="K50" s="84">
        <f>'дод 3'!L84</f>
        <v>0</v>
      </c>
      <c r="L50" s="84">
        <f>'дод 3'!M84</f>
        <v>0</v>
      </c>
      <c r="M50" s="84">
        <f>'дод 3'!N84</f>
        <v>0</v>
      </c>
      <c r="N50" s="84">
        <f>'дод 3'!O84</f>
        <v>0</v>
      </c>
      <c r="O50" s="84">
        <f>'дод 3'!P84</f>
        <v>15564500</v>
      </c>
    </row>
    <row r="51" spans="1:15" ht="31.5" x14ac:dyDescent="0.25">
      <c r="A51" s="37">
        <v>1061</v>
      </c>
      <c r="B51" s="60" t="s">
        <v>52</v>
      </c>
      <c r="C51" s="36" t="s">
        <v>548</v>
      </c>
      <c r="D51" s="49">
        <f>'дод 3'!E85</f>
        <v>915009.6</v>
      </c>
      <c r="E51" s="49">
        <f>'дод 3'!F85</f>
        <v>915009.6</v>
      </c>
      <c r="F51" s="49">
        <f>'дод 3'!G85</f>
        <v>0</v>
      </c>
      <c r="G51" s="49">
        <f>'дод 3'!H85</f>
        <v>0</v>
      </c>
      <c r="H51" s="49">
        <f>'дод 3'!I85</f>
        <v>0</v>
      </c>
      <c r="I51" s="49">
        <f>'дод 3'!J85</f>
        <v>6142733.1799999997</v>
      </c>
      <c r="J51" s="49">
        <f>'дод 3'!K85</f>
        <v>6142733.1799999997</v>
      </c>
      <c r="K51" s="49">
        <f>'дод 3'!L85</f>
        <v>0</v>
      </c>
      <c r="L51" s="49">
        <f>'дод 3'!M85</f>
        <v>0</v>
      </c>
      <c r="M51" s="49">
        <f>'дод 3'!N85</f>
        <v>0</v>
      </c>
      <c r="N51" s="49">
        <f>'дод 3'!O85</f>
        <v>6142733.1799999997</v>
      </c>
      <c r="O51" s="49">
        <f>'дод 3'!P85</f>
        <v>7057742.7799999993</v>
      </c>
    </row>
    <row r="52" spans="1:15" ht="48.75" customHeight="1" x14ac:dyDescent="0.25">
      <c r="A52" s="37"/>
      <c r="B52" s="60"/>
      <c r="C52" s="91" t="s">
        <v>561</v>
      </c>
      <c r="D52" s="84">
        <f>'дод 3'!E86</f>
        <v>246000</v>
      </c>
      <c r="E52" s="84">
        <f>'дод 3'!F86</f>
        <v>246000</v>
      </c>
      <c r="F52" s="84">
        <f>'дод 3'!G86</f>
        <v>0</v>
      </c>
      <c r="G52" s="84">
        <f>'дод 3'!H86</f>
        <v>0</v>
      </c>
      <c r="H52" s="84">
        <f>'дод 3'!I86</f>
        <v>0</v>
      </c>
      <c r="I52" s="84">
        <f>'дод 3'!J86</f>
        <v>1754000</v>
      </c>
      <c r="J52" s="84">
        <f>'дод 3'!K86</f>
        <v>1754000</v>
      </c>
      <c r="K52" s="84">
        <f>'дод 3'!L86</f>
        <v>0</v>
      </c>
      <c r="L52" s="84">
        <f>'дод 3'!M86</f>
        <v>0</v>
      </c>
      <c r="M52" s="84">
        <f>'дод 3'!N86</f>
        <v>0</v>
      </c>
      <c r="N52" s="84">
        <f>'дод 3'!O86</f>
        <v>1754000</v>
      </c>
      <c r="O52" s="84">
        <f>'дод 3'!P86</f>
        <v>2000000</v>
      </c>
    </row>
    <row r="53" spans="1:15" s="54" customFormat="1" ht="32.25" customHeight="1" x14ac:dyDescent="0.25">
      <c r="A53" s="82"/>
      <c r="B53" s="88"/>
      <c r="C53" s="91" t="s">
        <v>558</v>
      </c>
      <c r="D53" s="84">
        <f>'дод 3'!E87</f>
        <v>669009.6</v>
      </c>
      <c r="E53" s="84">
        <f>'дод 3'!F87</f>
        <v>669009.6</v>
      </c>
      <c r="F53" s="84">
        <f>'дод 3'!G87</f>
        <v>0</v>
      </c>
      <c r="G53" s="84">
        <f>'дод 3'!H87</f>
        <v>0</v>
      </c>
      <c r="H53" s="84">
        <f>'дод 3'!I87</f>
        <v>0</v>
      </c>
      <c r="I53" s="84">
        <f>'дод 3'!J87</f>
        <v>4388733.18</v>
      </c>
      <c r="J53" s="84">
        <f>'дод 3'!K87</f>
        <v>4388733.18</v>
      </c>
      <c r="K53" s="84">
        <f>'дод 3'!L87</f>
        <v>0</v>
      </c>
      <c r="L53" s="84">
        <f>'дод 3'!M87</f>
        <v>0</v>
      </c>
      <c r="M53" s="84">
        <f>'дод 3'!N87</f>
        <v>0</v>
      </c>
      <c r="N53" s="84">
        <f>'дод 3'!O87</f>
        <v>4388733.18</v>
      </c>
      <c r="O53" s="84">
        <f>'дод 3'!P87</f>
        <v>5057742.7799999993</v>
      </c>
    </row>
    <row r="54" spans="1:15" s="54" customFormat="1" ht="63" x14ac:dyDescent="0.25">
      <c r="A54" s="37">
        <v>1062</v>
      </c>
      <c r="B54" s="60" t="s">
        <v>56</v>
      </c>
      <c r="C54" s="61" t="s">
        <v>514</v>
      </c>
      <c r="D54" s="49">
        <f>'дод 3'!E88</f>
        <v>40000</v>
      </c>
      <c r="E54" s="49">
        <f>'дод 3'!F88</f>
        <v>40000</v>
      </c>
      <c r="F54" s="49">
        <f>'дод 3'!G88</f>
        <v>0</v>
      </c>
      <c r="G54" s="49">
        <f>'дод 3'!H88</f>
        <v>0</v>
      </c>
      <c r="H54" s="49">
        <f>'дод 3'!I88</f>
        <v>0</v>
      </c>
      <c r="I54" s="49">
        <f>'дод 3'!J88</f>
        <v>0</v>
      </c>
      <c r="J54" s="49">
        <f>'дод 3'!K88</f>
        <v>0</v>
      </c>
      <c r="K54" s="49">
        <f>'дод 3'!L88</f>
        <v>0</v>
      </c>
      <c r="L54" s="49">
        <f>'дод 3'!M88</f>
        <v>0</v>
      </c>
      <c r="M54" s="49">
        <f>'дод 3'!N88</f>
        <v>0</v>
      </c>
      <c r="N54" s="49">
        <f>'дод 3'!O88</f>
        <v>0</v>
      </c>
      <c r="O54" s="49">
        <f>'дод 3'!P88</f>
        <v>40000</v>
      </c>
    </row>
    <row r="55" spans="1:15" s="54" customFormat="1" ht="32.25" customHeight="1" x14ac:dyDescent="0.25">
      <c r="A55" s="82"/>
      <c r="B55" s="88"/>
      <c r="C55" s="91" t="s">
        <v>558</v>
      </c>
      <c r="D55" s="84">
        <f>'дод 3'!E89</f>
        <v>40000</v>
      </c>
      <c r="E55" s="84">
        <f>'дод 3'!F89</f>
        <v>40000</v>
      </c>
      <c r="F55" s="84">
        <f>'дод 3'!G89</f>
        <v>0</v>
      </c>
      <c r="G55" s="84">
        <f>'дод 3'!H89</f>
        <v>0</v>
      </c>
      <c r="H55" s="84">
        <f>'дод 3'!I89</f>
        <v>0</v>
      </c>
      <c r="I55" s="84">
        <f>'дод 3'!J89</f>
        <v>0</v>
      </c>
      <c r="J55" s="84">
        <f>'дод 3'!K89</f>
        <v>0</v>
      </c>
      <c r="K55" s="84">
        <f>'дод 3'!L89</f>
        <v>0</v>
      </c>
      <c r="L55" s="84">
        <f>'дод 3'!M89</f>
        <v>0</v>
      </c>
      <c r="M55" s="84">
        <f>'дод 3'!N89</f>
        <v>0</v>
      </c>
      <c r="N55" s="84">
        <f>'дод 3'!O89</f>
        <v>0</v>
      </c>
      <c r="O55" s="84">
        <f>'дод 3'!P89</f>
        <v>40000</v>
      </c>
    </row>
    <row r="56" spans="1:15" s="54" customFormat="1" ht="38.25" customHeight="1" x14ac:dyDescent="0.25">
      <c r="A56" s="60" t="s">
        <v>55</v>
      </c>
      <c r="B56" s="60" t="s">
        <v>58</v>
      </c>
      <c r="C56" s="61" t="s">
        <v>367</v>
      </c>
      <c r="D56" s="49">
        <f>'дод 3'!E90</f>
        <v>35044945</v>
      </c>
      <c r="E56" s="49">
        <f>'дод 3'!F90</f>
        <v>35044945</v>
      </c>
      <c r="F56" s="49">
        <f>'дод 3'!G90</f>
        <v>25836800</v>
      </c>
      <c r="G56" s="49">
        <f>'дод 3'!H90</f>
        <v>2805445</v>
      </c>
      <c r="H56" s="49">
        <f>'дод 3'!I90</f>
        <v>0</v>
      </c>
      <c r="I56" s="49">
        <f>'дод 3'!J90</f>
        <v>112500</v>
      </c>
      <c r="J56" s="49">
        <f>'дод 3'!K90</f>
        <v>112500</v>
      </c>
      <c r="K56" s="49">
        <f>'дод 3'!L90</f>
        <v>0</v>
      </c>
      <c r="L56" s="49">
        <f>'дод 3'!M90</f>
        <v>0</v>
      </c>
      <c r="M56" s="49">
        <f>'дод 3'!N90</f>
        <v>0</v>
      </c>
      <c r="N56" s="49">
        <f>'дод 3'!O90</f>
        <v>112500</v>
      </c>
      <c r="O56" s="49">
        <f>'дод 3'!P90</f>
        <v>35157445</v>
      </c>
    </row>
    <row r="57" spans="1:15" s="54" customFormat="1" ht="16.5" customHeight="1" x14ac:dyDescent="0.25">
      <c r="A57" s="97">
        <v>1080</v>
      </c>
      <c r="B57" s="60" t="s">
        <v>58</v>
      </c>
      <c r="C57" s="61" t="s">
        <v>519</v>
      </c>
      <c r="D57" s="49">
        <f>'дод 3'!E207</f>
        <v>50948015</v>
      </c>
      <c r="E57" s="49">
        <f>'дод 3'!F207</f>
        <v>50948015</v>
      </c>
      <c r="F57" s="49">
        <f>'дод 3'!G207</f>
        <v>40594000</v>
      </c>
      <c r="G57" s="49">
        <f>'дод 3'!H207</f>
        <v>777815</v>
      </c>
      <c r="H57" s="49">
        <f>'дод 3'!I207</f>
        <v>0</v>
      </c>
      <c r="I57" s="49">
        <f>'дод 3'!J207</f>
        <v>2729100</v>
      </c>
      <c r="J57" s="49">
        <f>'дод 3'!K207</f>
        <v>0</v>
      </c>
      <c r="K57" s="49">
        <f>'дод 3'!L207</f>
        <v>2725970</v>
      </c>
      <c r="L57" s="49">
        <f>'дод 3'!M207</f>
        <v>2226904</v>
      </c>
      <c r="M57" s="49">
        <f>'дод 3'!N207</f>
        <v>0</v>
      </c>
      <c r="N57" s="49">
        <f>'дод 3'!O207</f>
        <v>3130</v>
      </c>
      <c r="O57" s="49">
        <f>'дод 3'!P207</f>
        <v>53677115</v>
      </c>
    </row>
    <row r="58" spans="1:15" s="54" customFormat="1" ht="21" customHeight="1" x14ac:dyDescent="0.25">
      <c r="A58" s="60" t="s">
        <v>488</v>
      </c>
      <c r="B58" s="60" t="s">
        <v>59</v>
      </c>
      <c r="C58" s="36" t="s">
        <v>520</v>
      </c>
      <c r="D58" s="49">
        <f>'дод 3'!E91</f>
        <v>11387250</v>
      </c>
      <c r="E58" s="49">
        <f>'дод 3'!F91</f>
        <v>11387250</v>
      </c>
      <c r="F58" s="49">
        <f>'дод 3'!G91</f>
        <v>8331500</v>
      </c>
      <c r="G58" s="49">
        <f>'дод 3'!H91</f>
        <v>585250</v>
      </c>
      <c r="H58" s="49">
        <f>'дод 3'!I91</f>
        <v>0</v>
      </c>
      <c r="I58" s="49">
        <f>'дод 3'!J91</f>
        <v>0</v>
      </c>
      <c r="J58" s="49">
        <f>'дод 3'!K91</f>
        <v>0</v>
      </c>
      <c r="K58" s="49">
        <f>'дод 3'!L91</f>
        <v>0</v>
      </c>
      <c r="L58" s="49">
        <f>'дод 3'!M91</f>
        <v>0</v>
      </c>
      <c r="M58" s="49">
        <f>'дод 3'!N91</f>
        <v>0</v>
      </c>
      <c r="N58" s="49">
        <f>'дод 3'!O91</f>
        <v>0</v>
      </c>
      <c r="O58" s="49">
        <f>'дод 3'!P91</f>
        <v>11387250</v>
      </c>
    </row>
    <row r="59" spans="1:15" x14ac:dyDescent="0.25">
      <c r="A59" s="60" t="s">
        <v>490</v>
      </c>
      <c r="B59" s="60" t="s">
        <v>59</v>
      </c>
      <c r="C59" s="36" t="s">
        <v>283</v>
      </c>
      <c r="D59" s="49">
        <f>'дод 3'!E92</f>
        <v>113000</v>
      </c>
      <c r="E59" s="49">
        <f>'дод 3'!F92</f>
        <v>113000</v>
      </c>
      <c r="F59" s="49">
        <f>'дод 3'!G92</f>
        <v>0</v>
      </c>
      <c r="G59" s="49">
        <f>'дод 3'!H92</f>
        <v>0</v>
      </c>
      <c r="H59" s="49">
        <f>'дод 3'!I92</f>
        <v>0</v>
      </c>
      <c r="I59" s="49">
        <f>'дод 3'!J92</f>
        <v>0</v>
      </c>
      <c r="J59" s="49">
        <f>'дод 3'!K92</f>
        <v>0</v>
      </c>
      <c r="K59" s="49">
        <f>'дод 3'!L92</f>
        <v>0</v>
      </c>
      <c r="L59" s="49">
        <f>'дод 3'!M92</f>
        <v>0</v>
      </c>
      <c r="M59" s="49">
        <f>'дод 3'!N92</f>
        <v>0</v>
      </c>
      <c r="N59" s="49">
        <f>'дод 3'!O92</f>
        <v>0</v>
      </c>
      <c r="O59" s="49">
        <f>'дод 3'!P92</f>
        <v>113000</v>
      </c>
    </row>
    <row r="60" spans="1:15" ht="31.5" x14ac:dyDescent="0.25">
      <c r="A60" s="60" t="s">
        <v>492</v>
      </c>
      <c r="B60" s="60" t="s">
        <v>59</v>
      </c>
      <c r="C60" s="61" t="s">
        <v>493</v>
      </c>
      <c r="D60" s="49">
        <f>'дод 3'!E93</f>
        <v>445933</v>
      </c>
      <c r="E60" s="49">
        <f>'дод 3'!F93</f>
        <v>445933</v>
      </c>
      <c r="F60" s="49">
        <f>'дод 3'!G93</f>
        <v>266200</v>
      </c>
      <c r="G60" s="49">
        <f>'дод 3'!H93</f>
        <v>66733</v>
      </c>
      <c r="H60" s="49">
        <f>'дод 3'!I93</f>
        <v>0</v>
      </c>
      <c r="I60" s="49">
        <f>'дод 3'!J93</f>
        <v>0</v>
      </c>
      <c r="J60" s="49">
        <f>'дод 3'!K93</f>
        <v>0</v>
      </c>
      <c r="K60" s="49">
        <f>'дод 3'!L93</f>
        <v>0</v>
      </c>
      <c r="L60" s="49">
        <f>'дод 3'!M93</f>
        <v>0</v>
      </c>
      <c r="M60" s="49">
        <f>'дод 3'!N93</f>
        <v>0</v>
      </c>
      <c r="N60" s="49">
        <f>'дод 3'!O93</f>
        <v>0</v>
      </c>
      <c r="O60" s="49">
        <f>'дод 3'!P93</f>
        <v>445933</v>
      </c>
    </row>
    <row r="61" spans="1:15" ht="36.75" customHeight="1" x14ac:dyDescent="0.25">
      <c r="A61" s="60" t="s">
        <v>495</v>
      </c>
      <c r="B61" s="60" t="s">
        <v>59</v>
      </c>
      <c r="C61" s="61" t="s">
        <v>521</v>
      </c>
      <c r="D61" s="49">
        <f>'дод 3'!E94</f>
        <v>1499036</v>
      </c>
      <c r="E61" s="49">
        <f>'дод 3'!F94</f>
        <v>1499036</v>
      </c>
      <c r="F61" s="49">
        <f>'дод 3'!G94</f>
        <v>1228720</v>
      </c>
      <c r="G61" s="49">
        <f>'дод 3'!H94</f>
        <v>0</v>
      </c>
      <c r="H61" s="49">
        <f>'дод 3'!I94</f>
        <v>0</v>
      </c>
      <c r="I61" s="49">
        <f>'дод 3'!J94</f>
        <v>0</v>
      </c>
      <c r="J61" s="49">
        <f>'дод 3'!K94</f>
        <v>0</v>
      </c>
      <c r="K61" s="49">
        <f>'дод 3'!L94</f>
        <v>0</v>
      </c>
      <c r="L61" s="49">
        <f>'дод 3'!M94</f>
        <v>0</v>
      </c>
      <c r="M61" s="49">
        <f>'дод 3'!N94</f>
        <v>0</v>
      </c>
      <c r="N61" s="49">
        <f>'дод 3'!O94</f>
        <v>0</v>
      </c>
      <c r="O61" s="49">
        <f>'дод 3'!P94</f>
        <v>1499036</v>
      </c>
    </row>
    <row r="62" spans="1:15" ht="49.5" customHeight="1" x14ac:dyDescent="0.25">
      <c r="A62" s="37"/>
      <c r="B62" s="37"/>
      <c r="C62" s="91" t="s">
        <v>386</v>
      </c>
      <c r="D62" s="84">
        <f>'дод 3'!E95</f>
        <v>1499036</v>
      </c>
      <c r="E62" s="84">
        <f>'дод 3'!F95</f>
        <v>1499036</v>
      </c>
      <c r="F62" s="84">
        <f>'дод 3'!G95</f>
        <v>1228720</v>
      </c>
      <c r="G62" s="84">
        <f>'дод 3'!H95</f>
        <v>0</v>
      </c>
      <c r="H62" s="84">
        <f>'дод 3'!I95</f>
        <v>0</v>
      </c>
      <c r="I62" s="84">
        <f>'дод 3'!J95</f>
        <v>0</v>
      </c>
      <c r="J62" s="84">
        <f>'дод 3'!K95</f>
        <v>0</v>
      </c>
      <c r="K62" s="84">
        <f>'дод 3'!L95</f>
        <v>0</v>
      </c>
      <c r="L62" s="84">
        <f>'дод 3'!M95</f>
        <v>0</v>
      </c>
      <c r="M62" s="84">
        <f>'дод 3'!N95</f>
        <v>0</v>
      </c>
      <c r="N62" s="84">
        <f>'дод 3'!O95</f>
        <v>0</v>
      </c>
      <c r="O62" s="84">
        <f>'дод 3'!P95</f>
        <v>1499036</v>
      </c>
    </row>
    <row r="63" spans="1:15" s="54" customFormat="1" ht="31.5" x14ac:dyDescent="0.25">
      <c r="A63" s="60" t="s">
        <v>497</v>
      </c>
      <c r="B63" s="60" t="str">
        <f>'дод 8'!A19</f>
        <v>0160</v>
      </c>
      <c r="C63" s="61" t="s">
        <v>498</v>
      </c>
      <c r="D63" s="49">
        <f>'дод 3'!E96</f>
        <v>2521377</v>
      </c>
      <c r="E63" s="49">
        <f>'дод 3'!F96</f>
        <v>2521377</v>
      </c>
      <c r="F63" s="49">
        <f>'дод 3'!G96</f>
        <v>1880000</v>
      </c>
      <c r="G63" s="49">
        <f>'дод 3'!H96</f>
        <v>92977</v>
      </c>
      <c r="H63" s="49">
        <f>'дод 3'!I96</f>
        <v>0</v>
      </c>
      <c r="I63" s="49">
        <f>'дод 3'!J96</f>
        <v>50000</v>
      </c>
      <c r="J63" s="49">
        <f>'дод 3'!K96</f>
        <v>50000</v>
      </c>
      <c r="K63" s="49">
        <f>'дод 3'!L96</f>
        <v>0</v>
      </c>
      <c r="L63" s="49">
        <f>'дод 3'!M96</f>
        <v>0</v>
      </c>
      <c r="M63" s="49">
        <f>'дод 3'!N96</f>
        <v>0</v>
      </c>
      <c r="N63" s="49">
        <f>'дод 3'!O96</f>
        <v>50000</v>
      </c>
      <c r="O63" s="49">
        <f>'дод 3'!P96</f>
        <v>2571377</v>
      </c>
    </row>
    <row r="64" spans="1:15" s="54" customFormat="1" ht="63" x14ac:dyDescent="0.25">
      <c r="A64" s="60" t="s">
        <v>589</v>
      </c>
      <c r="B64" s="60" t="s">
        <v>59</v>
      </c>
      <c r="C64" s="61" t="s">
        <v>593</v>
      </c>
      <c r="D64" s="49">
        <f>'дод 3'!E97</f>
        <v>0</v>
      </c>
      <c r="E64" s="49">
        <f>'дод 3'!F97</f>
        <v>0</v>
      </c>
      <c r="F64" s="49">
        <f>'дод 3'!G97</f>
        <v>0</v>
      </c>
      <c r="G64" s="49">
        <f>'дод 3'!H97</f>
        <v>0</v>
      </c>
      <c r="H64" s="49">
        <f>'дод 3'!I97</f>
        <v>0</v>
      </c>
      <c r="I64" s="49">
        <f>'дод 3'!J97</f>
        <v>1049030</v>
      </c>
      <c r="J64" s="49">
        <f>'дод 3'!K97</f>
        <v>1049030</v>
      </c>
      <c r="K64" s="49">
        <f>'дод 3'!L97</f>
        <v>0</v>
      </c>
      <c r="L64" s="49">
        <f>'дод 3'!M97</f>
        <v>0</v>
      </c>
      <c r="M64" s="49">
        <f>'дод 3'!N97</f>
        <v>0</v>
      </c>
      <c r="N64" s="49">
        <f>'дод 3'!O97</f>
        <v>1049030</v>
      </c>
      <c r="O64" s="49">
        <f>'дод 3'!P97</f>
        <v>1049030</v>
      </c>
    </row>
    <row r="65" spans="1:15" s="54" customFormat="1" ht="48" customHeight="1" x14ac:dyDescent="0.25">
      <c r="A65" s="60" t="s">
        <v>577</v>
      </c>
      <c r="B65" s="60" t="s">
        <v>59</v>
      </c>
      <c r="C65" s="61" t="s">
        <v>579</v>
      </c>
      <c r="D65" s="103">
        <f>'дод 3'!E98</f>
        <v>287772</v>
      </c>
      <c r="E65" s="103">
        <f>'дод 3'!F98</f>
        <v>287772</v>
      </c>
      <c r="F65" s="103">
        <f>'дод 3'!G98</f>
        <v>0</v>
      </c>
      <c r="G65" s="103">
        <f>'дод 3'!H98</f>
        <v>0</v>
      </c>
      <c r="H65" s="103">
        <f>'дод 3'!I98</f>
        <v>0</v>
      </c>
      <c r="I65" s="103">
        <f>'дод 3'!J98</f>
        <v>2859726</v>
      </c>
      <c r="J65" s="103">
        <f>'дод 3'!K98</f>
        <v>2859726</v>
      </c>
      <c r="K65" s="103">
        <f>'дод 3'!L98</f>
        <v>0</v>
      </c>
      <c r="L65" s="103">
        <f>'дод 3'!M98</f>
        <v>0</v>
      </c>
      <c r="M65" s="103">
        <f>'дод 3'!N98</f>
        <v>0</v>
      </c>
      <c r="N65" s="103">
        <f>'дод 3'!O98</f>
        <v>2859726</v>
      </c>
      <c r="O65" s="103">
        <f>'дод 3'!P98</f>
        <v>3147498</v>
      </c>
    </row>
    <row r="66" spans="1:15" s="54" customFormat="1" ht="47.25" x14ac:dyDescent="0.25">
      <c r="A66" s="88"/>
      <c r="B66" s="88"/>
      <c r="C66" s="91" t="s">
        <v>432</v>
      </c>
      <c r="D66" s="105">
        <f>'дод 3'!E99</f>
        <v>287772</v>
      </c>
      <c r="E66" s="105">
        <f>'дод 3'!F99</f>
        <v>287772</v>
      </c>
      <c r="F66" s="105">
        <f>'дод 3'!G99</f>
        <v>0</v>
      </c>
      <c r="G66" s="105">
        <f>'дод 3'!H99</f>
        <v>0</v>
      </c>
      <c r="H66" s="105">
        <f>'дод 3'!I99</f>
        <v>0</v>
      </c>
      <c r="I66" s="105">
        <f>'дод 3'!J99</f>
        <v>2859726</v>
      </c>
      <c r="J66" s="105">
        <f>'дод 3'!K99</f>
        <v>2859726</v>
      </c>
      <c r="K66" s="105">
        <f>'дод 3'!L99</f>
        <v>0</v>
      </c>
      <c r="L66" s="105">
        <f>'дод 3'!M99</f>
        <v>0</v>
      </c>
      <c r="M66" s="105">
        <f>'дод 3'!N99</f>
        <v>0</v>
      </c>
      <c r="N66" s="105">
        <f>'дод 3'!O99</f>
        <v>2859726</v>
      </c>
      <c r="O66" s="105">
        <f>'дод 3'!P99</f>
        <v>3147498</v>
      </c>
    </row>
    <row r="67" spans="1:15" s="54" customFormat="1" ht="63" x14ac:dyDescent="0.25">
      <c r="A67" s="60" t="s">
        <v>591</v>
      </c>
      <c r="B67" s="60" t="s">
        <v>59</v>
      </c>
      <c r="C67" s="61" t="s">
        <v>592</v>
      </c>
      <c r="D67" s="103">
        <f>'дод 3'!E100</f>
        <v>1800286</v>
      </c>
      <c r="E67" s="103">
        <f>'дод 3'!F100</f>
        <v>1800286</v>
      </c>
      <c r="F67" s="103">
        <f>'дод 3'!G100</f>
        <v>0</v>
      </c>
      <c r="G67" s="103">
        <f>'дод 3'!H100</f>
        <v>0</v>
      </c>
      <c r="H67" s="103">
        <f>'дод 3'!I100</f>
        <v>0</v>
      </c>
      <c r="I67" s="103">
        <f>'дод 3'!J100</f>
        <v>417966</v>
      </c>
      <c r="J67" s="103">
        <f>'дод 3'!K100</f>
        <v>417966</v>
      </c>
      <c r="K67" s="103">
        <f>'дод 3'!L100</f>
        <v>0</v>
      </c>
      <c r="L67" s="103">
        <f>'дод 3'!M100</f>
        <v>0</v>
      </c>
      <c r="M67" s="103">
        <f>'дод 3'!N100</f>
        <v>0</v>
      </c>
      <c r="N67" s="103">
        <f>'дод 3'!O100</f>
        <v>417966</v>
      </c>
      <c r="O67" s="103">
        <f>'дод 3'!P100</f>
        <v>2218252</v>
      </c>
    </row>
    <row r="68" spans="1:15" s="54" customFormat="1" ht="52.5" customHeight="1" x14ac:dyDescent="0.25">
      <c r="A68" s="60" t="s">
        <v>578</v>
      </c>
      <c r="B68" s="60" t="s">
        <v>59</v>
      </c>
      <c r="C68" s="61" t="s">
        <v>580</v>
      </c>
      <c r="D68" s="49">
        <f>'дод 3'!E101</f>
        <v>5811208</v>
      </c>
      <c r="E68" s="49">
        <f>'дод 3'!F101</f>
        <v>5811208</v>
      </c>
      <c r="F68" s="49">
        <f>'дод 3'!G101</f>
        <v>0</v>
      </c>
      <c r="G68" s="49">
        <f>'дод 3'!H101</f>
        <v>0</v>
      </c>
      <c r="H68" s="49">
        <f>'дод 3'!I101</f>
        <v>0</v>
      </c>
      <c r="I68" s="49">
        <f>'дод 3'!J101</f>
        <v>1095855</v>
      </c>
      <c r="J68" s="49">
        <f>'дод 3'!K101</f>
        <v>1095855</v>
      </c>
      <c r="K68" s="49">
        <f>'дод 3'!L101</f>
        <v>0</v>
      </c>
      <c r="L68" s="49">
        <f>'дод 3'!M101</f>
        <v>0</v>
      </c>
      <c r="M68" s="49">
        <f>'дод 3'!N101</f>
        <v>0</v>
      </c>
      <c r="N68" s="49">
        <f>'дод 3'!O101</f>
        <v>1095855</v>
      </c>
      <c r="O68" s="49">
        <f>'дод 3'!P101</f>
        <v>6907063</v>
      </c>
    </row>
    <row r="69" spans="1:15" s="54" customFormat="1" ht="68.25" customHeight="1" x14ac:dyDescent="0.25">
      <c r="A69" s="88"/>
      <c r="B69" s="88"/>
      <c r="C69" s="91" t="s">
        <v>581</v>
      </c>
      <c r="D69" s="84">
        <f>'дод 3'!E102</f>
        <v>5811208</v>
      </c>
      <c r="E69" s="84">
        <f>'дод 3'!F102</f>
        <v>5811208</v>
      </c>
      <c r="F69" s="84">
        <f>'дод 3'!G102</f>
        <v>0</v>
      </c>
      <c r="G69" s="84">
        <f>'дод 3'!H102</f>
        <v>0</v>
      </c>
      <c r="H69" s="84">
        <f>'дод 3'!I102</f>
        <v>0</v>
      </c>
      <c r="I69" s="84">
        <f>'дод 3'!J102</f>
        <v>1095855</v>
      </c>
      <c r="J69" s="84">
        <f>'дод 3'!K102</f>
        <v>1095855</v>
      </c>
      <c r="K69" s="84">
        <f>'дод 3'!L102</f>
        <v>0</v>
      </c>
      <c r="L69" s="84">
        <f>'дод 3'!M102</f>
        <v>0</v>
      </c>
      <c r="M69" s="84">
        <f>'дод 3'!N102</f>
        <v>0</v>
      </c>
      <c r="N69" s="84">
        <f>'дод 3'!O102</f>
        <v>1095855</v>
      </c>
      <c r="O69" s="84">
        <f>'дод 3'!P102</f>
        <v>6907063</v>
      </c>
    </row>
    <row r="70" spans="1:15" s="54" customFormat="1" ht="63" x14ac:dyDescent="0.25">
      <c r="A70" s="60" t="s">
        <v>500</v>
      </c>
      <c r="B70" s="60" t="s">
        <v>59</v>
      </c>
      <c r="C70" s="98" t="s">
        <v>522</v>
      </c>
      <c r="D70" s="49">
        <f>'дод 3'!E103</f>
        <v>2612700</v>
      </c>
      <c r="E70" s="49">
        <f>'дод 3'!F103</f>
        <v>2612700</v>
      </c>
      <c r="F70" s="49">
        <f>'дод 3'!G103</f>
        <v>1459720</v>
      </c>
      <c r="G70" s="49">
        <f>'дод 3'!H103</f>
        <v>0</v>
      </c>
      <c r="H70" s="49">
        <f>'дод 3'!I103</f>
        <v>0</v>
      </c>
      <c r="I70" s="49">
        <f>'дод 3'!J103</f>
        <v>72000</v>
      </c>
      <c r="J70" s="49">
        <f>'дод 3'!K103</f>
        <v>72000</v>
      </c>
      <c r="K70" s="49">
        <f>'дод 3'!L103</f>
        <v>0</v>
      </c>
      <c r="L70" s="49">
        <f>'дод 3'!M103</f>
        <v>0</v>
      </c>
      <c r="M70" s="49">
        <f>'дод 3'!N103</f>
        <v>0</v>
      </c>
      <c r="N70" s="49">
        <f>'дод 3'!O103</f>
        <v>72000</v>
      </c>
      <c r="O70" s="49">
        <f>'дод 3'!P103</f>
        <v>2684700</v>
      </c>
    </row>
    <row r="71" spans="1:15" s="54" customFormat="1" ht="50.25" customHeight="1" x14ac:dyDescent="0.25">
      <c r="A71" s="60"/>
      <c r="B71" s="60"/>
      <c r="C71" s="91" t="s">
        <v>385</v>
      </c>
      <c r="D71" s="84">
        <f>'дод 3'!E104</f>
        <v>2612700</v>
      </c>
      <c r="E71" s="84">
        <f>'дод 3'!F104</f>
        <v>2612700</v>
      </c>
      <c r="F71" s="84">
        <f>'дод 3'!G104</f>
        <v>1459720</v>
      </c>
      <c r="G71" s="84">
        <f>'дод 3'!H104</f>
        <v>0</v>
      </c>
      <c r="H71" s="84">
        <f>'дод 3'!I104</f>
        <v>0</v>
      </c>
      <c r="I71" s="84">
        <f>'дод 3'!J104</f>
        <v>72000</v>
      </c>
      <c r="J71" s="84">
        <f>'дод 3'!K104</f>
        <v>72000</v>
      </c>
      <c r="K71" s="84">
        <f>'дод 3'!L104</f>
        <v>0</v>
      </c>
      <c r="L71" s="84">
        <f>'дод 3'!M104</f>
        <v>0</v>
      </c>
      <c r="M71" s="84">
        <f>'дод 3'!N104</f>
        <v>0</v>
      </c>
      <c r="N71" s="84">
        <f>'дод 3'!O104</f>
        <v>72000</v>
      </c>
      <c r="O71" s="84">
        <f>'дод 3'!P104</f>
        <v>2684700</v>
      </c>
    </row>
    <row r="72" spans="1:15" s="54" customFormat="1" ht="63" x14ac:dyDescent="0.25">
      <c r="A72" s="60" t="s">
        <v>540</v>
      </c>
      <c r="B72" s="60" t="s">
        <v>59</v>
      </c>
      <c r="C72" s="36" t="s">
        <v>538</v>
      </c>
      <c r="D72" s="49">
        <f>'дод 3'!E105</f>
        <v>1174231</v>
      </c>
      <c r="E72" s="49">
        <f>'дод 3'!F105</f>
        <v>1174231</v>
      </c>
      <c r="F72" s="49">
        <f>'дод 3'!G105</f>
        <v>962484</v>
      </c>
      <c r="G72" s="49">
        <f>'дод 3'!H105</f>
        <v>0</v>
      </c>
      <c r="H72" s="49">
        <f>'дод 3'!I105</f>
        <v>0</v>
      </c>
      <c r="I72" s="49">
        <f>'дод 3'!J105</f>
        <v>0</v>
      </c>
      <c r="J72" s="49">
        <f>'дод 3'!K105</f>
        <v>0</v>
      </c>
      <c r="K72" s="49">
        <f>'дод 3'!L105</f>
        <v>0</v>
      </c>
      <c r="L72" s="49">
        <f>'дод 3'!M105</f>
        <v>0</v>
      </c>
      <c r="M72" s="49">
        <f>'дод 3'!N105</f>
        <v>0</v>
      </c>
      <c r="N72" s="49">
        <f>'дод 3'!O105</f>
        <v>0</v>
      </c>
      <c r="O72" s="49">
        <f>'дод 3'!P105</f>
        <v>1174231</v>
      </c>
    </row>
    <row r="73" spans="1:15" s="54" customFormat="1" ht="63" x14ac:dyDescent="0.25">
      <c r="A73" s="60"/>
      <c r="B73" s="60"/>
      <c r="C73" s="91" t="s">
        <v>539</v>
      </c>
      <c r="D73" s="84">
        <f>'дод 3'!E106</f>
        <v>1174231</v>
      </c>
      <c r="E73" s="84">
        <f>'дод 3'!F106</f>
        <v>1174231</v>
      </c>
      <c r="F73" s="84">
        <f>'дод 3'!G106</f>
        <v>962484</v>
      </c>
      <c r="G73" s="84">
        <f>'дод 3'!H106</f>
        <v>0</v>
      </c>
      <c r="H73" s="84">
        <f>'дод 3'!I106</f>
        <v>0</v>
      </c>
      <c r="I73" s="84">
        <f>'дод 3'!J106</f>
        <v>0</v>
      </c>
      <c r="J73" s="84">
        <f>'дод 3'!K106</f>
        <v>0</v>
      </c>
      <c r="K73" s="84">
        <f>'дод 3'!L106</f>
        <v>0</v>
      </c>
      <c r="L73" s="84">
        <f>'дод 3'!M106</f>
        <v>0</v>
      </c>
      <c r="M73" s="84">
        <f>'дод 3'!N106</f>
        <v>0</v>
      </c>
      <c r="N73" s="84">
        <f>'дод 3'!O106</f>
        <v>0</v>
      </c>
      <c r="O73" s="84">
        <f>'дод 3'!P106</f>
        <v>1174231</v>
      </c>
    </row>
    <row r="74" spans="1:15" s="52" customFormat="1" ht="19.5" customHeight="1" x14ac:dyDescent="0.25">
      <c r="A74" s="38" t="s">
        <v>60</v>
      </c>
      <c r="B74" s="39"/>
      <c r="C74" s="9" t="s">
        <v>541</v>
      </c>
      <c r="D74" s="48">
        <f>D79+D84+D86+D88+D90+D93+D94+D83</f>
        <v>88080791.400000006</v>
      </c>
      <c r="E74" s="48">
        <f t="shared" ref="E74:O74" si="11">E79+E84+E86+E88+E90+E93+E94+E83</f>
        <v>88080791.400000006</v>
      </c>
      <c r="F74" s="48">
        <f t="shared" si="11"/>
        <v>2387600</v>
      </c>
      <c r="G74" s="48">
        <f t="shared" si="11"/>
        <v>61784</v>
      </c>
      <c r="H74" s="48">
        <f t="shared" si="11"/>
        <v>0</v>
      </c>
      <c r="I74" s="48">
        <f t="shared" si="11"/>
        <v>66962036.82</v>
      </c>
      <c r="J74" s="48">
        <f t="shared" si="11"/>
        <v>66962036.82</v>
      </c>
      <c r="K74" s="48">
        <f t="shared" si="11"/>
        <v>0</v>
      </c>
      <c r="L74" s="48">
        <f t="shared" si="11"/>
        <v>0</v>
      </c>
      <c r="M74" s="48">
        <f t="shared" si="11"/>
        <v>0</v>
      </c>
      <c r="N74" s="48">
        <f t="shared" si="11"/>
        <v>66962036.82</v>
      </c>
      <c r="O74" s="48">
        <f t="shared" si="11"/>
        <v>155042828.22</v>
      </c>
    </row>
    <row r="75" spans="1:15" s="53" customFormat="1" ht="31.5" hidden="1" customHeight="1" x14ac:dyDescent="0.25">
      <c r="A75" s="75"/>
      <c r="B75" s="78"/>
      <c r="C75" s="79" t="s">
        <v>392</v>
      </c>
      <c r="D75" s="80">
        <f>D80+D85+D87</f>
        <v>0</v>
      </c>
      <c r="E75" s="80">
        <f t="shared" ref="E75:O75" si="12">E80+E85+E87</f>
        <v>0</v>
      </c>
      <c r="F75" s="80">
        <f t="shared" si="12"/>
        <v>0</v>
      </c>
      <c r="G75" s="80">
        <f t="shared" si="12"/>
        <v>0</v>
      </c>
      <c r="H75" s="80">
        <f t="shared" si="12"/>
        <v>0</v>
      </c>
      <c r="I75" s="80">
        <f t="shared" si="12"/>
        <v>0</v>
      </c>
      <c r="J75" s="80">
        <f t="shared" si="12"/>
        <v>0</v>
      </c>
      <c r="K75" s="80">
        <f t="shared" si="12"/>
        <v>0</v>
      </c>
      <c r="L75" s="80">
        <f t="shared" si="12"/>
        <v>0</v>
      </c>
      <c r="M75" s="80">
        <f t="shared" si="12"/>
        <v>0</v>
      </c>
      <c r="N75" s="80">
        <f t="shared" si="12"/>
        <v>0</v>
      </c>
      <c r="O75" s="80">
        <f t="shared" si="12"/>
        <v>0</v>
      </c>
    </row>
    <row r="76" spans="1:15" s="53" customFormat="1" ht="47.25" hidden="1" customHeight="1" x14ac:dyDescent="0.25">
      <c r="A76" s="75"/>
      <c r="B76" s="78"/>
      <c r="C76" s="79" t="s">
        <v>393</v>
      </c>
      <c r="D76" s="80">
        <f>D81+D91</f>
        <v>0</v>
      </c>
      <c r="E76" s="80">
        <f t="shared" ref="E76:O76" si="13">E81+E91</f>
        <v>0</v>
      </c>
      <c r="F76" s="80">
        <f t="shared" si="13"/>
        <v>0</v>
      </c>
      <c r="G76" s="80">
        <f t="shared" si="13"/>
        <v>0</v>
      </c>
      <c r="H76" s="80">
        <f t="shared" si="13"/>
        <v>0</v>
      </c>
      <c r="I76" s="80">
        <f t="shared" si="13"/>
        <v>0</v>
      </c>
      <c r="J76" s="80">
        <f t="shared" si="13"/>
        <v>0</v>
      </c>
      <c r="K76" s="80">
        <f t="shared" si="13"/>
        <v>0</v>
      </c>
      <c r="L76" s="80">
        <f t="shared" si="13"/>
        <v>0</v>
      </c>
      <c r="M76" s="80">
        <f t="shared" si="13"/>
        <v>0</v>
      </c>
      <c r="N76" s="80">
        <f t="shared" si="13"/>
        <v>0</v>
      </c>
      <c r="O76" s="80">
        <f t="shared" si="13"/>
        <v>0</v>
      </c>
    </row>
    <row r="77" spans="1:15" s="53" customFormat="1" ht="53.25" customHeight="1" x14ac:dyDescent="0.25">
      <c r="A77" s="75"/>
      <c r="B77" s="78"/>
      <c r="C77" s="79" t="s">
        <v>394</v>
      </c>
      <c r="D77" s="80">
        <f>D89+D92</f>
        <v>11403700</v>
      </c>
      <c r="E77" s="80">
        <f t="shared" ref="E77:O77" si="14">E89+E92</f>
        <v>11403700</v>
      </c>
      <c r="F77" s="80">
        <f t="shared" si="14"/>
        <v>0</v>
      </c>
      <c r="G77" s="80">
        <f t="shared" si="14"/>
        <v>0</v>
      </c>
      <c r="H77" s="80">
        <f t="shared" si="14"/>
        <v>0</v>
      </c>
      <c r="I77" s="80">
        <f t="shared" si="14"/>
        <v>0</v>
      </c>
      <c r="J77" s="80">
        <f t="shared" si="14"/>
        <v>0</v>
      </c>
      <c r="K77" s="80">
        <f t="shared" si="14"/>
        <v>0</v>
      </c>
      <c r="L77" s="80">
        <f t="shared" si="14"/>
        <v>0</v>
      </c>
      <c r="M77" s="80">
        <f t="shared" si="14"/>
        <v>0</v>
      </c>
      <c r="N77" s="80">
        <f t="shared" si="14"/>
        <v>0</v>
      </c>
      <c r="O77" s="80">
        <f t="shared" si="14"/>
        <v>11403700</v>
      </c>
    </row>
    <row r="78" spans="1:15" s="53" customFormat="1" hidden="1" x14ac:dyDescent="0.25">
      <c r="A78" s="75"/>
      <c r="B78" s="78"/>
      <c r="C78" s="79" t="s">
        <v>395</v>
      </c>
      <c r="D78" s="80">
        <f>D82</f>
        <v>0</v>
      </c>
      <c r="E78" s="80">
        <f t="shared" ref="E78:O78" si="15">E82</f>
        <v>0</v>
      </c>
      <c r="F78" s="80">
        <f t="shared" si="15"/>
        <v>0</v>
      </c>
      <c r="G78" s="80">
        <f t="shared" si="15"/>
        <v>0</v>
      </c>
      <c r="H78" s="80">
        <f t="shared" si="15"/>
        <v>0</v>
      </c>
      <c r="I78" s="80">
        <f t="shared" si="15"/>
        <v>0</v>
      </c>
      <c r="J78" s="80">
        <f t="shared" si="15"/>
        <v>0</v>
      </c>
      <c r="K78" s="80">
        <f t="shared" si="15"/>
        <v>0</v>
      </c>
      <c r="L78" s="80">
        <f t="shared" si="15"/>
        <v>0</v>
      </c>
      <c r="M78" s="80">
        <f t="shared" si="15"/>
        <v>0</v>
      </c>
      <c r="N78" s="80">
        <f t="shared" si="15"/>
        <v>0</v>
      </c>
      <c r="O78" s="80">
        <f t="shared" si="15"/>
        <v>0</v>
      </c>
    </row>
    <row r="79" spans="1:15" ht="24.75" customHeight="1" x14ac:dyDescent="0.25">
      <c r="A79" s="37" t="s">
        <v>61</v>
      </c>
      <c r="B79" s="37" t="s">
        <v>62</v>
      </c>
      <c r="C79" s="6" t="s">
        <v>467</v>
      </c>
      <c r="D79" s="49">
        <f>'дод 3'!E131</f>
        <v>39300311.399999999</v>
      </c>
      <c r="E79" s="49">
        <f>'дод 3'!F131</f>
        <v>39300311.399999999</v>
      </c>
      <c r="F79" s="49">
        <f>'дод 3'!G131</f>
        <v>0</v>
      </c>
      <c r="G79" s="49">
        <f>'дод 3'!H131</f>
        <v>0</v>
      </c>
      <c r="H79" s="49">
        <f>'дод 3'!I131</f>
        <v>0</v>
      </c>
      <c r="I79" s="49">
        <f>'дод 3'!J131</f>
        <v>38830682.82</v>
      </c>
      <c r="J79" s="49">
        <f>'дод 3'!K131</f>
        <v>38830682.82</v>
      </c>
      <c r="K79" s="49">
        <f>'дод 3'!L131</f>
        <v>0</v>
      </c>
      <c r="L79" s="49">
        <f>'дод 3'!M131</f>
        <v>0</v>
      </c>
      <c r="M79" s="49">
        <f>'дод 3'!N131</f>
        <v>0</v>
      </c>
      <c r="N79" s="49">
        <f>'дод 3'!O131</f>
        <v>38830682.82</v>
      </c>
      <c r="O79" s="49">
        <f>'дод 3'!P131</f>
        <v>78130994.219999999</v>
      </c>
    </row>
    <row r="80" spans="1:15" s="54" customFormat="1" ht="31.5" hidden="1" customHeight="1" x14ac:dyDescent="0.25">
      <c r="A80" s="82"/>
      <c r="B80" s="82"/>
      <c r="C80" s="83" t="s">
        <v>392</v>
      </c>
      <c r="D80" s="84">
        <f>'дод 3'!E132</f>
        <v>0</v>
      </c>
      <c r="E80" s="84">
        <f>'дод 3'!F132</f>
        <v>0</v>
      </c>
      <c r="F80" s="84">
        <f>'дод 3'!G132</f>
        <v>0</v>
      </c>
      <c r="G80" s="84">
        <f>'дод 3'!H132</f>
        <v>0</v>
      </c>
      <c r="H80" s="84">
        <f>'дод 3'!I132</f>
        <v>0</v>
      </c>
      <c r="I80" s="84">
        <f>'дод 3'!J132</f>
        <v>0</v>
      </c>
      <c r="J80" s="84">
        <f>'дод 3'!K132</f>
        <v>0</v>
      </c>
      <c r="K80" s="84">
        <f>'дод 3'!L132</f>
        <v>0</v>
      </c>
      <c r="L80" s="84">
        <f>'дод 3'!M132</f>
        <v>0</v>
      </c>
      <c r="M80" s="84">
        <f>'дод 3'!N132</f>
        <v>0</v>
      </c>
      <c r="N80" s="84">
        <f>'дод 3'!O132</f>
        <v>0</v>
      </c>
      <c r="O80" s="84">
        <f>'дод 3'!P132</f>
        <v>0</v>
      </c>
    </row>
    <row r="81" spans="1:15" s="54" customFormat="1" ht="47.25" hidden="1" customHeight="1" x14ac:dyDescent="0.25">
      <c r="A81" s="82"/>
      <c r="B81" s="82"/>
      <c r="C81" s="83" t="s">
        <v>393</v>
      </c>
      <c r="D81" s="84">
        <f>'дод 3'!E133</f>
        <v>0</v>
      </c>
      <c r="E81" s="84">
        <f>'дод 3'!F133</f>
        <v>0</v>
      </c>
      <c r="F81" s="84">
        <f>'дод 3'!G133</f>
        <v>0</v>
      </c>
      <c r="G81" s="84">
        <f>'дод 3'!H133</f>
        <v>0</v>
      </c>
      <c r="H81" s="84">
        <f>'дод 3'!I133</f>
        <v>0</v>
      </c>
      <c r="I81" s="84">
        <f>'дод 3'!J133</f>
        <v>0</v>
      </c>
      <c r="J81" s="84">
        <f>'дод 3'!K133</f>
        <v>0</v>
      </c>
      <c r="K81" s="84">
        <f>'дод 3'!L133</f>
        <v>0</v>
      </c>
      <c r="L81" s="84">
        <f>'дод 3'!M133</f>
        <v>0</v>
      </c>
      <c r="M81" s="84">
        <f>'дод 3'!N133</f>
        <v>0</v>
      </c>
      <c r="N81" s="84">
        <f>'дод 3'!O133</f>
        <v>0</v>
      </c>
      <c r="O81" s="84">
        <f>'дод 3'!P133</f>
        <v>0</v>
      </c>
    </row>
    <row r="82" spans="1:15" s="54" customFormat="1" ht="15.75" hidden="1" customHeight="1" x14ac:dyDescent="0.25">
      <c r="A82" s="82"/>
      <c r="B82" s="82"/>
      <c r="C82" s="83" t="s">
        <v>395</v>
      </c>
      <c r="D82" s="84">
        <f>'дод 3'!E134</f>
        <v>0</v>
      </c>
      <c r="E82" s="84">
        <f>'дод 3'!F134</f>
        <v>0</v>
      </c>
      <c r="F82" s="84">
        <f>'дод 3'!G134</f>
        <v>0</v>
      </c>
      <c r="G82" s="84">
        <f>'дод 3'!H134</f>
        <v>0</v>
      </c>
      <c r="H82" s="84">
        <f>'дод 3'!I134</f>
        <v>0</v>
      </c>
      <c r="I82" s="84">
        <f>'дод 3'!J134</f>
        <v>0</v>
      </c>
      <c r="J82" s="84">
        <f>'дод 3'!K134</f>
        <v>0</v>
      </c>
      <c r="K82" s="84">
        <f>'дод 3'!L134</f>
        <v>0</v>
      </c>
      <c r="L82" s="84">
        <f>'дод 3'!M134</f>
        <v>0</v>
      </c>
      <c r="M82" s="84">
        <f>'дод 3'!N134</f>
        <v>0</v>
      </c>
      <c r="N82" s="84">
        <f>'дод 3'!O134</f>
        <v>0</v>
      </c>
      <c r="O82" s="84">
        <f>'дод 3'!P134</f>
        <v>0</v>
      </c>
    </row>
    <row r="83" spans="1:15" ht="24" hidden="1" customHeight="1" x14ac:dyDescent="0.25">
      <c r="A83" s="37">
        <v>2020</v>
      </c>
      <c r="B83" s="59" t="s">
        <v>451</v>
      </c>
      <c r="C83" s="6" t="s">
        <v>454</v>
      </c>
      <c r="D83" s="49">
        <f>'дод 3'!E135</f>
        <v>90000</v>
      </c>
      <c r="E83" s="49">
        <f>'дод 3'!F135</f>
        <v>90000</v>
      </c>
      <c r="F83" s="49">
        <f>'дод 3'!G135</f>
        <v>0</v>
      </c>
      <c r="G83" s="49">
        <f>'дод 3'!H135</f>
        <v>0</v>
      </c>
      <c r="H83" s="49">
        <f>'дод 3'!I135</f>
        <v>0</v>
      </c>
      <c r="I83" s="49">
        <f>'дод 3'!J135</f>
        <v>0</v>
      </c>
      <c r="J83" s="49">
        <f>'дод 3'!K135</f>
        <v>0</v>
      </c>
      <c r="K83" s="49">
        <f>'дод 3'!L135</f>
        <v>0</v>
      </c>
      <c r="L83" s="49">
        <f>'дод 3'!M135</f>
        <v>0</v>
      </c>
      <c r="M83" s="49">
        <f>'дод 3'!N135</f>
        <v>0</v>
      </c>
      <c r="N83" s="49">
        <f>'дод 3'!O135</f>
        <v>0</v>
      </c>
      <c r="O83" s="49">
        <f>'дод 3'!P135</f>
        <v>90000</v>
      </c>
    </row>
    <row r="84" spans="1:15" ht="36.75" customHeight="1" x14ac:dyDescent="0.25">
      <c r="A84" s="37" t="s">
        <v>122</v>
      </c>
      <c r="B84" s="37" t="s">
        <v>63</v>
      </c>
      <c r="C84" s="6" t="s">
        <v>468</v>
      </c>
      <c r="D84" s="49">
        <f>'дод 3'!E136</f>
        <v>3742159</v>
      </c>
      <c r="E84" s="49">
        <f>'дод 3'!F136</f>
        <v>3742159</v>
      </c>
      <c r="F84" s="49">
        <f>'дод 3'!G136</f>
        <v>0</v>
      </c>
      <c r="G84" s="49">
        <f>'дод 3'!H136</f>
        <v>0</v>
      </c>
      <c r="H84" s="49">
        <f>'дод 3'!I136</f>
        <v>0</v>
      </c>
      <c r="I84" s="49">
        <f>'дод 3'!J136</f>
        <v>5100000</v>
      </c>
      <c r="J84" s="49">
        <f>'дод 3'!K136</f>
        <v>5100000</v>
      </c>
      <c r="K84" s="49">
        <f>'дод 3'!L136</f>
        <v>0</v>
      </c>
      <c r="L84" s="49">
        <f>'дод 3'!M136</f>
        <v>0</v>
      </c>
      <c r="M84" s="49">
        <f>'дод 3'!N136</f>
        <v>0</v>
      </c>
      <c r="N84" s="49">
        <f>'дод 3'!O136</f>
        <v>5100000</v>
      </c>
      <c r="O84" s="49">
        <f>'дод 3'!P136</f>
        <v>8842159</v>
      </c>
    </row>
    <row r="85" spans="1:15" s="54" customFormat="1" ht="31.5" hidden="1" customHeight="1" x14ac:dyDescent="0.25">
      <c r="A85" s="82"/>
      <c r="B85" s="82"/>
      <c r="C85" s="83" t="s">
        <v>392</v>
      </c>
      <c r="D85" s="84">
        <f>'дод 3'!E137</f>
        <v>0</v>
      </c>
      <c r="E85" s="84">
        <f>'дод 3'!F137</f>
        <v>0</v>
      </c>
      <c r="F85" s="84">
        <f>'дод 3'!G137</f>
        <v>0</v>
      </c>
      <c r="G85" s="84">
        <f>'дод 3'!H137</f>
        <v>0</v>
      </c>
      <c r="H85" s="84">
        <f>'дод 3'!I137</f>
        <v>0</v>
      </c>
      <c r="I85" s="84">
        <f>'дод 3'!J137</f>
        <v>0</v>
      </c>
      <c r="J85" s="84">
        <f>'дод 3'!K137</f>
        <v>0</v>
      </c>
      <c r="K85" s="84">
        <f>'дод 3'!L137</f>
        <v>0</v>
      </c>
      <c r="L85" s="84">
        <f>'дод 3'!M137</f>
        <v>0</v>
      </c>
      <c r="M85" s="84">
        <f>'дод 3'!N137</f>
        <v>0</v>
      </c>
      <c r="N85" s="84">
        <f>'дод 3'!O137</f>
        <v>0</v>
      </c>
      <c r="O85" s="84">
        <f>'дод 3'!P137</f>
        <v>0</v>
      </c>
    </row>
    <row r="86" spans="1:15" ht="19.5" customHeight="1" x14ac:dyDescent="0.25">
      <c r="A86" s="37" t="s">
        <v>123</v>
      </c>
      <c r="B86" s="37" t="s">
        <v>64</v>
      </c>
      <c r="C86" s="6" t="s">
        <v>469</v>
      </c>
      <c r="D86" s="49">
        <f>'дод 3'!E138</f>
        <v>7683806</v>
      </c>
      <c r="E86" s="49">
        <f>'дод 3'!F138</f>
        <v>7683806</v>
      </c>
      <c r="F86" s="49">
        <f>'дод 3'!G138</f>
        <v>0</v>
      </c>
      <c r="G86" s="49">
        <f>'дод 3'!H138</f>
        <v>0</v>
      </c>
      <c r="H86" s="49">
        <f>'дод 3'!I138</f>
        <v>0</v>
      </c>
      <c r="I86" s="49">
        <f>'дод 3'!J138</f>
        <v>0</v>
      </c>
      <c r="J86" s="49">
        <f>'дод 3'!K138</f>
        <v>0</v>
      </c>
      <c r="K86" s="49">
        <f>'дод 3'!L138</f>
        <v>0</v>
      </c>
      <c r="L86" s="49">
        <f>'дод 3'!M138</f>
        <v>0</v>
      </c>
      <c r="M86" s="49">
        <f>'дод 3'!N138</f>
        <v>0</v>
      </c>
      <c r="N86" s="49">
        <f>'дод 3'!O138</f>
        <v>0</v>
      </c>
      <c r="O86" s="49">
        <f>'дод 3'!P138</f>
        <v>7683806</v>
      </c>
    </row>
    <row r="87" spans="1:15" s="54" customFormat="1" ht="31.5" hidden="1" customHeight="1" x14ac:dyDescent="0.25">
      <c r="A87" s="82"/>
      <c r="B87" s="82"/>
      <c r="C87" s="83" t="s">
        <v>392</v>
      </c>
      <c r="D87" s="84">
        <f>'дод 3'!E139</f>
        <v>0</v>
      </c>
      <c r="E87" s="84">
        <f>'дод 3'!F139</f>
        <v>0</v>
      </c>
      <c r="F87" s="84">
        <f>'дод 3'!G139</f>
        <v>0</v>
      </c>
      <c r="G87" s="84">
        <f>'дод 3'!H139</f>
        <v>0</v>
      </c>
      <c r="H87" s="84">
        <f>'дод 3'!I139</f>
        <v>0</v>
      </c>
      <c r="I87" s="84">
        <f>'дод 3'!J139</f>
        <v>0</v>
      </c>
      <c r="J87" s="84">
        <f>'дод 3'!K139</f>
        <v>0</v>
      </c>
      <c r="K87" s="84">
        <f>'дод 3'!L139</f>
        <v>0</v>
      </c>
      <c r="L87" s="84">
        <f>'дод 3'!M139</f>
        <v>0</v>
      </c>
      <c r="M87" s="84">
        <f>'дод 3'!N139</f>
        <v>0</v>
      </c>
      <c r="N87" s="84">
        <f>'дод 3'!O139</f>
        <v>0</v>
      </c>
      <c r="O87" s="84">
        <f>'дод 3'!P139</f>
        <v>0</v>
      </c>
    </row>
    <row r="88" spans="1:15" ht="48.75" customHeight="1" x14ac:dyDescent="0.25">
      <c r="A88" s="37" t="s">
        <v>124</v>
      </c>
      <c r="B88" s="37" t="s">
        <v>315</v>
      </c>
      <c r="C88" s="6" t="s">
        <v>470</v>
      </c>
      <c r="D88" s="49">
        <f>'дод 3'!E140</f>
        <v>2944631</v>
      </c>
      <c r="E88" s="49">
        <f>'дод 3'!F140</f>
        <v>2944631</v>
      </c>
      <c r="F88" s="49">
        <f>'дод 3'!G140</f>
        <v>0</v>
      </c>
      <c r="G88" s="49">
        <f>'дод 3'!H140</f>
        <v>0</v>
      </c>
      <c r="H88" s="49">
        <f>'дод 3'!I140</f>
        <v>0</v>
      </c>
      <c r="I88" s="49">
        <f>'дод 3'!J140</f>
        <v>0</v>
      </c>
      <c r="J88" s="49">
        <f>'дод 3'!K140</f>
        <v>0</v>
      </c>
      <c r="K88" s="49">
        <f>'дод 3'!L140</f>
        <v>0</v>
      </c>
      <c r="L88" s="49">
        <f>'дод 3'!M140</f>
        <v>0</v>
      </c>
      <c r="M88" s="49">
        <f>'дод 3'!N140</f>
        <v>0</v>
      </c>
      <c r="N88" s="49">
        <f>'дод 3'!O140</f>
        <v>0</v>
      </c>
      <c r="O88" s="49">
        <f>'дод 3'!P140</f>
        <v>2944631</v>
      </c>
    </row>
    <row r="89" spans="1:15" s="54" customFormat="1" ht="47.25" hidden="1" customHeight="1" x14ac:dyDescent="0.25">
      <c r="A89" s="82"/>
      <c r="B89" s="82"/>
      <c r="C89" s="85" t="s">
        <v>394</v>
      </c>
      <c r="D89" s="84">
        <f>'дод 3'!E141</f>
        <v>0</v>
      </c>
      <c r="E89" s="84">
        <f>'дод 3'!F141</f>
        <v>0</v>
      </c>
      <c r="F89" s="84">
        <f>'дод 3'!G141</f>
        <v>0</v>
      </c>
      <c r="G89" s="84">
        <f>'дод 3'!H141</f>
        <v>0</v>
      </c>
      <c r="H89" s="84">
        <f>'дод 3'!I141</f>
        <v>0</v>
      </c>
      <c r="I89" s="84">
        <f>'дод 3'!J141</f>
        <v>0</v>
      </c>
      <c r="J89" s="84">
        <f>'дод 3'!K141</f>
        <v>0</v>
      </c>
      <c r="K89" s="84">
        <f>'дод 3'!L141</f>
        <v>0</v>
      </c>
      <c r="L89" s="84">
        <f>'дод 3'!M141</f>
        <v>0</v>
      </c>
      <c r="M89" s="84">
        <f>'дод 3'!N141</f>
        <v>0</v>
      </c>
      <c r="N89" s="84">
        <f>'дод 3'!O141</f>
        <v>0</v>
      </c>
      <c r="O89" s="84">
        <f>'дод 3'!P141</f>
        <v>0</v>
      </c>
    </row>
    <row r="90" spans="1:15" ht="31.5" x14ac:dyDescent="0.25">
      <c r="A90" s="40">
        <v>2144</v>
      </c>
      <c r="B90" s="37" t="s">
        <v>65</v>
      </c>
      <c r="C90" s="6" t="s">
        <v>406</v>
      </c>
      <c r="D90" s="49">
        <f>'дод 3'!E142</f>
        <v>11403700</v>
      </c>
      <c r="E90" s="49">
        <f>'дод 3'!F142</f>
        <v>11403700</v>
      </c>
      <c r="F90" s="49">
        <f>'дод 3'!G142</f>
        <v>0</v>
      </c>
      <c r="G90" s="49">
        <f>'дод 3'!H142</f>
        <v>0</v>
      </c>
      <c r="H90" s="49">
        <f>'дод 3'!I142</f>
        <v>0</v>
      </c>
      <c r="I90" s="49">
        <f>'дод 3'!J142</f>
        <v>0</v>
      </c>
      <c r="J90" s="49">
        <f>'дод 3'!K142</f>
        <v>0</v>
      </c>
      <c r="K90" s="49">
        <f>'дод 3'!L142</f>
        <v>0</v>
      </c>
      <c r="L90" s="49">
        <f>'дод 3'!M142</f>
        <v>0</v>
      </c>
      <c r="M90" s="49">
        <f>'дод 3'!N142</f>
        <v>0</v>
      </c>
      <c r="N90" s="49">
        <f>'дод 3'!O142</f>
        <v>0</v>
      </c>
      <c r="O90" s="49">
        <f>'дод 3'!P142</f>
        <v>11403700</v>
      </c>
    </row>
    <row r="91" spans="1:15" s="54" customFormat="1" ht="47.25" hidden="1" customHeight="1" x14ac:dyDescent="0.25">
      <c r="A91" s="86"/>
      <c r="B91" s="82"/>
      <c r="C91" s="83" t="s">
        <v>393</v>
      </c>
      <c r="D91" s="84">
        <f>'дод 3'!E143</f>
        <v>0</v>
      </c>
      <c r="E91" s="84">
        <f>'дод 3'!F143</f>
        <v>0</v>
      </c>
      <c r="F91" s="84">
        <f>'дод 3'!G143</f>
        <v>0</v>
      </c>
      <c r="G91" s="84">
        <f>'дод 3'!H143</f>
        <v>0</v>
      </c>
      <c r="H91" s="84">
        <f>'дод 3'!I143</f>
        <v>0</v>
      </c>
      <c r="I91" s="84">
        <f>'дод 3'!J143</f>
        <v>0</v>
      </c>
      <c r="J91" s="84">
        <f>'дод 3'!K143</f>
        <v>0</v>
      </c>
      <c r="K91" s="84">
        <f>'дод 3'!L143</f>
        <v>0</v>
      </c>
      <c r="L91" s="84">
        <f>'дод 3'!M143</f>
        <v>0</v>
      </c>
      <c r="M91" s="84">
        <f>'дод 3'!N143</f>
        <v>0</v>
      </c>
      <c r="N91" s="84">
        <f>'дод 3'!O143</f>
        <v>0</v>
      </c>
      <c r="O91" s="84">
        <f>'дод 3'!P143</f>
        <v>0</v>
      </c>
    </row>
    <row r="92" spans="1:15" s="54" customFormat="1" ht="47.25" x14ac:dyDescent="0.25">
      <c r="A92" s="86"/>
      <c r="B92" s="82"/>
      <c r="C92" s="83" t="s">
        <v>394</v>
      </c>
      <c r="D92" s="84">
        <f>'дод 3'!E144</f>
        <v>11403700</v>
      </c>
      <c r="E92" s="84">
        <f>'дод 3'!F144</f>
        <v>11403700</v>
      </c>
      <c r="F92" s="84">
        <f>'дод 3'!G144</f>
        <v>0</v>
      </c>
      <c r="G92" s="84">
        <f>'дод 3'!H144</f>
        <v>0</v>
      </c>
      <c r="H92" s="84">
        <f>'дод 3'!I144</f>
        <v>0</v>
      </c>
      <c r="I92" s="84">
        <f>'дод 3'!J144</f>
        <v>0</v>
      </c>
      <c r="J92" s="84">
        <f>'дод 3'!K144</f>
        <v>0</v>
      </c>
      <c r="K92" s="84">
        <f>'дод 3'!L144</f>
        <v>0</v>
      </c>
      <c r="L92" s="84">
        <f>'дод 3'!M144</f>
        <v>0</v>
      </c>
      <c r="M92" s="84">
        <f>'дод 3'!N144</f>
        <v>0</v>
      </c>
      <c r="N92" s="84">
        <f>'дод 3'!O144</f>
        <v>0</v>
      </c>
      <c r="O92" s="84">
        <f>'дод 3'!P144</f>
        <v>11403700</v>
      </c>
    </row>
    <row r="93" spans="1:15" ht="33.75" customHeight="1" x14ac:dyDescent="0.25">
      <c r="A93" s="37" t="s">
        <v>284</v>
      </c>
      <c r="B93" s="37" t="s">
        <v>65</v>
      </c>
      <c r="C93" s="3" t="s">
        <v>286</v>
      </c>
      <c r="D93" s="49">
        <f>'дод 3'!E145</f>
        <v>3062384</v>
      </c>
      <c r="E93" s="49">
        <f>'дод 3'!F145</f>
        <v>3062384</v>
      </c>
      <c r="F93" s="49">
        <f>'дод 3'!G145</f>
        <v>2387600</v>
      </c>
      <c r="G93" s="49">
        <f>'дод 3'!H145</f>
        <v>61784</v>
      </c>
      <c r="H93" s="49">
        <f>'дод 3'!I145</f>
        <v>0</v>
      </c>
      <c r="I93" s="49">
        <f>'дод 3'!J145</f>
        <v>0</v>
      </c>
      <c r="J93" s="49">
        <f>'дод 3'!K145</f>
        <v>0</v>
      </c>
      <c r="K93" s="49">
        <f>'дод 3'!L145</f>
        <v>0</v>
      </c>
      <c r="L93" s="49">
        <f>'дод 3'!M145</f>
        <v>0</v>
      </c>
      <c r="M93" s="49">
        <f>'дод 3'!N145</f>
        <v>0</v>
      </c>
      <c r="N93" s="49">
        <f>'дод 3'!O145</f>
        <v>0</v>
      </c>
      <c r="O93" s="49">
        <f>'дод 3'!P145</f>
        <v>3062384</v>
      </c>
    </row>
    <row r="94" spans="1:15" ht="21.75" customHeight="1" x14ac:dyDescent="0.25">
      <c r="A94" s="37" t="s">
        <v>285</v>
      </c>
      <c r="B94" s="37" t="s">
        <v>65</v>
      </c>
      <c r="C94" s="3" t="s">
        <v>287</v>
      </c>
      <c r="D94" s="49">
        <f>'дод 3'!E146</f>
        <v>19853800</v>
      </c>
      <c r="E94" s="49">
        <f>'дод 3'!F146</f>
        <v>19853800</v>
      </c>
      <c r="F94" s="49">
        <f>'дод 3'!G146</f>
        <v>0</v>
      </c>
      <c r="G94" s="49">
        <f>'дод 3'!H146</f>
        <v>0</v>
      </c>
      <c r="H94" s="49">
        <f>'дод 3'!I146</f>
        <v>0</v>
      </c>
      <c r="I94" s="49">
        <f>'дод 3'!J146</f>
        <v>23031354</v>
      </c>
      <c r="J94" s="49">
        <f>'дод 3'!K146</f>
        <v>23031354</v>
      </c>
      <c r="K94" s="49">
        <f>'дод 3'!L146</f>
        <v>0</v>
      </c>
      <c r="L94" s="49">
        <f>'дод 3'!M146</f>
        <v>0</v>
      </c>
      <c r="M94" s="49">
        <f>'дод 3'!N146</f>
        <v>0</v>
      </c>
      <c r="N94" s="49">
        <f>'дод 3'!O146</f>
        <v>23031354</v>
      </c>
      <c r="O94" s="49">
        <f>'дод 3'!P146</f>
        <v>42885154</v>
      </c>
    </row>
    <row r="95" spans="1:15" s="52" customFormat="1" ht="33" customHeight="1" x14ac:dyDescent="0.25">
      <c r="A95" s="38" t="s">
        <v>66</v>
      </c>
      <c r="B95" s="41"/>
      <c r="C95" s="2" t="s">
        <v>523</v>
      </c>
      <c r="D95" s="48">
        <f>D101+D102+D103+D105+D106+D107+D109+D111+D112+D113+D114+D115+D116+D117+D118+D120+D122+D123+D124+D125+D126+D127+D129+D133+D134</f>
        <v>155302956.35000002</v>
      </c>
      <c r="E95" s="48">
        <f t="shared" ref="E95:O95" si="16">E101+E102+E103+E105+E106+E107+E109+E111+E112+E113+E114+E115+E116+E117+E118+E120+E122+E123+E124+E125+E126+E127+E129+E133+E134</f>
        <v>155302956.35000002</v>
      </c>
      <c r="F95" s="48">
        <f t="shared" si="16"/>
        <v>21152900</v>
      </c>
      <c r="G95" s="48">
        <f t="shared" si="16"/>
        <v>848091</v>
      </c>
      <c r="H95" s="48">
        <f t="shared" si="16"/>
        <v>0</v>
      </c>
      <c r="I95" s="48">
        <f t="shared" si="16"/>
        <v>2453811.0499999998</v>
      </c>
      <c r="J95" s="48">
        <f t="shared" si="16"/>
        <v>2357611.0499999998</v>
      </c>
      <c r="K95" s="48">
        <f t="shared" si="16"/>
        <v>96200</v>
      </c>
      <c r="L95" s="48">
        <f t="shared" si="16"/>
        <v>75000</v>
      </c>
      <c r="M95" s="48">
        <f t="shared" si="16"/>
        <v>0</v>
      </c>
      <c r="N95" s="48">
        <f t="shared" si="16"/>
        <v>2357611.0499999998</v>
      </c>
      <c r="O95" s="48">
        <f t="shared" si="16"/>
        <v>157756767.40000001</v>
      </c>
    </row>
    <row r="96" spans="1:15" s="53" customFormat="1" ht="262.5" hidden="1" customHeight="1" x14ac:dyDescent="0.25">
      <c r="A96" s="75"/>
      <c r="B96" s="76"/>
      <c r="C96" s="79" t="s">
        <v>447</v>
      </c>
      <c r="D96" s="80">
        <f>D128</f>
        <v>0</v>
      </c>
      <c r="E96" s="80">
        <f t="shared" ref="E96:O96" si="17">E128</f>
        <v>0</v>
      </c>
      <c r="F96" s="80">
        <f t="shared" si="17"/>
        <v>0</v>
      </c>
      <c r="G96" s="80">
        <f t="shared" si="17"/>
        <v>0</v>
      </c>
      <c r="H96" s="80">
        <f t="shared" si="17"/>
        <v>0</v>
      </c>
      <c r="I96" s="80">
        <f t="shared" si="17"/>
        <v>975480.06</v>
      </c>
      <c r="J96" s="80">
        <f t="shared" si="17"/>
        <v>975480.06</v>
      </c>
      <c r="K96" s="80">
        <f t="shared" si="17"/>
        <v>0</v>
      </c>
      <c r="L96" s="80">
        <f t="shared" si="17"/>
        <v>0</v>
      </c>
      <c r="M96" s="80">
        <f t="shared" si="17"/>
        <v>0</v>
      </c>
      <c r="N96" s="80">
        <f t="shared" si="17"/>
        <v>975480.06</v>
      </c>
      <c r="O96" s="80">
        <f t="shared" si="17"/>
        <v>975480.06</v>
      </c>
    </row>
    <row r="97" spans="1:15" s="53" customFormat="1" ht="231" hidden="1" customHeight="1" x14ac:dyDescent="0.25">
      <c r="A97" s="75"/>
      <c r="B97" s="76"/>
      <c r="C97" s="79" t="s">
        <v>446</v>
      </c>
      <c r="D97" s="80">
        <f>D132</f>
        <v>0</v>
      </c>
      <c r="E97" s="80">
        <f t="shared" ref="E97:O97" si="18">E132</f>
        <v>0</v>
      </c>
      <c r="F97" s="80">
        <f t="shared" si="18"/>
        <v>0</v>
      </c>
      <c r="G97" s="80">
        <f t="shared" si="18"/>
        <v>0</v>
      </c>
      <c r="H97" s="80">
        <f t="shared" si="18"/>
        <v>0</v>
      </c>
      <c r="I97" s="80">
        <f t="shared" si="18"/>
        <v>0</v>
      </c>
      <c r="J97" s="80">
        <f t="shared" si="18"/>
        <v>0</v>
      </c>
      <c r="K97" s="80">
        <f t="shared" si="18"/>
        <v>0</v>
      </c>
      <c r="L97" s="80">
        <f t="shared" si="18"/>
        <v>0</v>
      </c>
      <c r="M97" s="80">
        <f t="shared" si="18"/>
        <v>0</v>
      </c>
      <c r="N97" s="80">
        <f t="shared" si="18"/>
        <v>0</v>
      </c>
      <c r="O97" s="80">
        <f t="shared" si="18"/>
        <v>0</v>
      </c>
    </row>
    <row r="98" spans="1:15" s="53" customFormat="1" x14ac:dyDescent="0.25">
      <c r="A98" s="75"/>
      <c r="B98" s="76"/>
      <c r="C98" s="79" t="s">
        <v>397</v>
      </c>
      <c r="D98" s="80">
        <f>D104+D108+D110+D119+D121+D135</f>
        <v>4858460.24</v>
      </c>
      <c r="E98" s="80">
        <f t="shared" ref="E98:O98" si="19">E104+E108+E110+E119+E121+E135</f>
        <v>4858460.24</v>
      </c>
      <c r="F98" s="80">
        <f t="shared" si="19"/>
        <v>0</v>
      </c>
      <c r="G98" s="80">
        <f t="shared" si="19"/>
        <v>0</v>
      </c>
      <c r="H98" s="80">
        <f t="shared" si="19"/>
        <v>0</v>
      </c>
      <c r="I98" s="80">
        <f t="shared" si="19"/>
        <v>0</v>
      </c>
      <c r="J98" s="80">
        <f t="shared" si="19"/>
        <v>0</v>
      </c>
      <c r="K98" s="80">
        <f t="shared" si="19"/>
        <v>0</v>
      </c>
      <c r="L98" s="80">
        <f t="shared" si="19"/>
        <v>0</v>
      </c>
      <c r="M98" s="80">
        <f t="shared" si="19"/>
        <v>0</v>
      </c>
      <c r="N98" s="80">
        <f t="shared" si="19"/>
        <v>0</v>
      </c>
      <c r="O98" s="80">
        <f t="shared" si="19"/>
        <v>4858460.24</v>
      </c>
    </row>
    <row r="99" spans="1:15" s="53" customFormat="1" ht="283.5" x14ac:dyDescent="0.25">
      <c r="A99" s="75"/>
      <c r="B99" s="76"/>
      <c r="C99" s="81" t="s">
        <v>447</v>
      </c>
      <c r="D99" s="80">
        <f>D128</f>
        <v>0</v>
      </c>
      <c r="E99" s="80">
        <f t="shared" ref="E99:O99" si="20">E128</f>
        <v>0</v>
      </c>
      <c r="F99" s="80">
        <f t="shared" si="20"/>
        <v>0</v>
      </c>
      <c r="G99" s="80">
        <f t="shared" si="20"/>
        <v>0</v>
      </c>
      <c r="H99" s="80">
        <f t="shared" si="20"/>
        <v>0</v>
      </c>
      <c r="I99" s="80">
        <f t="shared" si="20"/>
        <v>975480.06</v>
      </c>
      <c r="J99" s="80">
        <f t="shared" si="20"/>
        <v>975480.06</v>
      </c>
      <c r="K99" s="80">
        <f t="shared" si="20"/>
        <v>0</v>
      </c>
      <c r="L99" s="80">
        <f t="shared" si="20"/>
        <v>0</v>
      </c>
      <c r="M99" s="80">
        <f t="shared" si="20"/>
        <v>0</v>
      </c>
      <c r="N99" s="80">
        <f t="shared" si="20"/>
        <v>975480.06</v>
      </c>
      <c r="O99" s="80">
        <f t="shared" si="20"/>
        <v>975480.06</v>
      </c>
    </row>
    <row r="100" spans="1:15" s="53" customFormat="1" ht="339" customHeight="1" x14ac:dyDescent="0.25">
      <c r="A100" s="75"/>
      <c r="B100" s="76"/>
      <c r="C100" s="81" t="s">
        <v>610</v>
      </c>
      <c r="D100" s="80">
        <f>D130</f>
        <v>0</v>
      </c>
      <c r="E100" s="80">
        <f t="shared" ref="E100:O100" si="21">E130</f>
        <v>0</v>
      </c>
      <c r="F100" s="80">
        <f t="shared" si="21"/>
        <v>0</v>
      </c>
      <c r="G100" s="80">
        <f t="shared" si="21"/>
        <v>0</v>
      </c>
      <c r="H100" s="80">
        <f t="shared" si="21"/>
        <v>0</v>
      </c>
      <c r="I100" s="80">
        <f t="shared" si="21"/>
        <v>1176130.99</v>
      </c>
      <c r="J100" s="80">
        <f t="shared" si="21"/>
        <v>1176130.99</v>
      </c>
      <c r="K100" s="80">
        <f t="shared" si="21"/>
        <v>0</v>
      </c>
      <c r="L100" s="80">
        <f t="shared" si="21"/>
        <v>0</v>
      </c>
      <c r="M100" s="80">
        <f t="shared" si="21"/>
        <v>0</v>
      </c>
      <c r="N100" s="80">
        <f t="shared" si="21"/>
        <v>1176130.99</v>
      </c>
      <c r="O100" s="80">
        <f t="shared" si="21"/>
        <v>1176130.99</v>
      </c>
    </row>
    <row r="101" spans="1:15" ht="38.25" customHeight="1" x14ac:dyDescent="0.25">
      <c r="A101" s="37" t="s">
        <v>100</v>
      </c>
      <c r="B101" s="37" t="s">
        <v>53</v>
      </c>
      <c r="C101" s="3" t="s">
        <v>125</v>
      </c>
      <c r="D101" s="49">
        <f>'дод 3'!E164</f>
        <v>604900</v>
      </c>
      <c r="E101" s="49">
        <f>'дод 3'!F164</f>
        <v>604900</v>
      </c>
      <c r="F101" s="49">
        <f>'дод 3'!G164</f>
        <v>0</v>
      </c>
      <c r="G101" s="49">
        <f>'дод 3'!H164</f>
        <v>0</v>
      </c>
      <c r="H101" s="49">
        <f>'дод 3'!I164</f>
        <v>0</v>
      </c>
      <c r="I101" s="49">
        <f>'дод 3'!J164</f>
        <v>0</v>
      </c>
      <c r="J101" s="49">
        <f>'дод 3'!K164</f>
        <v>0</v>
      </c>
      <c r="K101" s="49">
        <f>'дод 3'!L164</f>
        <v>0</v>
      </c>
      <c r="L101" s="49">
        <f>'дод 3'!M164</f>
        <v>0</v>
      </c>
      <c r="M101" s="49">
        <f>'дод 3'!N164</f>
        <v>0</v>
      </c>
      <c r="N101" s="49">
        <f>'дод 3'!O164</f>
        <v>0</v>
      </c>
      <c r="O101" s="49">
        <f>'дод 3'!P164</f>
        <v>604900</v>
      </c>
    </row>
    <row r="102" spans="1:15" ht="36.75" customHeight="1" x14ac:dyDescent="0.25">
      <c r="A102" s="37" t="s">
        <v>126</v>
      </c>
      <c r="B102" s="37" t="s">
        <v>55</v>
      </c>
      <c r="C102" s="3" t="s">
        <v>362</v>
      </c>
      <c r="D102" s="49">
        <f>'дод 3'!E165</f>
        <v>1129230</v>
      </c>
      <c r="E102" s="49">
        <f>'дод 3'!F165</f>
        <v>1129230</v>
      </c>
      <c r="F102" s="49">
        <f>'дод 3'!G165</f>
        <v>0</v>
      </c>
      <c r="G102" s="49">
        <f>'дод 3'!H165</f>
        <v>0</v>
      </c>
      <c r="H102" s="49">
        <f>'дод 3'!I165</f>
        <v>0</v>
      </c>
      <c r="I102" s="49">
        <f>'дод 3'!J165</f>
        <v>0</v>
      </c>
      <c r="J102" s="49">
        <f>'дод 3'!K165</f>
        <v>0</v>
      </c>
      <c r="K102" s="49">
        <f>'дод 3'!L165</f>
        <v>0</v>
      </c>
      <c r="L102" s="49">
        <f>'дод 3'!M165</f>
        <v>0</v>
      </c>
      <c r="M102" s="49">
        <f>'дод 3'!N165</f>
        <v>0</v>
      </c>
      <c r="N102" s="49">
        <f>'дод 3'!O165</f>
        <v>0</v>
      </c>
      <c r="O102" s="49">
        <f>'дод 3'!P165</f>
        <v>1129230</v>
      </c>
    </row>
    <row r="103" spans="1:15" ht="39.75" customHeight="1" x14ac:dyDescent="0.25">
      <c r="A103" s="37" t="s">
        <v>101</v>
      </c>
      <c r="B103" s="37" t="s">
        <v>55</v>
      </c>
      <c r="C103" s="3" t="s">
        <v>413</v>
      </c>
      <c r="D103" s="49">
        <f>'дод 3'!E166+'дод 3'!E26</f>
        <v>24592321.240000002</v>
      </c>
      <c r="E103" s="49">
        <f>'дод 3'!F166+'дод 3'!F26</f>
        <v>24592321.240000002</v>
      </c>
      <c r="F103" s="49">
        <f>'дод 3'!G166+'дод 3'!G26</f>
        <v>0</v>
      </c>
      <c r="G103" s="49">
        <f>'дод 3'!H166+'дод 3'!H26</f>
        <v>0</v>
      </c>
      <c r="H103" s="49">
        <f>'дод 3'!I166+'дод 3'!I26</f>
        <v>0</v>
      </c>
      <c r="I103" s="49">
        <f>'дод 3'!J166+'дод 3'!J26</f>
        <v>0</v>
      </c>
      <c r="J103" s="49">
        <f>'дод 3'!K166+'дод 3'!K26</f>
        <v>0</v>
      </c>
      <c r="K103" s="49">
        <f>'дод 3'!L166+'дод 3'!L26</f>
        <v>0</v>
      </c>
      <c r="L103" s="49">
        <f>'дод 3'!M166+'дод 3'!M26</f>
        <v>0</v>
      </c>
      <c r="M103" s="49">
        <f>'дод 3'!N166+'дод 3'!N26</f>
        <v>0</v>
      </c>
      <c r="N103" s="49">
        <f>'дод 3'!O166+'дод 3'!O26</f>
        <v>0</v>
      </c>
      <c r="O103" s="49">
        <f>'дод 3'!P166+'дод 3'!P26</f>
        <v>24592321.240000002</v>
      </c>
    </row>
    <row r="104" spans="1:15" s="54" customFormat="1" ht="21.75" customHeight="1" x14ac:dyDescent="0.25">
      <c r="A104" s="82"/>
      <c r="B104" s="82"/>
      <c r="C104" s="83" t="s">
        <v>395</v>
      </c>
      <c r="D104" s="84">
        <f>'дод 3'!E167</f>
        <v>3399661.24</v>
      </c>
      <c r="E104" s="84">
        <f>'дод 3'!F167</f>
        <v>3399661.24</v>
      </c>
      <c r="F104" s="84">
        <f>'дод 3'!G167</f>
        <v>0</v>
      </c>
      <c r="G104" s="84">
        <f>'дод 3'!H167</f>
        <v>0</v>
      </c>
      <c r="H104" s="84">
        <f>'дод 3'!I167</f>
        <v>0</v>
      </c>
      <c r="I104" s="84">
        <f>'дод 3'!J167</f>
        <v>0</v>
      </c>
      <c r="J104" s="84">
        <f>'дод 3'!K167</f>
        <v>0</v>
      </c>
      <c r="K104" s="84">
        <f>'дод 3'!L167</f>
        <v>0</v>
      </c>
      <c r="L104" s="84">
        <f>'дод 3'!M167</f>
        <v>0</v>
      </c>
      <c r="M104" s="84">
        <f>'дод 3'!N167</f>
        <v>0</v>
      </c>
      <c r="N104" s="84">
        <f>'дод 3'!O167</f>
        <v>0</v>
      </c>
      <c r="O104" s="84">
        <f>'дод 3'!P167</f>
        <v>3399661.24</v>
      </c>
    </row>
    <row r="105" spans="1:15" ht="36" customHeight="1" x14ac:dyDescent="0.25">
      <c r="A105" s="37" t="s">
        <v>325</v>
      </c>
      <c r="B105" s="37" t="s">
        <v>55</v>
      </c>
      <c r="C105" s="3" t="s">
        <v>324</v>
      </c>
      <c r="D105" s="49">
        <f>'дод 3'!E168</f>
        <v>1500000</v>
      </c>
      <c r="E105" s="49">
        <f>'дод 3'!F168</f>
        <v>1500000</v>
      </c>
      <c r="F105" s="49">
        <f>'дод 3'!G168</f>
        <v>0</v>
      </c>
      <c r="G105" s="49">
        <f>'дод 3'!H168</f>
        <v>0</v>
      </c>
      <c r="H105" s="49">
        <f>'дод 3'!I168</f>
        <v>0</v>
      </c>
      <c r="I105" s="49">
        <f>'дод 3'!J168</f>
        <v>0</v>
      </c>
      <c r="J105" s="49">
        <f>'дод 3'!K168</f>
        <v>0</v>
      </c>
      <c r="K105" s="49">
        <f>'дод 3'!L168</f>
        <v>0</v>
      </c>
      <c r="L105" s="49">
        <f>'дод 3'!M168</f>
        <v>0</v>
      </c>
      <c r="M105" s="49">
        <f>'дод 3'!N168</f>
        <v>0</v>
      </c>
      <c r="N105" s="49">
        <f>'дод 3'!O168</f>
        <v>0</v>
      </c>
      <c r="O105" s="49">
        <f>'дод 3'!P168</f>
        <v>1500000</v>
      </c>
    </row>
    <row r="106" spans="1:15" ht="44.25" customHeight="1" x14ac:dyDescent="0.25">
      <c r="A106" s="37" t="s">
        <v>127</v>
      </c>
      <c r="B106" s="37" t="s">
        <v>55</v>
      </c>
      <c r="C106" s="3" t="s">
        <v>19</v>
      </c>
      <c r="D106" s="49">
        <f>'дод 3'!E169+'дод 3'!E27</f>
        <v>41559586</v>
      </c>
      <c r="E106" s="49">
        <f>'дод 3'!F169+'дод 3'!F27</f>
        <v>41559586</v>
      </c>
      <c r="F106" s="49">
        <f>'дод 3'!G169+'дод 3'!G27</f>
        <v>0</v>
      </c>
      <c r="G106" s="49">
        <f>'дод 3'!H169+'дод 3'!H27</f>
        <v>0</v>
      </c>
      <c r="H106" s="49">
        <f>'дод 3'!I169+'дод 3'!I27</f>
        <v>0</v>
      </c>
      <c r="I106" s="49">
        <f>'дод 3'!J169+'дод 3'!J27</f>
        <v>0</v>
      </c>
      <c r="J106" s="49">
        <f>'дод 3'!K169+'дод 3'!K27</f>
        <v>0</v>
      </c>
      <c r="K106" s="49">
        <f>'дод 3'!L169+'дод 3'!L27</f>
        <v>0</v>
      </c>
      <c r="L106" s="49">
        <f>'дод 3'!M169+'дод 3'!M27</f>
        <v>0</v>
      </c>
      <c r="M106" s="49">
        <f>'дод 3'!N169+'дод 3'!N27</f>
        <v>0</v>
      </c>
      <c r="N106" s="49">
        <f>'дод 3'!O169+'дод 3'!O27</f>
        <v>0</v>
      </c>
      <c r="O106" s="49">
        <f>'дод 3'!P169+'дод 3'!P27</f>
        <v>41559586</v>
      </c>
    </row>
    <row r="107" spans="1:15" ht="45" customHeight="1" x14ac:dyDescent="0.25">
      <c r="A107" s="37" t="s">
        <v>103</v>
      </c>
      <c r="B107" s="37" t="s">
        <v>55</v>
      </c>
      <c r="C107" s="3" t="s">
        <v>411</v>
      </c>
      <c r="D107" s="49">
        <f>'дод 3'!E170</f>
        <v>667500</v>
      </c>
      <c r="E107" s="49">
        <f>'дод 3'!F170</f>
        <v>667500</v>
      </c>
      <c r="F107" s="49">
        <f>'дод 3'!G170</f>
        <v>0</v>
      </c>
      <c r="G107" s="49">
        <f>'дод 3'!H170</f>
        <v>0</v>
      </c>
      <c r="H107" s="49">
        <f>'дод 3'!I170</f>
        <v>0</v>
      </c>
      <c r="I107" s="49">
        <f>'дод 3'!J170</f>
        <v>0</v>
      </c>
      <c r="J107" s="49">
        <f>'дод 3'!K170</f>
        <v>0</v>
      </c>
      <c r="K107" s="49">
        <f>'дод 3'!L170</f>
        <v>0</v>
      </c>
      <c r="L107" s="49">
        <f>'дод 3'!M170</f>
        <v>0</v>
      </c>
      <c r="M107" s="49">
        <f>'дод 3'!N170</f>
        <v>0</v>
      </c>
      <c r="N107" s="49">
        <f>'дод 3'!O170</f>
        <v>0</v>
      </c>
      <c r="O107" s="49">
        <f>'дод 3'!P170</f>
        <v>667500</v>
      </c>
    </row>
    <row r="108" spans="1:15" s="54" customFormat="1" x14ac:dyDescent="0.25">
      <c r="A108" s="82"/>
      <c r="B108" s="82"/>
      <c r="C108" s="83" t="s">
        <v>395</v>
      </c>
      <c r="D108" s="84">
        <f>'дод 3'!E171</f>
        <v>667500</v>
      </c>
      <c r="E108" s="84">
        <f>'дод 3'!F171</f>
        <v>667500</v>
      </c>
      <c r="F108" s="84">
        <f>'дод 3'!G171</f>
        <v>0</v>
      </c>
      <c r="G108" s="84">
        <f>'дод 3'!H171</f>
        <v>0</v>
      </c>
      <c r="H108" s="84">
        <f>'дод 3'!I171</f>
        <v>0</v>
      </c>
      <c r="I108" s="84">
        <f>'дод 3'!J171</f>
        <v>0</v>
      </c>
      <c r="J108" s="84">
        <f>'дод 3'!K171</f>
        <v>0</v>
      </c>
      <c r="K108" s="84">
        <f>'дод 3'!L171</f>
        <v>0</v>
      </c>
      <c r="L108" s="84">
        <f>'дод 3'!M171</f>
        <v>0</v>
      </c>
      <c r="M108" s="84">
        <f>'дод 3'!N171</f>
        <v>0</v>
      </c>
      <c r="N108" s="84">
        <f>'дод 3'!O171</f>
        <v>0</v>
      </c>
      <c r="O108" s="84">
        <f>'дод 3'!P171</f>
        <v>667500</v>
      </c>
    </row>
    <row r="109" spans="1:15" ht="40.5" customHeight="1" x14ac:dyDescent="0.25">
      <c r="A109" s="37" t="s">
        <v>317</v>
      </c>
      <c r="B109" s="37" t="s">
        <v>53</v>
      </c>
      <c r="C109" s="3" t="s">
        <v>412</v>
      </c>
      <c r="D109" s="49">
        <f>'дод 3'!E172</f>
        <v>245000</v>
      </c>
      <c r="E109" s="49">
        <f>'дод 3'!F172</f>
        <v>245000</v>
      </c>
      <c r="F109" s="49">
        <f>'дод 3'!G172</f>
        <v>0</v>
      </c>
      <c r="G109" s="49">
        <f>'дод 3'!H172</f>
        <v>0</v>
      </c>
      <c r="H109" s="49">
        <f>'дод 3'!I172</f>
        <v>0</v>
      </c>
      <c r="I109" s="49">
        <f>'дод 3'!J172</f>
        <v>0</v>
      </c>
      <c r="J109" s="49">
        <f>'дод 3'!K172</f>
        <v>0</v>
      </c>
      <c r="K109" s="49">
        <f>'дод 3'!L172</f>
        <v>0</v>
      </c>
      <c r="L109" s="49">
        <f>'дод 3'!M172</f>
        <v>0</v>
      </c>
      <c r="M109" s="49">
        <f>'дод 3'!N172</f>
        <v>0</v>
      </c>
      <c r="N109" s="49">
        <f>'дод 3'!O172</f>
        <v>0</v>
      </c>
      <c r="O109" s="49">
        <f>'дод 3'!P172</f>
        <v>245000</v>
      </c>
    </row>
    <row r="110" spans="1:15" s="54" customFormat="1" x14ac:dyDescent="0.25">
      <c r="A110" s="82"/>
      <c r="B110" s="82"/>
      <c r="C110" s="83" t="s">
        <v>395</v>
      </c>
      <c r="D110" s="84">
        <f>'дод 3'!E173</f>
        <v>245000</v>
      </c>
      <c r="E110" s="84">
        <f>'дод 3'!F173</f>
        <v>245000</v>
      </c>
      <c r="F110" s="84">
        <f>'дод 3'!G173</f>
        <v>0</v>
      </c>
      <c r="G110" s="84">
        <f>'дод 3'!H173</f>
        <v>0</v>
      </c>
      <c r="H110" s="84">
        <f>'дод 3'!I173</f>
        <v>0</v>
      </c>
      <c r="I110" s="84">
        <f>'дод 3'!J173</f>
        <v>0</v>
      </c>
      <c r="J110" s="84">
        <f>'дод 3'!K173</f>
        <v>0</v>
      </c>
      <c r="K110" s="84">
        <f>'дод 3'!L173</f>
        <v>0</v>
      </c>
      <c r="L110" s="84">
        <f>'дод 3'!M173</f>
        <v>0</v>
      </c>
      <c r="M110" s="84">
        <f>'дод 3'!N173</f>
        <v>0</v>
      </c>
      <c r="N110" s="84">
        <f>'дод 3'!O173</f>
        <v>0</v>
      </c>
      <c r="O110" s="84">
        <f>'дод 3'!P173</f>
        <v>245000</v>
      </c>
    </row>
    <row r="111" spans="1:15" ht="58.5" customHeight="1" x14ac:dyDescent="0.25">
      <c r="A111" s="37" t="s">
        <v>104</v>
      </c>
      <c r="B111" s="37" t="s">
        <v>51</v>
      </c>
      <c r="C111" s="3" t="s">
        <v>31</v>
      </c>
      <c r="D111" s="49">
        <f>'дод 3'!E174</f>
        <v>17521965</v>
      </c>
      <c r="E111" s="49">
        <f>'дод 3'!F174</f>
        <v>17521965</v>
      </c>
      <c r="F111" s="49">
        <f>'дод 3'!G174</f>
        <v>13551350</v>
      </c>
      <c r="G111" s="49">
        <f>'дод 3'!H174</f>
        <v>277315</v>
      </c>
      <c r="H111" s="49">
        <f>'дод 3'!I174</f>
        <v>0</v>
      </c>
      <c r="I111" s="49">
        <f>'дод 3'!J174</f>
        <v>96200</v>
      </c>
      <c r="J111" s="49">
        <f>'дод 3'!K174</f>
        <v>0</v>
      </c>
      <c r="K111" s="49">
        <f>'дод 3'!L174</f>
        <v>96200</v>
      </c>
      <c r="L111" s="49">
        <f>'дод 3'!M174</f>
        <v>75000</v>
      </c>
      <c r="M111" s="49">
        <f>'дод 3'!N174</f>
        <v>0</v>
      </c>
      <c r="N111" s="49">
        <f>'дод 3'!O174</f>
        <v>0</v>
      </c>
      <c r="O111" s="49">
        <f>'дод 3'!P174</f>
        <v>17618165</v>
      </c>
    </row>
    <row r="112" spans="1:15" ht="69.75" customHeight="1" x14ac:dyDescent="0.25">
      <c r="A112" s="37" t="s">
        <v>334</v>
      </c>
      <c r="B112" s="37" t="s">
        <v>102</v>
      </c>
      <c r="C112" s="36" t="s">
        <v>335</v>
      </c>
      <c r="D112" s="49">
        <f>SUM('дод 3'!E200)</f>
        <v>91140</v>
      </c>
      <c r="E112" s="49">
        <f>SUM('дод 3'!F200)</f>
        <v>91140</v>
      </c>
      <c r="F112" s="49">
        <f>SUM('дод 3'!G200)</f>
        <v>0</v>
      </c>
      <c r="G112" s="49">
        <f>SUM('дод 3'!H200)</f>
        <v>0</v>
      </c>
      <c r="H112" s="49">
        <f>SUM('дод 3'!I200)</f>
        <v>0</v>
      </c>
      <c r="I112" s="49">
        <f>SUM('дод 3'!J200)</f>
        <v>0</v>
      </c>
      <c r="J112" s="49">
        <f>SUM('дод 3'!K200)</f>
        <v>0</v>
      </c>
      <c r="K112" s="49">
        <f>SUM('дод 3'!L200)</f>
        <v>0</v>
      </c>
      <c r="L112" s="49">
        <f>SUM('дод 3'!M200)</f>
        <v>0</v>
      </c>
      <c r="M112" s="49">
        <f>SUM('дод 3'!N200)</f>
        <v>0</v>
      </c>
      <c r="N112" s="49">
        <f>SUM('дод 3'!O200)</f>
        <v>0</v>
      </c>
      <c r="O112" s="49">
        <f>SUM('дод 3'!P200)</f>
        <v>91140</v>
      </c>
    </row>
    <row r="113" spans="1:15" s="54" customFormat="1" ht="36" customHeight="1" x14ac:dyDescent="0.25">
      <c r="A113" s="37" t="s">
        <v>105</v>
      </c>
      <c r="B113" s="37" t="s">
        <v>102</v>
      </c>
      <c r="C113" s="3" t="s">
        <v>32</v>
      </c>
      <c r="D113" s="49">
        <f>'дод 3'!E201</f>
        <v>96240</v>
      </c>
      <c r="E113" s="49">
        <f>'дод 3'!F201</f>
        <v>96240</v>
      </c>
      <c r="F113" s="49">
        <f>'дод 3'!G201</f>
        <v>0</v>
      </c>
      <c r="G113" s="49">
        <f>'дод 3'!H201</f>
        <v>0</v>
      </c>
      <c r="H113" s="49">
        <f>'дод 3'!I201</f>
        <v>0</v>
      </c>
      <c r="I113" s="49">
        <f>'дод 3'!J201</f>
        <v>0</v>
      </c>
      <c r="J113" s="49">
        <f>'дод 3'!K201</f>
        <v>0</v>
      </c>
      <c r="K113" s="49">
        <f>'дод 3'!L201</f>
        <v>0</v>
      </c>
      <c r="L113" s="49">
        <f>'дод 3'!M201</f>
        <v>0</v>
      </c>
      <c r="M113" s="49">
        <f>'дод 3'!N201</f>
        <v>0</v>
      </c>
      <c r="N113" s="49">
        <f>'дод 3'!O201</f>
        <v>0</v>
      </c>
      <c r="O113" s="49">
        <f>'дод 3'!P201</f>
        <v>96240</v>
      </c>
    </row>
    <row r="114" spans="1:15" s="54" customFormat="1" ht="38.25" customHeight="1" x14ac:dyDescent="0.25">
      <c r="A114" s="37" t="s">
        <v>128</v>
      </c>
      <c r="B114" s="37" t="s">
        <v>102</v>
      </c>
      <c r="C114" s="3" t="s">
        <v>510</v>
      </c>
      <c r="D114" s="49">
        <f>'дод 3'!E28</f>
        <v>3210440</v>
      </c>
      <c r="E114" s="49">
        <f>'дод 3'!F28</f>
        <v>3210440</v>
      </c>
      <c r="F114" s="49">
        <f>'дод 3'!G28</f>
        <v>2407050</v>
      </c>
      <c r="G114" s="49">
        <f>'дод 3'!H28</f>
        <v>43630</v>
      </c>
      <c r="H114" s="49">
        <f>'дод 3'!I28</f>
        <v>0</v>
      </c>
      <c r="I114" s="49">
        <f>'дод 3'!J28</f>
        <v>0</v>
      </c>
      <c r="J114" s="49">
        <f>'дод 3'!K28</f>
        <v>0</v>
      </c>
      <c r="K114" s="49">
        <f>'дод 3'!L28</f>
        <v>0</v>
      </c>
      <c r="L114" s="49">
        <f>'дод 3'!M28</f>
        <v>0</v>
      </c>
      <c r="M114" s="49">
        <f>'дод 3'!N28</f>
        <v>0</v>
      </c>
      <c r="N114" s="49">
        <f>'дод 3'!O28</f>
        <v>0</v>
      </c>
      <c r="O114" s="49">
        <f>'дод 3'!P28</f>
        <v>3210440</v>
      </c>
    </row>
    <row r="115" spans="1:15" s="54" customFormat="1" ht="37.5" customHeight="1" x14ac:dyDescent="0.25">
      <c r="A115" s="40" t="s">
        <v>109</v>
      </c>
      <c r="B115" s="40" t="s">
        <v>102</v>
      </c>
      <c r="C115" s="3" t="s">
        <v>342</v>
      </c>
      <c r="D115" s="49">
        <f>'дод 3'!E29</f>
        <v>783850</v>
      </c>
      <c r="E115" s="49">
        <f>'дод 3'!F29</f>
        <v>783850</v>
      </c>
      <c r="F115" s="49">
        <f>'дод 3'!G29</f>
        <v>0</v>
      </c>
      <c r="G115" s="49">
        <f>'дод 3'!H29</f>
        <v>0</v>
      </c>
      <c r="H115" s="49">
        <f>'дод 3'!I29</f>
        <v>0</v>
      </c>
      <c r="I115" s="49">
        <f>'дод 3'!J29</f>
        <v>0</v>
      </c>
      <c r="J115" s="49">
        <f>'дод 3'!K29</f>
        <v>0</v>
      </c>
      <c r="K115" s="49">
        <f>'дод 3'!L29</f>
        <v>0</v>
      </c>
      <c r="L115" s="49">
        <f>'дод 3'!M29</f>
        <v>0</v>
      </c>
      <c r="M115" s="49">
        <f>'дод 3'!N29</f>
        <v>0</v>
      </c>
      <c r="N115" s="49">
        <f>'дод 3'!O29</f>
        <v>0</v>
      </c>
      <c r="O115" s="49">
        <f>'дод 3'!P29</f>
        <v>783850</v>
      </c>
    </row>
    <row r="116" spans="1:15" ht="69" customHeight="1" x14ac:dyDescent="0.25">
      <c r="A116" s="37" t="s">
        <v>110</v>
      </c>
      <c r="B116" s="37" t="s">
        <v>102</v>
      </c>
      <c r="C116" s="6" t="s">
        <v>20</v>
      </c>
      <c r="D116" s="49">
        <f>'дод 3'!E30+'дод 3'!E107</f>
        <v>5780000</v>
      </c>
      <c r="E116" s="49">
        <f>'дод 3'!F30+'дод 3'!F107</f>
        <v>5780000</v>
      </c>
      <c r="F116" s="49">
        <f>'дод 3'!G30+'дод 3'!G107</f>
        <v>0</v>
      </c>
      <c r="G116" s="49">
        <f>'дод 3'!H30+'дод 3'!H107</f>
        <v>0</v>
      </c>
      <c r="H116" s="49">
        <f>'дод 3'!I30+'дод 3'!I107</f>
        <v>0</v>
      </c>
      <c r="I116" s="49">
        <f>'дод 3'!J30+'дод 3'!J107</f>
        <v>0</v>
      </c>
      <c r="J116" s="49">
        <f>'дод 3'!K30+'дод 3'!K107</f>
        <v>0</v>
      </c>
      <c r="K116" s="49">
        <f>'дод 3'!L30+'дод 3'!L107</f>
        <v>0</v>
      </c>
      <c r="L116" s="49">
        <f>'дод 3'!M30+'дод 3'!M107</f>
        <v>0</v>
      </c>
      <c r="M116" s="49">
        <f>'дод 3'!N30+'дод 3'!N107</f>
        <v>0</v>
      </c>
      <c r="N116" s="49">
        <f>'дод 3'!O30+'дод 3'!O107</f>
        <v>0</v>
      </c>
      <c r="O116" s="49">
        <f>'дод 3'!P30+'дод 3'!P107</f>
        <v>5780000</v>
      </c>
    </row>
    <row r="117" spans="1:15" ht="68.25" customHeight="1" x14ac:dyDescent="0.25">
      <c r="A117" s="37" t="s">
        <v>111</v>
      </c>
      <c r="B117" s="37">
        <v>1010</v>
      </c>
      <c r="C117" s="3" t="s">
        <v>288</v>
      </c>
      <c r="D117" s="49">
        <f>'дод 3'!E175</f>
        <v>3000000</v>
      </c>
      <c r="E117" s="49">
        <f>'дод 3'!F175</f>
        <v>3000000</v>
      </c>
      <c r="F117" s="49">
        <f>'дод 3'!G175</f>
        <v>0</v>
      </c>
      <c r="G117" s="49">
        <f>'дод 3'!H175</f>
        <v>0</v>
      </c>
      <c r="H117" s="49">
        <f>'дод 3'!I175</f>
        <v>0</v>
      </c>
      <c r="I117" s="49">
        <f>'дод 3'!J175</f>
        <v>0</v>
      </c>
      <c r="J117" s="49">
        <f>'дод 3'!K175</f>
        <v>0</v>
      </c>
      <c r="K117" s="49">
        <f>'дод 3'!L175</f>
        <v>0</v>
      </c>
      <c r="L117" s="49">
        <f>'дод 3'!M175</f>
        <v>0</v>
      </c>
      <c r="M117" s="49">
        <f>'дод 3'!N175</f>
        <v>0</v>
      </c>
      <c r="N117" s="49">
        <f>'дод 3'!O175</f>
        <v>0</v>
      </c>
      <c r="O117" s="49">
        <f>'дод 3'!P175</f>
        <v>3000000</v>
      </c>
    </row>
    <row r="118" spans="1:15" s="54" customFormat="1" ht="53.25" customHeight="1" x14ac:dyDescent="0.25">
      <c r="A118" s="37" t="s">
        <v>318</v>
      </c>
      <c r="B118" s="37">
        <v>1010</v>
      </c>
      <c r="C118" s="3" t="s">
        <v>407</v>
      </c>
      <c r="D118" s="49">
        <f>'дод 3'!E176</f>
        <v>198209</v>
      </c>
      <c r="E118" s="49">
        <f>'дод 3'!F176</f>
        <v>198209</v>
      </c>
      <c r="F118" s="49">
        <f>'дод 3'!G176</f>
        <v>0</v>
      </c>
      <c r="G118" s="49">
        <f>'дод 3'!H176</f>
        <v>0</v>
      </c>
      <c r="H118" s="49">
        <f>'дод 3'!I176</f>
        <v>0</v>
      </c>
      <c r="I118" s="49">
        <f>'дод 3'!J176</f>
        <v>0</v>
      </c>
      <c r="J118" s="49">
        <f>'дод 3'!K176</f>
        <v>0</v>
      </c>
      <c r="K118" s="49">
        <f>'дод 3'!L176</f>
        <v>0</v>
      </c>
      <c r="L118" s="49">
        <f>'дод 3'!M176</f>
        <v>0</v>
      </c>
      <c r="M118" s="49">
        <f>'дод 3'!N176</f>
        <v>0</v>
      </c>
      <c r="N118" s="49">
        <f>'дод 3'!O176</f>
        <v>0</v>
      </c>
      <c r="O118" s="49">
        <f>'дод 3'!P176</f>
        <v>198209</v>
      </c>
    </row>
    <row r="119" spans="1:15" s="54" customFormat="1" x14ac:dyDescent="0.25">
      <c r="A119" s="82"/>
      <c r="B119" s="82"/>
      <c r="C119" s="83" t="s">
        <v>395</v>
      </c>
      <c r="D119" s="84">
        <f>'дод 3'!E177</f>
        <v>198209</v>
      </c>
      <c r="E119" s="84">
        <f>'дод 3'!F177</f>
        <v>198209</v>
      </c>
      <c r="F119" s="84">
        <f>'дод 3'!G177</f>
        <v>0</v>
      </c>
      <c r="G119" s="84">
        <f>'дод 3'!H177</f>
        <v>0</v>
      </c>
      <c r="H119" s="84">
        <f>'дод 3'!I177</f>
        <v>0</v>
      </c>
      <c r="I119" s="84">
        <f>'дод 3'!J177</f>
        <v>0</v>
      </c>
      <c r="J119" s="84">
        <f>'дод 3'!K177</f>
        <v>0</v>
      </c>
      <c r="K119" s="84">
        <f>'дод 3'!L177</f>
        <v>0</v>
      </c>
      <c r="L119" s="84">
        <f>'дод 3'!M177</f>
        <v>0</v>
      </c>
      <c r="M119" s="84">
        <f>'дод 3'!N177</f>
        <v>0</v>
      </c>
      <c r="N119" s="84">
        <f>'дод 3'!O177</f>
        <v>0</v>
      </c>
      <c r="O119" s="84">
        <f>'дод 3'!P177</f>
        <v>198209</v>
      </c>
    </row>
    <row r="120" spans="1:15" s="54" customFormat="1" ht="36" customHeight="1" x14ac:dyDescent="0.25">
      <c r="A120" s="37" t="s">
        <v>319</v>
      </c>
      <c r="B120" s="37">
        <v>1010</v>
      </c>
      <c r="C120" s="3" t="s">
        <v>408</v>
      </c>
      <c r="D120" s="49">
        <f>'дод 3'!E178</f>
        <v>90</v>
      </c>
      <c r="E120" s="49">
        <f>'дод 3'!F178</f>
        <v>90</v>
      </c>
      <c r="F120" s="49">
        <f>'дод 3'!G178</f>
        <v>0</v>
      </c>
      <c r="G120" s="49">
        <f>'дод 3'!H178</f>
        <v>0</v>
      </c>
      <c r="H120" s="49">
        <f>'дод 3'!I178</f>
        <v>0</v>
      </c>
      <c r="I120" s="49">
        <f>'дод 3'!J178</f>
        <v>0</v>
      </c>
      <c r="J120" s="49">
        <f>'дод 3'!K178</f>
        <v>0</v>
      </c>
      <c r="K120" s="49">
        <f>'дод 3'!L178</f>
        <v>0</v>
      </c>
      <c r="L120" s="49">
        <f>'дод 3'!M178</f>
        <v>0</v>
      </c>
      <c r="M120" s="49">
        <f>'дод 3'!N178</f>
        <v>0</v>
      </c>
      <c r="N120" s="49">
        <f>'дод 3'!O178</f>
        <v>0</v>
      </c>
      <c r="O120" s="49">
        <f>'дод 3'!P178</f>
        <v>90</v>
      </c>
    </row>
    <row r="121" spans="1:15" s="54" customFormat="1" x14ac:dyDescent="0.25">
      <c r="A121" s="82"/>
      <c r="B121" s="82"/>
      <c r="C121" s="83" t="s">
        <v>395</v>
      </c>
      <c r="D121" s="84">
        <f>'дод 3'!E179</f>
        <v>90</v>
      </c>
      <c r="E121" s="84">
        <f>'дод 3'!F179</f>
        <v>90</v>
      </c>
      <c r="F121" s="84">
        <f>'дод 3'!G179</f>
        <v>0</v>
      </c>
      <c r="G121" s="84">
        <f>'дод 3'!H179</f>
        <v>0</v>
      </c>
      <c r="H121" s="84">
        <f>'дод 3'!I179</f>
        <v>0</v>
      </c>
      <c r="I121" s="84">
        <f>'дод 3'!J179</f>
        <v>0</v>
      </c>
      <c r="J121" s="84">
        <f>'дод 3'!K179</f>
        <v>0</v>
      </c>
      <c r="K121" s="84">
        <f>'дод 3'!L179</f>
        <v>0</v>
      </c>
      <c r="L121" s="84">
        <f>'дод 3'!M179</f>
        <v>0</v>
      </c>
      <c r="M121" s="84">
        <f>'дод 3'!N179</f>
        <v>0</v>
      </c>
      <c r="N121" s="84">
        <f>'дод 3'!O179</f>
        <v>0</v>
      </c>
      <c r="O121" s="84">
        <f>'дод 3'!P179</f>
        <v>90</v>
      </c>
    </row>
    <row r="122" spans="1:15" ht="72.75" customHeight="1" x14ac:dyDescent="0.25">
      <c r="A122" s="37" t="s">
        <v>106</v>
      </c>
      <c r="B122" s="37" t="s">
        <v>54</v>
      </c>
      <c r="C122" s="3" t="s">
        <v>343</v>
      </c>
      <c r="D122" s="49">
        <f>'дод 3'!E180</f>
        <v>2213520</v>
      </c>
      <c r="E122" s="49">
        <f>'дод 3'!F180</f>
        <v>2213520</v>
      </c>
      <c r="F122" s="49">
        <f>'дод 3'!G180</f>
        <v>0</v>
      </c>
      <c r="G122" s="49">
        <f>'дод 3'!H180</f>
        <v>0</v>
      </c>
      <c r="H122" s="49">
        <f>'дод 3'!I180</f>
        <v>0</v>
      </c>
      <c r="I122" s="49">
        <f>'дод 3'!J180</f>
        <v>0</v>
      </c>
      <c r="J122" s="49">
        <f>'дод 3'!K180</f>
        <v>0</v>
      </c>
      <c r="K122" s="49">
        <f>'дод 3'!L180</f>
        <v>0</v>
      </c>
      <c r="L122" s="49">
        <f>'дод 3'!M180</f>
        <v>0</v>
      </c>
      <c r="M122" s="49">
        <f>'дод 3'!N180</f>
        <v>0</v>
      </c>
      <c r="N122" s="49">
        <f>'дод 3'!O180</f>
        <v>0</v>
      </c>
      <c r="O122" s="49">
        <f>'дод 3'!P180</f>
        <v>2213520</v>
      </c>
    </row>
    <row r="123" spans="1:15" s="54" customFormat="1" ht="19.5" customHeight="1" x14ac:dyDescent="0.25">
      <c r="A123" s="37" t="s">
        <v>289</v>
      </c>
      <c r="B123" s="37" t="s">
        <v>53</v>
      </c>
      <c r="C123" s="3" t="s">
        <v>18</v>
      </c>
      <c r="D123" s="49">
        <f>'дод 3'!E181</f>
        <v>2042960</v>
      </c>
      <c r="E123" s="49">
        <f>'дод 3'!F181</f>
        <v>2042960</v>
      </c>
      <c r="F123" s="49">
        <f>'дод 3'!G181</f>
        <v>0</v>
      </c>
      <c r="G123" s="49">
        <f>'дод 3'!H181</f>
        <v>0</v>
      </c>
      <c r="H123" s="49">
        <f>'дод 3'!I181</f>
        <v>0</v>
      </c>
      <c r="I123" s="49">
        <f>'дод 3'!J181</f>
        <v>0</v>
      </c>
      <c r="J123" s="49">
        <f>'дод 3'!K181</f>
        <v>0</v>
      </c>
      <c r="K123" s="49">
        <f>'дод 3'!L181</f>
        <v>0</v>
      </c>
      <c r="L123" s="49">
        <f>'дод 3'!M181</f>
        <v>0</v>
      </c>
      <c r="M123" s="49">
        <f>'дод 3'!N181</f>
        <v>0</v>
      </c>
      <c r="N123" s="49">
        <f>'дод 3'!O181</f>
        <v>0</v>
      </c>
      <c r="O123" s="49">
        <f>'дод 3'!P181</f>
        <v>2042960</v>
      </c>
    </row>
    <row r="124" spans="1:15" s="54" customFormat="1" ht="51" customHeight="1" x14ac:dyDescent="0.25">
      <c r="A124" s="37" t="s">
        <v>290</v>
      </c>
      <c r="B124" s="37" t="s">
        <v>53</v>
      </c>
      <c r="C124" s="61" t="s">
        <v>511</v>
      </c>
      <c r="D124" s="49">
        <f>'дод 3'!E182</f>
        <v>2250688</v>
      </c>
      <c r="E124" s="49">
        <f>'дод 3'!F182</f>
        <v>2250688</v>
      </c>
      <c r="F124" s="49">
        <f>'дод 3'!G182</f>
        <v>0</v>
      </c>
      <c r="G124" s="49">
        <f>'дод 3'!H182</f>
        <v>0</v>
      </c>
      <c r="H124" s="49">
        <f>'дод 3'!I182</f>
        <v>0</v>
      </c>
      <c r="I124" s="49">
        <f>'дод 3'!J182</f>
        <v>0</v>
      </c>
      <c r="J124" s="49">
        <f>'дод 3'!K182</f>
        <v>0</v>
      </c>
      <c r="K124" s="49">
        <f>'дод 3'!L182</f>
        <v>0</v>
      </c>
      <c r="L124" s="49">
        <f>'дод 3'!M182</f>
        <v>0</v>
      </c>
      <c r="M124" s="49">
        <f>'дод 3'!N182</f>
        <v>0</v>
      </c>
      <c r="N124" s="49">
        <f>'дод 3'!O182</f>
        <v>0</v>
      </c>
      <c r="O124" s="49">
        <f>'дод 3'!P182</f>
        <v>2250688</v>
      </c>
    </row>
    <row r="125" spans="1:15" ht="36.75" customHeight="1" x14ac:dyDescent="0.25">
      <c r="A125" s="37" t="s">
        <v>107</v>
      </c>
      <c r="B125" s="37" t="s">
        <v>57</v>
      </c>
      <c r="C125" s="3" t="s">
        <v>344</v>
      </c>
      <c r="D125" s="49">
        <f>'дод 3'!E183</f>
        <v>92000</v>
      </c>
      <c r="E125" s="49">
        <f>'дод 3'!F183</f>
        <v>92000</v>
      </c>
      <c r="F125" s="49">
        <f>'дод 3'!G183</f>
        <v>0</v>
      </c>
      <c r="G125" s="49">
        <f>'дод 3'!H183</f>
        <v>0</v>
      </c>
      <c r="H125" s="49">
        <f>'дод 3'!I183</f>
        <v>0</v>
      </c>
      <c r="I125" s="49">
        <f>'дод 3'!J183</f>
        <v>0</v>
      </c>
      <c r="J125" s="49">
        <f>'дод 3'!K183</f>
        <v>0</v>
      </c>
      <c r="K125" s="49">
        <f>'дод 3'!L183</f>
        <v>0</v>
      </c>
      <c r="L125" s="49">
        <f>'дод 3'!M183</f>
        <v>0</v>
      </c>
      <c r="M125" s="49">
        <f>'дод 3'!N183</f>
        <v>0</v>
      </c>
      <c r="N125" s="49">
        <f>'дод 3'!O183</f>
        <v>0</v>
      </c>
      <c r="O125" s="49">
        <f>'дод 3'!P183</f>
        <v>92000</v>
      </c>
    </row>
    <row r="126" spans="1:15" ht="20.25" customHeight="1" x14ac:dyDescent="0.25">
      <c r="A126" s="37" t="s">
        <v>291</v>
      </c>
      <c r="B126" s="37" t="s">
        <v>108</v>
      </c>
      <c r="C126" s="3" t="s">
        <v>38</v>
      </c>
      <c r="D126" s="49">
        <f>'дод 3'!E184+'дод 3'!E224</f>
        <v>210000</v>
      </c>
      <c r="E126" s="49">
        <f>'дод 3'!F184+'дод 3'!F224</f>
        <v>210000</v>
      </c>
      <c r="F126" s="49">
        <f>'дод 3'!G184+'дод 3'!G224</f>
        <v>40900</v>
      </c>
      <c r="G126" s="49">
        <f>'дод 3'!H184+'дод 3'!H224</f>
        <v>0</v>
      </c>
      <c r="H126" s="49">
        <f>'дод 3'!I184+'дод 3'!I224</f>
        <v>0</v>
      </c>
      <c r="I126" s="49">
        <f>'дод 3'!J184+'дод 3'!J224</f>
        <v>0</v>
      </c>
      <c r="J126" s="49">
        <f>'дод 3'!K184+'дод 3'!K224</f>
        <v>0</v>
      </c>
      <c r="K126" s="49">
        <f>'дод 3'!L184+'дод 3'!L224</f>
        <v>0</v>
      </c>
      <c r="L126" s="49">
        <f>'дод 3'!M184+'дод 3'!M224</f>
        <v>0</v>
      </c>
      <c r="M126" s="49">
        <f>'дод 3'!N184+'дод 3'!N224</f>
        <v>0</v>
      </c>
      <c r="N126" s="49">
        <f>'дод 3'!O184+'дод 3'!O224</f>
        <v>0</v>
      </c>
      <c r="O126" s="49">
        <f>'дод 3'!P184+'дод 3'!P224</f>
        <v>210000</v>
      </c>
    </row>
    <row r="127" spans="1:15" ht="240.75" customHeight="1" x14ac:dyDescent="0.25">
      <c r="A127" s="37">
        <v>3221</v>
      </c>
      <c r="B127" s="59" t="s">
        <v>54</v>
      </c>
      <c r="C127" s="36" t="s">
        <v>612</v>
      </c>
      <c r="D127" s="49">
        <f>'дод 3'!E185</f>
        <v>0</v>
      </c>
      <c r="E127" s="49">
        <f>'дод 3'!F185</f>
        <v>0</v>
      </c>
      <c r="F127" s="49">
        <f>'дод 3'!G185</f>
        <v>0</v>
      </c>
      <c r="G127" s="49">
        <f>'дод 3'!H185</f>
        <v>0</v>
      </c>
      <c r="H127" s="49">
        <f>'дод 3'!I185</f>
        <v>0</v>
      </c>
      <c r="I127" s="49">
        <f>'дод 3'!J185</f>
        <v>975480.06</v>
      </c>
      <c r="J127" s="49">
        <f>'дод 3'!K185</f>
        <v>975480.06</v>
      </c>
      <c r="K127" s="49">
        <f>'дод 3'!L185</f>
        <v>0</v>
      </c>
      <c r="L127" s="49">
        <f>'дод 3'!M185</f>
        <v>0</v>
      </c>
      <c r="M127" s="49">
        <f>'дод 3'!N185</f>
        <v>0</v>
      </c>
      <c r="N127" s="49">
        <f>'дод 3'!O185</f>
        <v>975480.06</v>
      </c>
      <c r="O127" s="49">
        <f>'дод 3'!P185</f>
        <v>975480.06</v>
      </c>
    </row>
    <row r="128" spans="1:15" s="54" customFormat="1" ht="267.75" customHeight="1" x14ac:dyDescent="0.25">
      <c r="A128" s="82"/>
      <c r="B128" s="93"/>
      <c r="C128" s="91" t="s">
        <v>447</v>
      </c>
      <c r="D128" s="84">
        <f>'дод 3'!E186</f>
        <v>0</v>
      </c>
      <c r="E128" s="84">
        <f>'дод 3'!F186</f>
        <v>0</v>
      </c>
      <c r="F128" s="84">
        <f>'дод 3'!G186</f>
        <v>0</v>
      </c>
      <c r="G128" s="84">
        <f>'дод 3'!H186</f>
        <v>0</v>
      </c>
      <c r="H128" s="84">
        <f>'дод 3'!I186</f>
        <v>0</v>
      </c>
      <c r="I128" s="84">
        <f>'дод 3'!J186</f>
        <v>975480.06</v>
      </c>
      <c r="J128" s="84">
        <f>'дод 3'!K186</f>
        <v>975480.06</v>
      </c>
      <c r="K128" s="84">
        <f>'дод 3'!L186</f>
        <v>0</v>
      </c>
      <c r="L128" s="84">
        <f>'дод 3'!M186</f>
        <v>0</v>
      </c>
      <c r="M128" s="84">
        <f>'дод 3'!N186</f>
        <v>0</v>
      </c>
      <c r="N128" s="84">
        <f>'дод 3'!O186</f>
        <v>975480.06</v>
      </c>
      <c r="O128" s="84">
        <f>'дод 3'!P186</f>
        <v>975480.06</v>
      </c>
    </row>
    <row r="129" spans="1:15" s="54" customFormat="1" ht="293.25" customHeight="1" x14ac:dyDescent="0.25">
      <c r="A129" s="42">
        <v>3222</v>
      </c>
      <c r="B129" s="107" t="s">
        <v>54</v>
      </c>
      <c r="C129" s="36" t="s">
        <v>614</v>
      </c>
      <c r="D129" s="49">
        <f>'дод 3'!E187</f>
        <v>0</v>
      </c>
      <c r="E129" s="49">
        <f>'дод 3'!F187</f>
        <v>0</v>
      </c>
      <c r="F129" s="49">
        <f>'дод 3'!G187</f>
        <v>0</v>
      </c>
      <c r="G129" s="49">
        <f>'дод 3'!H187</f>
        <v>0</v>
      </c>
      <c r="H129" s="49">
        <f>'дод 3'!I187</f>
        <v>0</v>
      </c>
      <c r="I129" s="49">
        <f>'дод 3'!J187</f>
        <v>1176130.99</v>
      </c>
      <c r="J129" s="49">
        <f>'дод 3'!K187</f>
        <v>1176130.99</v>
      </c>
      <c r="K129" s="49">
        <f>'дод 3'!L187</f>
        <v>0</v>
      </c>
      <c r="L129" s="49">
        <f>'дод 3'!M187</f>
        <v>0</v>
      </c>
      <c r="M129" s="49">
        <f>'дод 3'!N187</f>
        <v>0</v>
      </c>
      <c r="N129" s="49">
        <f>'дод 3'!O187</f>
        <v>1176130.99</v>
      </c>
      <c r="O129" s="49">
        <f>'дод 3'!P187</f>
        <v>1176130.99</v>
      </c>
    </row>
    <row r="130" spans="1:15" s="54" customFormat="1" ht="333.75" customHeight="1" x14ac:dyDescent="0.25">
      <c r="A130" s="82"/>
      <c r="B130" s="93"/>
      <c r="C130" s="91" t="s">
        <v>615</v>
      </c>
      <c r="D130" s="84">
        <f>'дод 3'!E188</f>
        <v>0</v>
      </c>
      <c r="E130" s="84">
        <f>'дод 3'!F188</f>
        <v>0</v>
      </c>
      <c r="F130" s="84">
        <f>'дод 3'!G188</f>
        <v>0</v>
      </c>
      <c r="G130" s="84">
        <f>'дод 3'!H188</f>
        <v>0</v>
      </c>
      <c r="H130" s="84">
        <f>'дод 3'!I188</f>
        <v>0</v>
      </c>
      <c r="I130" s="84">
        <f>'дод 3'!J188</f>
        <v>1176130.99</v>
      </c>
      <c r="J130" s="84">
        <f>'дод 3'!K188</f>
        <v>1176130.99</v>
      </c>
      <c r="K130" s="84">
        <f>'дод 3'!L188</f>
        <v>0</v>
      </c>
      <c r="L130" s="84">
        <f>'дод 3'!M188</f>
        <v>0</v>
      </c>
      <c r="M130" s="84">
        <f>'дод 3'!N188</f>
        <v>0</v>
      </c>
      <c r="N130" s="84">
        <f>'дод 3'!O188</f>
        <v>1176130.99</v>
      </c>
      <c r="O130" s="84">
        <f>'дод 3'!P188</f>
        <v>1176130.99</v>
      </c>
    </row>
    <row r="131" spans="1:15" ht="189" hidden="1" x14ac:dyDescent="0.25">
      <c r="A131" s="37">
        <v>3223</v>
      </c>
      <c r="B131" s="59" t="s">
        <v>54</v>
      </c>
      <c r="C131" s="36" t="s">
        <v>445</v>
      </c>
      <c r="D131" s="49">
        <f>'дод 3'!E189</f>
        <v>0</v>
      </c>
      <c r="E131" s="49">
        <f>'дод 3'!F189</f>
        <v>0</v>
      </c>
      <c r="F131" s="49">
        <f>'дод 3'!G189</f>
        <v>0</v>
      </c>
      <c r="G131" s="49">
        <f>'дод 3'!H189</f>
        <v>0</v>
      </c>
      <c r="H131" s="49">
        <f>'дод 3'!I189</f>
        <v>0</v>
      </c>
      <c r="I131" s="49">
        <f>'дод 3'!J189</f>
        <v>0</v>
      </c>
      <c r="J131" s="49">
        <f>'дод 3'!K189</f>
        <v>0</v>
      </c>
      <c r="K131" s="49">
        <f>'дод 3'!L189</f>
        <v>0</v>
      </c>
      <c r="L131" s="49">
        <f>'дод 3'!M189</f>
        <v>0</v>
      </c>
      <c r="M131" s="49">
        <f>'дод 3'!N189</f>
        <v>0</v>
      </c>
      <c r="N131" s="49">
        <f>'дод 3'!O189</f>
        <v>0</v>
      </c>
      <c r="O131" s="49">
        <f>'дод 3'!P189</f>
        <v>0</v>
      </c>
    </row>
    <row r="132" spans="1:15" s="54" customFormat="1" ht="236.25" hidden="1" x14ac:dyDescent="0.25">
      <c r="A132" s="82"/>
      <c r="B132" s="93"/>
      <c r="C132" s="91" t="s">
        <v>446</v>
      </c>
      <c r="D132" s="84">
        <f>'дод 3'!E190</f>
        <v>0</v>
      </c>
      <c r="E132" s="84">
        <f>'дод 3'!F190</f>
        <v>0</v>
      </c>
      <c r="F132" s="84">
        <f>'дод 3'!G190</f>
        <v>0</v>
      </c>
      <c r="G132" s="84">
        <f>'дод 3'!H190</f>
        <v>0</v>
      </c>
      <c r="H132" s="84">
        <f>'дод 3'!I190</f>
        <v>0</v>
      </c>
      <c r="I132" s="84">
        <f>'дод 3'!J190</f>
        <v>0</v>
      </c>
      <c r="J132" s="84">
        <f>'дод 3'!K190</f>
        <v>0</v>
      </c>
      <c r="K132" s="84">
        <f>'дод 3'!L190</f>
        <v>0</v>
      </c>
      <c r="L132" s="84">
        <f>'дод 3'!M190</f>
        <v>0</v>
      </c>
      <c r="M132" s="84">
        <f>'дод 3'!N190</f>
        <v>0</v>
      </c>
      <c r="N132" s="84">
        <f>'дод 3'!O190</f>
        <v>0</v>
      </c>
      <c r="O132" s="84">
        <f>'дод 3'!P190</f>
        <v>0</v>
      </c>
    </row>
    <row r="133" spans="1:15" s="54" customFormat="1" ht="32.25" customHeight="1" x14ac:dyDescent="0.25">
      <c r="A133" s="37" t="s">
        <v>292</v>
      </c>
      <c r="B133" s="37" t="s">
        <v>57</v>
      </c>
      <c r="C133" s="3" t="s">
        <v>294</v>
      </c>
      <c r="D133" s="49">
        <f>'дод 3'!E191+'дод 3'!E31</f>
        <v>8468314.5599999987</v>
      </c>
      <c r="E133" s="49">
        <f>'дод 3'!F191+'дод 3'!F31</f>
        <v>8468314.5599999987</v>
      </c>
      <c r="F133" s="49">
        <f>'дод 3'!G191+'дод 3'!G31</f>
        <v>5153600</v>
      </c>
      <c r="G133" s="49">
        <f>'дод 3'!H191+'дод 3'!H31</f>
        <v>527146</v>
      </c>
      <c r="H133" s="49">
        <f>'дод 3'!I191+'дод 3'!I31</f>
        <v>0</v>
      </c>
      <c r="I133" s="49">
        <f>'дод 3'!J191+'дод 3'!J31</f>
        <v>161000</v>
      </c>
      <c r="J133" s="49">
        <f>'дод 3'!K191+'дод 3'!K31</f>
        <v>161000</v>
      </c>
      <c r="K133" s="49">
        <f>'дод 3'!L191+'дод 3'!L31</f>
        <v>0</v>
      </c>
      <c r="L133" s="49">
        <f>'дод 3'!M191+'дод 3'!M31</f>
        <v>0</v>
      </c>
      <c r="M133" s="49">
        <f>'дод 3'!N191+'дод 3'!N31</f>
        <v>0</v>
      </c>
      <c r="N133" s="49">
        <f>'дод 3'!O191+'дод 3'!O31</f>
        <v>161000</v>
      </c>
      <c r="O133" s="49">
        <f>'дод 3'!P191+'дод 3'!P31</f>
        <v>8629314.5599999987</v>
      </c>
    </row>
    <row r="134" spans="1:15" s="54" customFormat="1" ht="31.5" customHeight="1" x14ac:dyDescent="0.25">
      <c r="A134" s="37" t="s">
        <v>293</v>
      </c>
      <c r="B134" s="37" t="s">
        <v>57</v>
      </c>
      <c r="C134" s="3" t="s">
        <v>524</v>
      </c>
      <c r="D134" s="49">
        <f>'дод 3'!E32+'дод 3'!E108+'дод 3'!E192</f>
        <v>39045002.549999997</v>
      </c>
      <c r="E134" s="49">
        <f>'дод 3'!F32+'дод 3'!F108+'дод 3'!F192</f>
        <v>39045002.549999997</v>
      </c>
      <c r="F134" s="49">
        <f>'дод 3'!G32+'дод 3'!G108+'дод 3'!G192</f>
        <v>0</v>
      </c>
      <c r="G134" s="49">
        <f>'дод 3'!H32+'дод 3'!H108+'дод 3'!H192</f>
        <v>0</v>
      </c>
      <c r="H134" s="49">
        <f>'дод 3'!I32+'дод 3'!I108+'дод 3'!I192</f>
        <v>0</v>
      </c>
      <c r="I134" s="49">
        <f>'дод 3'!J32+'дод 3'!J108+'дод 3'!J192</f>
        <v>45000</v>
      </c>
      <c r="J134" s="49">
        <f>'дод 3'!K32+'дод 3'!K108+'дод 3'!K192</f>
        <v>45000</v>
      </c>
      <c r="K134" s="49">
        <f>'дод 3'!L32+'дод 3'!L108+'дод 3'!L192</f>
        <v>0</v>
      </c>
      <c r="L134" s="49">
        <f>'дод 3'!M32+'дод 3'!M108+'дод 3'!M192</f>
        <v>0</v>
      </c>
      <c r="M134" s="49">
        <f>'дод 3'!N32+'дод 3'!N108+'дод 3'!N192</f>
        <v>0</v>
      </c>
      <c r="N134" s="49">
        <f>'дод 3'!O32+'дод 3'!O108+'дод 3'!O192</f>
        <v>45000</v>
      </c>
      <c r="O134" s="49">
        <f>'дод 3'!P32+'дод 3'!P108+'дод 3'!P192</f>
        <v>39090002.549999997</v>
      </c>
    </row>
    <row r="135" spans="1:15" s="54" customFormat="1" x14ac:dyDescent="0.25">
      <c r="A135" s="82"/>
      <c r="B135" s="82"/>
      <c r="C135" s="83" t="s">
        <v>395</v>
      </c>
      <c r="D135" s="84">
        <f>'дод 3'!E193</f>
        <v>348000</v>
      </c>
      <c r="E135" s="84">
        <f>'дод 3'!F193</f>
        <v>348000</v>
      </c>
      <c r="F135" s="84">
        <f>'дод 3'!G193</f>
        <v>0</v>
      </c>
      <c r="G135" s="84">
        <f>'дод 3'!H193</f>
        <v>0</v>
      </c>
      <c r="H135" s="84">
        <f>'дод 3'!I193</f>
        <v>0</v>
      </c>
      <c r="I135" s="84">
        <f>'дод 3'!J193</f>
        <v>0</v>
      </c>
      <c r="J135" s="84">
        <f>'дод 3'!K193</f>
        <v>0</v>
      </c>
      <c r="K135" s="84">
        <f>'дод 3'!L193</f>
        <v>0</v>
      </c>
      <c r="L135" s="84">
        <f>'дод 3'!M193</f>
        <v>0</v>
      </c>
      <c r="M135" s="84">
        <f>'дод 3'!N193</f>
        <v>0</v>
      </c>
      <c r="N135" s="84">
        <f>'дод 3'!O193</f>
        <v>0</v>
      </c>
      <c r="O135" s="84">
        <f>'дод 3'!P193</f>
        <v>348000</v>
      </c>
    </row>
    <row r="136" spans="1:15" s="52" customFormat="1" ht="19.5" customHeight="1" x14ac:dyDescent="0.25">
      <c r="A136" s="38" t="s">
        <v>72</v>
      </c>
      <c r="B136" s="41"/>
      <c r="C136" s="2" t="s">
        <v>73</v>
      </c>
      <c r="D136" s="48">
        <f t="shared" ref="D136:O136" si="22">D137+D138+D139+D140</f>
        <v>36900478</v>
      </c>
      <c r="E136" s="48">
        <f t="shared" si="22"/>
        <v>36900478</v>
      </c>
      <c r="F136" s="48">
        <f t="shared" si="22"/>
        <v>24290500</v>
      </c>
      <c r="G136" s="48">
        <f t="shared" si="22"/>
        <v>2323897</v>
      </c>
      <c r="H136" s="48">
        <f t="shared" si="22"/>
        <v>0</v>
      </c>
      <c r="I136" s="48">
        <f t="shared" si="22"/>
        <v>346500</v>
      </c>
      <c r="J136" s="48">
        <f t="shared" si="22"/>
        <v>315500</v>
      </c>
      <c r="K136" s="48">
        <f t="shared" si="22"/>
        <v>31000</v>
      </c>
      <c r="L136" s="48">
        <f t="shared" si="22"/>
        <v>12100</v>
      </c>
      <c r="M136" s="48">
        <f t="shared" si="22"/>
        <v>3300</v>
      </c>
      <c r="N136" s="48">
        <f t="shared" si="22"/>
        <v>315500</v>
      </c>
      <c r="O136" s="48">
        <f t="shared" si="22"/>
        <v>37246978</v>
      </c>
    </row>
    <row r="137" spans="1:15" ht="22.5" customHeight="1" x14ac:dyDescent="0.25">
      <c r="A137" s="37" t="s">
        <v>74</v>
      </c>
      <c r="B137" s="37" t="s">
        <v>75</v>
      </c>
      <c r="C137" s="3" t="s">
        <v>15</v>
      </c>
      <c r="D137" s="49">
        <f>'дод 3'!E208</f>
        <v>23024164</v>
      </c>
      <c r="E137" s="49">
        <f>'дод 3'!F208</f>
        <v>23024164</v>
      </c>
      <c r="F137" s="49">
        <f>'дод 3'!G208</f>
        <v>16852700</v>
      </c>
      <c r="G137" s="49">
        <f>'дод 3'!H208</f>
        <v>1328264</v>
      </c>
      <c r="H137" s="49">
        <f>'дод 3'!I208</f>
        <v>0</v>
      </c>
      <c r="I137" s="49">
        <f>'дод 3'!J208</f>
        <v>252500</v>
      </c>
      <c r="J137" s="49">
        <f>'дод 3'!K208</f>
        <v>227500</v>
      </c>
      <c r="K137" s="49">
        <f>'дод 3'!L208</f>
        <v>25000</v>
      </c>
      <c r="L137" s="49">
        <f>'дод 3'!M208</f>
        <v>12100</v>
      </c>
      <c r="M137" s="49">
        <f>'дод 3'!N208</f>
        <v>0</v>
      </c>
      <c r="N137" s="49">
        <f>'дод 3'!O208</f>
        <v>227500</v>
      </c>
      <c r="O137" s="49">
        <f>'дод 3'!P208</f>
        <v>23276664</v>
      </c>
    </row>
    <row r="138" spans="1:15" ht="33.75" customHeight="1" x14ac:dyDescent="0.25">
      <c r="A138" s="37" t="s">
        <v>321</v>
      </c>
      <c r="B138" s="37" t="s">
        <v>322</v>
      </c>
      <c r="C138" s="3" t="s">
        <v>323</v>
      </c>
      <c r="D138" s="49">
        <f>'дод 3'!E33+'дод 3'!E209</f>
        <v>7136125</v>
      </c>
      <c r="E138" s="49">
        <f>'дод 3'!F33+'дод 3'!F209</f>
        <v>7136125</v>
      </c>
      <c r="F138" s="49">
        <f>'дод 3'!G33+'дод 3'!G209</f>
        <v>4057800</v>
      </c>
      <c r="G138" s="49">
        <f>'дод 3'!H33+'дод 3'!H209</f>
        <v>865725</v>
      </c>
      <c r="H138" s="49">
        <f>'дод 3'!I33+'дод 3'!I209</f>
        <v>0</v>
      </c>
      <c r="I138" s="49">
        <f>'дод 3'!J33+'дод 3'!J209</f>
        <v>6000</v>
      </c>
      <c r="J138" s="49">
        <f>'дод 3'!K33+'дод 3'!K209</f>
        <v>0</v>
      </c>
      <c r="K138" s="49">
        <f>'дод 3'!L33+'дод 3'!L209</f>
        <v>6000</v>
      </c>
      <c r="L138" s="49">
        <f>'дод 3'!M33+'дод 3'!M209</f>
        <v>0</v>
      </c>
      <c r="M138" s="49">
        <f>'дод 3'!N33+'дод 3'!N209</f>
        <v>3300</v>
      </c>
      <c r="N138" s="49">
        <f>'дод 3'!O33+'дод 3'!O209</f>
        <v>0</v>
      </c>
      <c r="O138" s="49">
        <f>'дод 3'!P33+'дод 3'!P209</f>
        <v>7142125</v>
      </c>
    </row>
    <row r="139" spans="1:15" s="54" customFormat="1" ht="37.5" customHeight="1" x14ac:dyDescent="0.25">
      <c r="A139" s="37" t="s">
        <v>295</v>
      </c>
      <c r="B139" s="37" t="s">
        <v>76</v>
      </c>
      <c r="C139" s="3" t="s">
        <v>345</v>
      </c>
      <c r="D139" s="49">
        <f>'дод 3'!E34+'дод 3'!E210</f>
        <v>5128008</v>
      </c>
      <c r="E139" s="49">
        <f>'дод 3'!F34+'дод 3'!F210</f>
        <v>5128008</v>
      </c>
      <c r="F139" s="49">
        <f>'дод 3'!G34+'дод 3'!G210</f>
        <v>3380000</v>
      </c>
      <c r="G139" s="49">
        <f>'дод 3'!H34+'дод 3'!H210</f>
        <v>129908</v>
      </c>
      <c r="H139" s="49">
        <f>'дод 3'!I34+'дод 3'!I210</f>
        <v>0</v>
      </c>
      <c r="I139" s="49">
        <f>'дод 3'!J34+'дод 3'!J210</f>
        <v>88000</v>
      </c>
      <c r="J139" s="49">
        <f>'дод 3'!K34+'дод 3'!K210</f>
        <v>88000</v>
      </c>
      <c r="K139" s="49">
        <f>'дод 3'!L34+'дод 3'!L210</f>
        <v>0</v>
      </c>
      <c r="L139" s="49">
        <f>'дод 3'!M34+'дод 3'!M210</f>
        <v>0</v>
      </c>
      <c r="M139" s="49">
        <f>'дод 3'!N34+'дод 3'!N210</f>
        <v>0</v>
      </c>
      <c r="N139" s="49">
        <f>'дод 3'!O34+'дод 3'!O210</f>
        <v>88000</v>
      </c>
      <c r="O139" s="49">
        <f>'дод 3'!P34+'дод 3'!P210</f>
        <v>5216008</v>
      </c>
    </row>
    <row r="140" spans="1:15" s="54" customFormat="1" ht="22.5" customHeight="1" x14ac:dyDescent="0.25">
      <c r="A140" s="37" t="s">
        <v>296</v>
      </c>
      <c r="B140" s="37" t="s">
        <v>76</v>
      </c>
      <c r="C140" s="3" t="s">
        <v>297</v>
      </c>
      <c r="D140" s="49">
        <f>'дод 3'!E35+'дод 3'!E211</f>
        <v>1612181</v>
      </c>
      <c r="E140" s="49">
        <f>'дод 3'!F35+'дод 3'!F211</f>
        <v>1612181</v>
      </c>
      <c r="F140" s="49">
        <f>'дод 3'!G35+'дод 3'!G211</f>
        <v>0</v>
      </c>
      <c r="G140" s="49">
        <f>'дод 3'!H35+'дод 3'!H211</f>
        <v>0</v>
      </c>
      <c r="H140" s="49">
        <f>'дод 3'!I35+'дод 3'!I211</f>
        <v>0</v>
      </c>
      <c r="I140" s="49">
        <f>'дод 3'!J35+'дод 3'!J211</f>
        <v>0</v>
      </c>
      <c r="J140" s="49">
        <f>'дод 3'!K35+'дод 3'!K211</f>
        <v>0</v>
      </c>
      <c r="K140" s="49">
        <f>'дод 3'!L35+'дод 3'!L211</f>
        <v>0</v>
      </c>
      <c r="L140" s="49">
        <f>'дод 3'!M35+'дод 3'!M211</f>
        <v>0</v>
      </c>
      <c r="M140" s="49">
        <f>'дод 3'!N35+'дод 3'!N211</f>
        <v>0</v>
      </c>
      <c r="N140" s="49">
        <f>'дод 3'!O35+'дод 3'!O211</f>
        <v>0</v>
      </c>
      <c r="O140" s="49">
        <f>'дод 3'!P35+'дод 3'!P211</f>
        <v>1612181</v>
      </c>
    </row>
    <row r="141" spans="1:15" s="52" customFormat="1" ht="21.75" customHeight="1" x14ac:dyDescent="0.25">
      <c r="A141" s="38" t="s">
        <v>79</v>
      </c>
      <c r="B141" s="41"/>
      <c r="C141" s="2" t="s">
        <v>80</v>
      </c>
      <c r="D141" s="48">
        <f t="shared" ref="D141:O141" si="23">D143+D144+D145+D147+D148+D149</f>
        <v>63173015</v>
      </c>
      <c r="E141" s="48">
        <f t="shared" si="23"/>
        <v>63173015</v>
      </c>
      <c r="F141" s="48">
        <f t="shared" si="23"/>
        <v>22849200</v>
      </c>
      <c r="G141" s="48">
        <f t="shared" si="23"/>
        <v>1361479</v>
      </c>
      <c r="H141" s="48">
        <f t="shared" si="23"/>
        <v>0</v>
      </c>
      <c r="I141" s="48">
        <f t="shared" si="23"/>
        <v>2315794</v>
      </c>
      <c r="J141" s="48">
        <f t="shared" si="23"/>
        <v>2102800</v>
      </c>
      <c r="K141" s="48">
        <f t="shared" si="23"/>
        <v>212994</v>
      </c>
      <c r="L141" s="48">
        <f t="shared" si="23"/>
        <v>119291</v>
      </c>
      <c r="M141" s="48">
        <f t="shared" si="23"/>
        <v>50432</v>
      </c>
      <c r="N141" s="48">
        <f t="shared" si="23"/>
        <v>2102800</v>
      </c>
      <c r="O141" s="48">
        <f t="shared" si="23"/>
        <v>65488809</v>
      </c>
    </row>
    <row r="142" spans="1:15" s="52" customFormat="1" ht="21.75" customHeight="1" x14ac:dyDescent="0.25">
      <c r="A142" s="38"/>
      <c r="B142" s="41"/>
      <c r="C142" s="81" t="s">
        <v>397</v>
      </c>
      <c r="D142" s="80">
        <f>D146</f>
        <v>134064</v>
      </c>
      <c r="E142" s="80">
        <f t="shared" ref="E142:O142" si="24">E146</f>
        <v>134064</v>
      </c>
      <c r="F142" s="80">
        <f t="shared" si="24"/>
        <v>0</v>
      </c>
      <c r="G142" s="80">
        <f t="shared" si="24"/>
        <v>0</v>
      </c>
      <c r="H142" s="80">
        <f t="shared" si="24"/>
        <v>0</v>
      </c>
      <c r="I142" s="80">
        <f t="shared" si="24"/>
        <v>0</v>
      </c>
      <c r="J142" s="80">
        <f t="shared" si="24"/>
        <v>0</v>
      </c>
      <c r="K142" s="80">
        <f t="shared" si="24"/>
        <v>0</v>
      </c>
      <c r="L142" s="80">
        <f t="shared" si="24"/>
        <v>0</v>
      </c>
      <c r="M142" s="80">
        <f t="shared" si="24"/>
        <v>0</v>
      </c>
      <c r="N142" s="80">
        <f t="shared" si="24"/>
        <v>0</v>
      </c>
      <c r="O142" s="80">
        <f t="shared" si="24"/>
        <v>134064</v>
      </c>
    </row>
    <row r="143" spans="1:15" s="54" customFormat="1" ht="37.5" customHeight="1" x14ac:dyDescent="0.25">
      <c r="A143" s="37" t="s">
        <v>81</v>
      </c>
      <c r="B143" s="37" t="s">
        <v>82</v>
      </c>
      <c r="C143" s="3" t="s">
        <v>21</v>
      </c>
      <c r="D143" s="49">
        <f>'дод 3'!E36</f>
        <v>710000</v>
      </c>
      <c r="E143" s="49">
        <f>'дод 3'!F36</f>
        <v>710000</v>
      </c>
      <c r="F143" s="49">
        <f>'дод 3'!G36</f>
        <v>0</v>
      </c>
      <c r="G143" s="49">
        <f>'дод 3'!H36</f>
        <v>0</v>
      </c>
      <c r="H143" s="49">
        <f>'дод 3'!I36</f>
        <v>0</v>
      </c>
      <c r="I143" s="49">
        <f>'дод 3'!J36</f>
        <v>0</v>
      </c>
      <c r="J143" s="49">
        <f>'дод 3'!K36</f>
        <v>0</v>
      </c>
      <c r="K143" s="49">
        <f>'дод 3'!L36</f>
        <v>0</v>
      </c>
      <c r="L143" s="49">
        <f>'дод 3'!M36</f>
        <v>0</v>
      </c>
      <c r="M143" s="49">
        <f>'дод 3'!N36</f>
        <v>0</v>
      </c>
      <c r="N143" s="49">
        <f>'дод 3'!O36</f>
        <v>0</v>
      </c>
      <c r="O143" s="49">
        <f>'дод 3'!P36</f>
        <v>710000</v>
      </c>
    </row>
    <row r="144" spans="1:15" s="54" customFormat="1" ht="34.5" customHeight="1" x14ac:dyDescent="0.25">
      <c r="A144" s="37" t="s">
        <v>83</v>
      </c>
      <c r="B144" s="37" t="s">
        <v>82</v>
      </c>
      <c r="C144" s="3" t="s">
        <v>16</v>
      </c>
      <c r="D144" s="49">
        <f>'дод 3'!E37</f>
        <v>959480</v>
      </c>
      <c r="E144" s="49">
        <f>'дод 3'!F37</f>
        <v>959480</v>
      </c>
      <c r="F144" s="49">
        <f>'дод 3'!G37</f>
        <v>0</v>
      </c>
      <c r="G144" s="49">
        <f>'дод 3'!H37</f>
        <v>0</v>
      </c>
      <c r="H144" s="49">
        <f>'дод 3'!I37</f>
        <v>0</v>
      </c>
      <c r="I144" s="49">
        <f>'дод 3'!J37</f>
        <v>0</v>
      </c>
      <c r="J144" s="49">
        <f>'дод 3'!K37</f>
        <v>0</v>
      </c>
      <c r="K144" s="49">
        <f>'дод 3'!L37</f>
        <v>0</v>
      </c>
      <c r="L144" s="49">
        <f>'дод 3'!M37</f>
        <v>0</v>
      </c>
      <c r="M144" s="49">
        <f>'дод 3'!N37</f>
        <v>0</v>
      </c>
      <c r="N144" s="49">
        <f>'дод 3'!O37</f>
        <v>0</v>
      </c>
      <c r="O144" s="49">
        <f>'дод 3'!P37</f>
        <v>959480</v>
      </c>
    </row>
    <row r="145" spans="1:15" s="54" customFormat="1" ht="36.75" customHeight="1" x14ac:dyDescent="0.25">
      <c r="A145" s="37" t="s">
        <v>118</v>
      </c>
      <c r="B145" s="37" t="s">
        <v>82</v>
      </c>
      <c r="C145" s="3" t="s">
        <v>22</v>
      </c>
      <c r="D145" s="49">
        <f>'дод 3'!E38+'дод 3'!E109</f>
        <v>27150324</v>
      </c>
      <c r="E145" s="49">
        <f>'дод 3'!F38+'дод 3'!F109</f>
        <v>27150324</v>
      </c>
      <c r="F145" s="49">
        <f>'дод 3'!G38+'дод 3'!G109</f>
        <v>19861800</v>
      </c>
      <c r="G145" s="49">
        <f>'дод 3'!H38+'дод 3'!H109</f>
        <v>1042440</v>
      </c>
      <c r="H145" s="49">
        <f>'дод 3'!I38+'дод 3'!I109</f>
        <v>0</v>
      </c>
      <c r="I145" s="49">
        <f>'дод 3'!J38+'дод 3'!J109</f>
        <v>200700</v>
      </c>
      <c r="J145" s="49">
        <f>'дод 3'!K38+'дод 3'!K109</f>
        <v>200700</v>
      </c>
      <c r="K145" s="49">
        <f>'дод 3'!L38+'дод 3'!L109</f>
        <v>0</v>
      </c>
      <c r="L145" s="49">
        <f>'дод 3'!M38+'дод 3'!M109</f>
        <v>0</v>
      </c>
      <c r="M145" s="49">
        <f>'дод 3'!N38+'дод 3'!N109</f>
        <v>0</v>
      </c>
      <c r="N145" s="49">
        <f>'дод 3'!O38+'дод 3'!O109</f>
        <v>200700</v>
      </c>
      <c r="O145" s="49">
        <f>'дод 3'!P38+'дод 3'!P109</f>
        <v>27351024</v>
      </c>
    </row>
    <row r="146" spans="1:15" s="54" customFormat="1" ht="25.5" customHeight="1" x14ac:dyDescent="0.25">
      <c r="A146" s="37"/>
      <c r="B146" s="37"/>
      <c r="C146" s="91" t="s">
        <v>397</v>
      </c>
      <c r="D146" s="84">
        <f>'дод 3'!E110</f>
        <v>134064</v>
      </c>
      <c r="E146" s="84">
        <f>'дод 3'!F110</f>
        <v>134064</v>
      </c>
      <c r="F146" s="84">
        <f>'дод 3'!G110</f>
        <v>0</v>
      </c>
      <c r="G146" s="84">
        <f>'дод 3'!H110</f>
        <v>0</v>
      </c>
      <c r="H146" s="84">
        <f>'дод 3'!I110</f>
        <v>0</v>
      </c>
      <c r="I146" s="84">
        <f>'дод 3'!J110</f>
        <v>0</v>
      </c>
      <c r="J146" s="84">
        <f>'дод 3'!K110</f>
        <v>0</v>
      </c>
      <c r="K146" s="84">
        <f>'дод 3'!L110</f>
        <v>0</v>
      </c>
      <c r="L146" s="84">
        <f>'дод 3'!M110</f>
        <v>0</v>
      </c>
      <c r="M146" s="84">
        <f>'дод 3'!N110</f>
        <v>0</v>
      </c>
      <c r="N146" s="84">
        <f>'дод 3'!O110</f>
        <v>0</v>
      </c>
      <c r="O146" s="84">
        <f>'дод 3'!P110</f>
        <v>134064</v>
      </c>
    </row>
    <row r="147" spans="1:15" s="54" customFormat="1" ht="31.5" customHeight="1" x14ac:dyDescent="0.25">
      <c r="A147" s="37" t="s">
        <v>119</v>
      </c>
      <c r="B147" s="37" t="s">
        <v>82</v>
      </c>
      <c r="C147" s="3" t="s">
        <v>23</v>
      </c>
      <c r="D147" s="49">
        <f>'дод 3'!E39</f>
        <v>14411332</v>
      </c>
      <c r="E147" s="49">
        <f>'дод 3'!F39</f>
        <v>14411332</v>
      </c>
      <c r="F147" s="49">
        <f>'дод 3'!G39</f>
        <v>0</v>
      </c>
      <c r="G147" s="49">
        <f>'дод 3'!H39</f>
        <v>0</v>
      </c>
      <c r="H147" s="49">
        <f>'дод 3'!I39</f>
        <v>0</v>
      </c>
      <c r="I147" s="49">
        <f>'дод 3'!J39</f>
        <v>372100</v>
      </c>
      <c r="J147" s="49">
        <f>'дод 3'!K39</f>
        <v>372100</v>
      </c>
      <c r="K147" s="49">
        <f>'дод 3'!L39</f>
        <v>0</v>
      </c>
      <c r="L147" s="49">
        <f>'дод 3'!M39</f>
        <v>0</v>
      </c>
      <c r="M147" s="49">
        <f>'дод 3'!N39</f>
        <v>0</v>
      </c>
      <c r="N147" s="49">
        <f>'дод 3'!O39</f>
        <v>372100</v>
      </c>
      <c r="O147" s="49">
        <f>'дод 3'!P39</f>
        <v>14783432</v>
      </c>
    </row>
    <row r="148" spans="1:15" s="54" customFormat="1" ht="54" customHeight="1" x14ac:dyDescent="0.25">
      <c r="A148" s="37" t="s">
        <v>114</v>
      </c>
      <c r="B148" s="37" t="s">
        <v>82</v>
      </c>
      <c r="C148" s="3" t="s">
        <v>115</v>
      </c>
      <c r="D148" s="49">
        <f>'дод 3'!E40</f>
        <v>4973184</v>
      </c>
      <c r="E148" s="49">
        <f>'дод 3'!F40</f>
        <v>4973184</v>
      </c>
      <c r="F148" s="49">
        <f>'дод 3'!G40</f>
        <v>2987400</v>
      </c>
      <c r="G148" s="49">
        <f>'дод 3'!H40</f>
        <v>319039</v>
      </c>
      <c r="H148" s="49">
        <f>'дод 3'!I40</f>
        <v>0</v>
      </c>
      <c r="I148" s="49">
        <f>'дод 3'!J40</f>
        <v>1742994</v>
      </c>
      <c r="J148" s="49">
        <f>'дод 3'!K40</f>
        <v>1530000</v>
      </c>
      <c r="K148" s="49">
        <f>'дод 3'!L40</f>
        <v>212994</v>
      </c>
      <c r="L148" s="49">
        <f>'дод 3'!M40</f>
        <v>119291</v>
      </c>
      <c r="M148" s="49">
        <f>'дод 3'!N40</f>
        <v>50432</v>
      </c>
      <c r="N148" s="49">
        <f>'дод 3'!O40</f>
        <v>1530000</v>
      </c>
      <c r="O148" s="49">
        <f>'дод 3'!P40</f>
        <v>6716178</v>
      </c>
    </row>
    <row r="149" spans="1:15" s="54" customFormat="1" ht="37.5" customHeight="1" x14ac:dyDescent="0.25">
      <c r="A149" s="37" t="s">
        <v>117</v>
      </c>
      <c r="B149" s="37" t="s">
        <v>82</v>
      </c>
      <c r="C149" s="3" t="s">
        <v>116</v>
      </c>
      <c r="D149" s="49">
        <f>'дод 3'!E41</f>
        <v>14968695</v>
      </c>
      <c r="E149" s="49">
        <f>'дод 3'!F41</f>
        <v>14968695</v>
      </c>
      <c r="F149" s="49">
        <f>'дод 3'!G41</f>
        <v>0</v>
      </c>
      <c r="G149" s="49">
        <f>'дод 3'!H41</f>
        <v>0</v>
      </c>
      <c r="H149" s="49">
        <f>'дод 3'!I41</f>
        <v>0</v>
      </c>
      <c r="I149" s="49">
        <f>'дод 3'!J41</f>
        <v>0</v>
      </c>
      <c r="J149" s="49">
        <f>'дод 3'!K41</f>
        <v>0</v>
      </c>
      <c r="K149" s="49">
        <f>'дод 3'!L41</f>
        <v>0</v>
      </c>
      <c r="L149" s="49">
        <f>'дод 3'!M41</f>
        <v>0</v>
      </c>
      <c r="M149" s="49">
        <f>'дод 3'!N41</f>
        <v>0</v>
      </c>
      <c r="N149" s="49">
        <f>'дод 3'!O41</f>
        <v>0</v>
      </c>
      <c r="O149" s="49">
        <f>'дод 3'!P41</f>
        <v>14968695</v>
      </c>
    </row>
    <row r="150" spans="1:15" s="52" customFormat="1" ht="18" customHeight="1" x14ac:dyDescent="0.25">
      <c r="A150" s="38" t="s">
        <v>67</v>
      </c>
      <c r="B150" s="41"/>
      <c r="C150" s="2" t="s">
        <v>68</v>
      </c>
      <c r="D150" s="48">
        <f>D152+D153+D154+D155+D156+D157+D158+D160+D161</f>
        <v>274071320.26999998</v>
      </c>
      <c r="E150" s="48">
        <f t="shared" ref="E150:O150" si="25">E152+E153+E154+E155+E156+E157+E158+E160+E161</f>
        <v>243329361.78999999</v>
      </c>
      <c r="F150" s="48">
        <f t="shared" si="25"/>
        <v>0</v>
      </c>
      <c r="G150" s="48">
        <f t="shared" si="25"/>
        <v>35017960</v>
      </c>
      <c r="H150" s="48">
        <f t="shared" si="25"/>
        <v>30741958.48</v>
      </c>
      <c r="I150" s="48">
        <f t="shared" si="25"/>
        <v>125745834.22999999</v>
      </c>
      <c r="J150" s="48">
        <f t="shared" si="25"/>
        <v>123803005.57999998</v>
      </c>
      <c r="K150" s="48">
        <f t="shared" si="25"/>
        <v>0</v>
      </c>
      <c r="L150" s="48">
        <f t="shared" si="25"/>
        <v>0</v>
      </c>
      <c r="M150" s="48">
        <f t="shared" si="25"/>
        <v>0</v>
      </c>
      <c r="N150" s="48">
        <f t="shared" si="25"/>
        <v>125745834.22999999</v>
      </c>
      <c r="O150" s="48">
        <f t="shared" si="25"/>
        <v>399817154.5</v>
      </c>
    </row>
    <row r="151" spans="1:15" s="52" customFormat="1" ht="110.25" hidden="1" customHeight="1" x14ac:dyDescent="0.25">
      <c r="A151" s="38"/>
      <c r="B151" s="41"/>
      <c r="C151" s="2" t="s">
        <v>448</v>
      </c>
      <c r="D151" s="48">
        <f>D159</f>
        <v>0</v>
      </c>
      <c r="E151" s="48">
        <f t="shared" ref="E151:O151" si="26">E159</f>
        <v>0</v>
      </c>
      <c r="F151" s="48">
        <f t="shared" si="26"/>
        <v>0</v>
      </c>
      <c r="G151" s="48">
        <f t="shared" si="26"/>
        <v>0</v>
      </c>
      <c r="H151" s="48">
        <f t="shared" si="26"/>
        <v>0</v>
      </c>
      <c r="I151" s="48">
        <f t="shared" si="26"/>
        <v>0</v>
      </c>
      <c r="J151" s="48">
        <f t="shared" si="26"/>
        <v>0</v>
      </c>
      <c r="K151" s="48">
        <f t="shared" si="26"/>
        <v>0</v>
      </c>
      <c r="L151" s="48">
        <f t="shared" si="26"/>
        <v>0</v>
      </c>
      <c r="M151" s="48">
        <f t="shared" si="26"/>
        <v>0</v>
      </c>
      <c r="N151" s="48">
        <f t="shared" si="26"/>
        <v>0</v>
      </c>
      <c r="O151" s="48">
        <f t="shared" si="26"/>
        <v>0</v>
      </c>
    </row>
    <row r="152" spans="1:15" s="54" customFormat="1" ht="29.25" customHeight="1" x14ac:dyDescent="0.25">
      <c r="A152" s="37" t="s">
        <v>129</v>
      </c>
      <c r="B152" s="37" t="s">
        <v>69</v>
      </c>
      <c r="C152" s="3" t="s">
        <v>130</v>
      </c>
      <c r="D152" s="49">
        <f>'дод 3'!E225</f>
        <v>0</v>
      </c>
      <c r="E152" s="49">
        <f>'дод 3'!F225</f>
        <v>0</v>
      </c>
      <c r="F152" s="49">
        <f>'дод 3'!G225</f>
        <v>0</v>
      </c>
      <c r="G152" s="49">
        <f>'дод 3'!H225</f>
        <v>0</v>
      </c>
      <c r="H152" s="49">
        <f>'дод 3'!I225</f>
        <v>0</v>
      </c>
      <c r="I152" s="49">
        <f>'дод 3'!J225</f>
        <v>8602296</v>
      </c>
      <c r="J152" s="49">
        <f>'дод 3'!K225</f>
        <v>8565816</v>
      </c>
      <c r="K152" s="49">
        <f>'дод 3'!L225</f>
        <v>0</v>
      </c>
      <c r="L152" s="49">
        <f>'дод 3'!M225</f>
        <v>0</v>
      </c>
      <c r="M152" s="49">
        <f>'дод 3'!N225</f>
        <v>0</v>
      </c>
      <c r="N152" s="49">
        <f>'дод 3'!O225</f>
        <v>8602296</v>
      </c>
      <c r="O152" s="49">
        <f>'дод 3'!P225</f>
        <v>8602296</v>
      </c>
    </row>
    <row r="153" spans="1:15" s="54" customFormat="1" ht="36.75" customHeight="1" x14ac:dyDescent="0.25">
      <c r="A153" s="37" t="s">
        <v>131</v>
      </c>
      <c r="B153" s="37" t="s">
        <v>71</v>
      </c>
      <c r="C153" s="3" t="s">
        <v>149</v>
      </c>
      <c r="D153" s="49">
        <f>'дод 3'!E226</f>
        <v>29614040</v>
      </c>
      <c r="E153" s="49">
        <f>'дод 3'!F226</f>
        <v>1114040</v>
      </c>
      <c r="F153" s="49">
        <f>'дод 3'!G226</f>
        <v>0</v>
      </c>
      <c r="G153" s="49">
        <f>'дод 3'!H226</f>
        <v>0</v>
      </c>
      <c r="H153" s="49">
        <f>'дод 3'!I226</f>
        <v>28500000</v>
      </c>
      <c r="I153" s="49">
        <f>'дод 3'!J226</f>
        <v>200000</v>
      </c>
      <c r="J153" s="49">
        <f>'дод 3'!K226</f>
        <v>200000</v>
      </c>
      <c r="K153" s="49">
        <f>'дод 3'!L226</f>
        <v>0</v>
      </c>
      <c r="L153" s="49">
        <f>'дод 3'!M226</f>
        <v>0</v>
      </c>
      <c r="M153" s="49">
        <f>'дод 3'!N226</f>
        <v>0</v>
      </c>
      <c r="N153" s="49">
        <f>'дод 3'!O226</f>
        <v>200000</v>
      </c>
      <c r="O153" s="49">
        <f>'дод 3'!P226</f>
        <v>29814040</v>
      </c>
    </row>
    <row r="154" spans="1:15" s="54" customFormat="1" ht="26.25" customHeight="1" x14ac:dyDescent="0.25">
      <c r="A154" s="40" t="s">
        <v>262</v>
      </c>
      <c r="B154" s="40" t="s">
        <v>71</v>
      </c>
      <c r="C154" s="3" t="s">
        <v>263</v>
      </c>
      <c r="D154" s="49">
        <f>'дод 3'!E227</f>
        <v>115980</v>
      </c>
      <c r="E154" s="49">
        <f>'дод 3'!F227</f>
        <v>115980</v>
      </c>
      <c r="F154" s="49">
        <f>'дод 3'!G227</f>
        <v>0</v>
      </c>
      <c r="G154" s="49">
        <f>'дод 3'!H227</f>
        <v>0</v>
      </c>
      <c r="H154" s="49">
        <f>'дод 3'!I227</f>
        <v>0</v>
      </c>
      <c r="I154" s="49">
        <f>'дод 3'!J227</f>
        <v>32680050</v>
      </c>
      <c r="J154" s="49">
        <f>'дод 3'!K227</f>
        <v>32630050</v>
      </c>
      <c r="K154" s="49">
        <f>'дод 3'!L227</f>
        <v>0</v>
      </c>
      <c r="L154" s="49">
        <f>'дод 3'!M227</f>
        <v>0</v>
      </c>
      <c r="M154" s="49">
        <f>'дод 3'!N227</f>
        <v>0</v>
      </c>
      <c r="N154" s="49">
        <f>'дод 3'!O227</f>
        <v>32680050</v>
      </c>
      <c r="O154" s="49">
        <f>'дод 3'!P227</f>
        <v>32796030</v>
      </c>
    </row>
    <row r="155" spans="1:15" s="54" customFormat="1" ht="33" customHeight="1" x14ac:dyDescent="0.25">
      <c r="A155" s="37" t="s">
        <v>265</v>
      </c>
      <c r="B155" s="37" t="s">
        <v>71</v>
      </c>
      <c r="C155" s="3" t="s">
        <v>346</v>
      </c>
      <c r="D155" s="49">
        <f>'дод 3'!E228</f>
        <v>100000</v>
      </c>
      <c r="E155" s="49">
        <f>'дод 3'!F228</f>
        <v>100000</v>
      </c>
      <c r="F155" s="49">
        <f>'дод 3'!G228</f>
        <v>0</v>
      </c>
      <c r="G155" s="49">
        <f>'дод 3'!H228</f>
        <v>0</v>
      </c>
      <c r="H155" s="49">
        <f>'дод 3'!I228</f>
        <v>0</v>
      </c>
      <c r="I155" s="49">
        <f>'дод 3'!J228</f>
        <v>0</v>
      </c>
      <c r="J155" s="49">
        <f>'дод 3'!K228</f>
        <v>0</v>
      </c>
      <c r="K155" s="49">
        <f>'дод 3'!L228</f>
        <v>0</v>
      </c>
      <c r="L155" s="49">
        <f>'дод 3'!M228</f>
        <v>0</v>
      </c>
      <c r="M155" s="49">
        <f>'дод 3'!N228</f>
        <v>0</v>
      </c>
      <c r="N155" s="49">
        <f>'дод 3'!O228</f>
        <v>0</v>
      </c>
      <c r="O155" s="49">
        <f>'дод 3'!P228</f>
        <v>100000</v>
      </c>
    </row>
    <row r="156" spans="1:15" s="54" customFormat="1" ht="52.5" customHeight="1" x14ac:dyDescent="0.25">
      <c r="A156" s="37" t="s">
        <v>70</v>
      </c>
      <c r="B156" s="37" t="s">
        <v>71</v>
      </c>
      <c r="C156" s="3" t="s">
        <v>134</v>
      </c>
      <c r="D156" s="49">
        <f>'дод 3'!E229</f>
        <v>1871258.48</v>
      </c>
      <c r="E156" s="49">
        <f>'дод 3'!F229</f>
        <v>29300</v>
      </c>
      <c r="F156" s="49">
        <f>'дод 3'!G229</f>
        <v>0</v>
      </c>
      <c r="G156" s="49">
        <f>'дод 3'!H229</f>
        <v>0</v>
      </c>
      <c r="H156" s="49">
        <f>'дод 3'!I229</f>
        <v>1841958.48</v>
      </c>
      <c r="I156" s="49">
        <f>'дод 3'!J229</f>
        <v>0</v>
      </c>
      <c r="J156" s="49">
        <f>'дод 3'!K229</f>
        <v>0</v>
      </c>
      <c r="K156" s="49">
        <f>'дод 3'!L229</f>
        <v>0</v>
      </c>
      <c r="L156" s="49">
        <f>'дод 3'!M229</f>
        <v>0</v>
      </c>
      <c r="M156" s="49">
        <f>'дод 3'!N229</f>
        <v>0</v>
      </c>
      <c r="N156" s="49">
        <f>'дод 3'!O229</f>
        <v>0</v>
      </c>
      <c r="O156" s="49">
        <f>'дод 3'!P229</f>
        <v>1871258.48</v>
      </c>
    </row>
    <row r="157" spans="1:15" ht="24" customHeight="1" x14ac:dyDescent="0.25">
      <c r="A157" s="37" t="s">
        <v>132</v>
      </c>
      <c r="B157" s="37" t="s">
        <v>71</v>
      </c>
      <c r="C157" s="3" t="s">
        <v>133</v>
      </c>
      <c r="D157" s="49">
        <f>'дод 3'!E230+'дод 3'!E259</f>
        <v>225440075.50999999</v>
      </c>
      <c r="E157" s="49">
        <f>'дод 3'!F230+'дод 3'!F259</f>
        <v>225340075.50999999</v>
      </c>
      <c r="F157" s="49">
        <f>'дод 3'!G230+'дод 3'!G259</f>
        <v>0</v>
      </c>
      <c r="G157" s="49">
        <f>'дод 3'!H230+'дод 3'!H259</f>
        <v>34990460</v>
      </c>
      <c r="H157" s="49">
        <f>'дод 3'!I230+'дод 3'!I259</f>
        <v>100000</v>
      </c>
      <c r="I157" s="49">
        <f>'дод 3'!J230+'дод 3'!J259</f>
        <v>82377139.579999983</v>
      </c>
      <c r="J157" s="49">
        <f>'дод 3'!K230+'дод 3'!K259</f>
        <v>82377139.579999983</v>
      </c>
      <c r="K157" s="49">
        <f>'дод 3'!L230+'дод 3'!L259</f>
        <v>0</v>
      </c>
      <c r="L157" s="49">
        <f>'дод 3'!M230+'дод 3'!M259</f>
        <v>0</v>
      </c>
      <c r="M157" s="49">
        <f>'дод 3'!N230+'дод 3'!N259</f>
        <v>0</v>
      </c>
      <c r="N157" s="49">
        <f>'дод 3'!O230+'дод 3'!O259</f>
        <v>82377139.579999983</v>
      </c>
      <c r="O157" s="49">
        <f>'дод 3'!P230+'дод 3'!P259</f>
        <v>307817215.08999997</v>
      </c>
    </row>
    <row r="158" spans="1:15" ht="83.25" customHeight="1" x14ac:dyDescent="0.25">
      <c r="A158" s="37">
        <v>6083</v>
      </c>
      <c r="B158" s="59" t="s">
        <v>69</v>
      </c>
      <c r="C158" s="11" t="s">
        <v>441</v>
      </c>
      <c r="D158" s="49">
        <f>'дод 3'!E202</f>
        <v>0</v>
      </c>
      <c r="E158" s="49">
        <f>'дод 3'!F202</f>
        <v>0</v>
      </c>
      <c r="F158" s="49">
        <f>'дод 3'!G202</f>
        <v>0</v>
      </c>
      <c r="G158" s="49">
        <f>'дод 3'!H202</f>
        <v>0</v>
      </c>
      <c r="H158" s="49">
        <f>'дод 3'!I202</f>
        <v>0</v>
      </c>
      <c r="I158" s="49">
        <f>'дод 3'!J202</f>
        <v>30000</v>
      </c>
      <c r="J158" s="49">
        <f>'дод 3'!K202</f>
        <v>30000</v>
      </c>
      <c r="K158" s="49">
        <f>'дод 3'!L202</f>
        <v>0</v>
      </c>
      <c r="L158" s="49">
        <f>'дод 3'!M202</f>
        <v>0</v>
      </c>
      <c r="M158" s="49">
        <f>'дод 3'!N202</f>
        <v>0</v>
      </c>
      <c r="N158" s="49">
        <f>'дод 3'!O202</f>
        <v>30000</v>
      </c>
      <c r="O158" s="49">
        <f>'дод 3'!P202</f>
        <v>30000</v>
      </c>
    </row>
    <row r="159" spans="1:15" s="54" customFormat="1" ht="110.25" hidden="1" x14ac:dyDescent="0.25">
      <c r="A159" s="82"/>
      <c r="B159" s="93"/>
      <c r="C159" s="94" t="s">
        <v>448</v>
      </c>
      <c r="D159" s="84">
        <f>'дод 3'!E203</f>
        <v>0</v>
      </c>
      <c r="E159" s="84">
        <f>'дод 3'!F203</f>
        <v>0</v>
      </c>
      <c r="F159" s="84">
        <f>'дод 3'!G203</f>
        <v>0</v>
      </c>
      <c r="G159" s="84">
        <f>'дод 3'!H203</f>
        <v>0</v>
      </c>
      <c r="H159" s="84">
        <f>'дод 3'!I203</f>
        <v>0</v>
      </c>
      <c r="I159" s="84">
        <f>'дод 3'!J203</f>
        <v>0</v>
      </c>
      <c r="J159" s="84">
        <f>'дод 3'!K203</f>
        <v>0</v>
      </c>
      <c r="K159" s="84">
        <f>'дод 3'!L203</f>
        <v>0</v>
      </c>
      <c r="L159" s="84">
        <f>'дод 3'!M203</f>
        <v>0</v>
      </c>
      <c r="M159" s="84">
        <f>'дод 3'!N203</f>
        <v>0</v>
      </c>
      <c r="N159" s="84">
        <f>'дод 3'!O203</f>
        <v>0</v>
      </c>
      <c r="O159" s="84">
        <f>'дод 3'!P203</f>
        <v>0</v>
      </c>
    </row>
    <row r="160" spans="1:15" s="54" customFormat="1" ht="54.75" customHeight="1" x14ac:dyDescent="0.25">
      <c r="A160" s="37" t="s">
        <v>136</v>
      </c>
      <c r="B160" s="42" t="s">
        <v>69</v>
      </c>
      <c r="C160" s="3" t="s">
        <v>137</v>
      </c>
      <c r="D160" s="49">
        <f>'дод 3'!E260</f>
        <v>0</v>
      </c>
      <c r="E160" s="49">
        <f>'дод 3'!F260</f>
        <v>0</v>
      </c>
      <c r="F160" s="49">
        <f>'дод 3'!G260</f>
        <v>0</v>
      </c>
      <c r="G160" s="49">
        <f>'дод 3'!H260</f>
        <v>0</v>
      </c>
      <c r="H160" s="49">
        <f>'дод 3'!I260</f>
        <v>0</v>
      </c>
      <c r="I160" s="49">
        <f>'дод 3'!J260</f>
        <v>71348.649999999994</v>
      </c>
      <c r="J160" s="49">
        <f>'дод 3'!K260</f>
        <v>0</v>
      </c>
      <c r="K160" s="49">
        <f>'дод 3'!L260</f>
        <v>0</v>
      </c>
      <c r="L160" s="49">
        <f>'дод 3'!M260</f>
        <v>0</v>
      </c>
      <c r="M160" s="49">
        <f>'дод 3'!N260</f>
        <v>0</v>
      </c>
      <c r="N160" s="49">
        <f>'дод 3'!O260</f>
        <v>71348.649999999994</v>
      </c>
      <c r="O160" s="49">
        <f>'дод 3'!P260</f>
        <v>71348.649999999994</v>
      </c>
    </row>
    <row r="161" spans="1:15" ht="36" customHeight="1" x14ac:dyDescent="0.25">
      <c r="A161" s="37" t="s">
        <v>143</v>
      </c>
      <c r="B161" s="42" t="s">
        <v>314</v>
      </c>
      <c r="C161" s="3" t="s">
        <v>144</v>
      </c>
      <c r="D161" s="49">
        <f>'дод 3'!E231+'дод 3'!E278</f>
        <v>16929966.280000001</v>
      </c>
      <c r="E161" s="49">
        <f>'дод 3'!F231+'дод 3'!F278</f>
        <v>16629966.280000001</v>
      </c>
      <c r="F161" s="49">
        <f>'дод 3'!G231+'дод 3'!G278</f>
        <v>0</v>
      </c>
      <c r="G161" s="49">
        <f>'дод 3'!H231+'дод 3'!H278</f>
        <v>27500</v>
      </c>
      <c r="H161" s="49">
        <f>'дод 3'!I231+'дод 3'!I278</f>
        <v>300000</v>
      </c>
      <c r="I161" s="49">
        <f>'дод 3'!J231+'дод 3'!J278</f>
        <v>1785000</v>
      </c>
      <c r="J161" s="49">
        <f>'дод 3'!K231+'дод 3'!K278</f>
        <v>0</v>
      </c>
      <c r="K161" s="49">
        <f>'дод 3'!L231+'дод 3'!L278</f>
        <v>0</v>
      </c>
      <c r="L161" s="49">
        <f>'дод 3'!M231+'дод 3'!M278</f>
        <v>0</v>
      </c>
      <c r="M161" s="49">
        <f>'дод 3'!N231+'дод 3'!N278</f>
        <v>0</v>
      </c>
      <c r="N161" s="49">
        <f>'дод 3'!O231+'дод 3'!O278</f>
        <v>1785000</v>
      </c>
      <c r="O161" s="49">
        <f>'дод 3'!P231+'дод 3'!P278</f>
        <v>18714966.280000001</v>
      </c>
    </row>
    <row r="162" spans="1:15" s="52" customFormat="1" ht="21.75" customHeight="1" x14ac:dyDescent="0.25">
      <c r="A162" s="38" t="s">
        <v>138</v>
      </c>
      <c r="B162" s="41"/>
      <c r="C162" s="2" t="s">
        <v>409</v>
      </c>
      <c r="D162" s="48">
        <f>D166+D168+D184+D197+D199+D211</f>
        <v>75393461.549999997</v>
      </c>
      <c r="E162" s="48">
        <f t="shared" ref="E162:O162" si="27">E166+E168+E184+E197+E199+E211</f>
        <v>20294265.550000001</v>
      </c>
      <c r="F162" s="48">
        <f t="shared" si="27"/>
        <v>0</v>
      </c>
      <c r="G162" s="48">
        <f t="shared" si="27"/>
        <v>0</v>
      </c>
      <c r="H162" s="48">
        <f t="shared" si="27"/>
        <v>55099196</v>
      </c>
      <c r="I162" s="48">
        <f t="shared" si="27"/>
        <v>423656139.01999998</v>
      </c>
      <c r="J162" s="48">
        <f t="shared" si="27"/>
        <v>406696167.14999998</v>
      </c>
      <c r="K162" s="48">
        <f t="shared" si="27"/>
        <v>2948437.8699999996</v>
      </c>
      <c r="L162" s="48">
        <f t="shared" si="27"/>
        <v>0</v>
      </c>
      <c r="M162" s="48">
        <f t="shared" si="27"/>
        <v>0</v>
      </c>
      <c r="N162" s="48">
        <f t="shared" si="27"/>
        <v>420707701.14999998</v>
      </c>
      <c r="O162" s="48">
        <f t="shared" si="27"/>
        <v>499049600.56999999</v>
      </c>
    </row>
    <row r="163" spans="1:15" s="53" customFormat="1" ht="47.25" hidden="1" customHeight="1" x14ac:dyDescent="0.25">
      <c r="A163" s="75"/>
      <c r="B163" s="76"/>
      <c r="C163" s="79" t="s">
        <v>390</v>
      </c>
      <c r="D163" s="80">
        <f>D169</f>
        <v>0</v>
      </c>
      <c r="E163" s="80">
        <f t="shared" ref="E163:O163" si="28">E169</f>
        <v>0</v>
      </c>
      <c r="F163" s="80">
        <f t="shared" si="28"/>
        <v>0</v>
      </c>
      <c r="G163" s="80">
        <f t="shared" si="28"/>
        <v>0</v>
      </c>
      <c r="H163" s="80">
        <f t="shared" si="28"/>
        <v>0</v>
      </c>
      <c r="I163" s="80">
        <f t="shared" si="28"/>
        <v>6380916</v>
      </c>
      <c r="J163" s="80">
        <f t="shared" si="28"/>
        <v>6380916</v>
      </c>
      <c r="K163" s="80">
        <f t="shared" si="28"/>
        <v>0</v>
      </c>
      <c r="L163" s="80">
        <f t="shared" si="28"/>
        <v>0</v>
      </c>
      <c r="M163" s="80">
        <f t="shared" si="28"/>
        <v>0</v>
      </c>
      <c r="N163" s="80">
        <f t="shared" si="28"/>
        <v>6380916</v>
      </c>
      <c r="O163" s="80">
        <f t="shared" si="28"/>
        <v>6380916</v>
      </c>
    </row>
    <row r="164" spans="1:15" s="53" customFormat="1" ht="94.5" hidden="1" customHeight="1" x14ac:dyDescent="0.25">
      <c r="A164" s="75"/>
      <c r="B164" s="76"/>
      <c r="C164" s="79" t="s">
        <v>399</v>
      </c>
      <c r="D164" s="80">
        <f>D185</f>
        <v>0</v>
      </c>
      <c r="E164" s="80">
        <f t="shared" ref="E164:N164" si="29">E185</f>
        <v>0</v>
      </c>
      <c r="F164" s="80">
        <f t="shared" si="29"/>
        <v>0</v>
      </c>
      <c r="G164" s="80">
        <f t="shared" si="29"/>
        <v>0</v>
      </c>
      <c r="H164" s="80">
        <f t="shared" si="29"/>
        <v>0</v>
      </c>
      <c r="I164" s="80">
        <f t="shared" si="29"/>
        <v>0</v>
      </c>
      <c r="J164" s="80">
        <f t="shared" si="29"/>
        <v>0</v>
      </c>
      <c r="K164" s="80">
        <f t="shared" si="29"/>
        <v>0</v>
      </c>
      <c r="L164" s="80">
        <f t="shared" si="29"/>
        <v>0</v>
      </c>
      <c r="M164" s="80">
        <f t="shared" si="29"/>
        <v>0</v>
      </c>
      <c r="N164" s="80">
        <f t="shared" si="29"/>
        <v>0</v>
      </c>
      <c r="O164" s="80">
        <f t="shared" ref="O164" si="30">O185</f>
        <v>0</v>
      </c>
    </row>
    <row r="165" spans="1:15" s="53" customFormat="1" ht="18" customHeight="1" x14ac:dyDescent="0.25">
      <c r="A165" s="75"/>
      <c r="B165" s="75"/>
      <c r="C165" s="87" t="s">
        <v>421</v>
      </c>
      <c r="D165" s="80">
        <f>D200</f>
        <v>0</v>
      </c>
      <c r="E165" s="80">
        <f t="shared" ref="E165:O165" si="31">E200</f>
        <v>0</v>
      </c>
      <c r="F165" s="80">
        <f t="shared" si="31"/>
        <v>0</v>
      </c>
      <c r="G165" s="80">
        <f t="shared" si="31"/>
        <v>0</v>
      </c>
      <c r="H165" s="80">
        <f t="shared" si="31"/>
        <v>0</v>
      </c>
      <c r="I165" s="80">
        <f t="shared" si="31"/>
        <v>127771665.12</v>
      </c>
      <c r="J165" s="80">
        <f t="shared" si="31"/>
        <v>127771665.12</v>
      </c>
      <c r="K165" s="80">
        <f t="shared" si="31"/>
        <v>0</v>
      </c>
      <c r="L165" s="80">
        <f t="shared" si="31"/>
        <v>0</v>
      </c>
      <c r="M165" s="80">
        <f t="shared" si="31"/>
        <v>0</v>
      </c>
      <c r="N165" s="80">
        <f t="shared" si="31"/>
        <v>127771665.12</v>
      </c>
      <c r="O165" s="80">
        <f t="shared" si="31"/>
        <v>127771665.12</v>
      </c>
    </row>
    <row r="166" spans="1:15" s="52" customFormat="1" x14ac:dyDescent="0.25">
      <c r="A166" s="38" t="s">
        <v>145</v>
      </c>
      <c r="B166" s="41"/>
      <c r="C166" s="2" t="s">
        <v>146</v>
      </c>
      <c r="D166" s="48">
        <f t="shared" ref="D166:O166" si="32">D167</f>
        <v>450000</v>
      </c>
      <c r="E166" s="48">
        <f t="shared" si="32"/>
        <v>450000</v>
      </c>
      <c r="F166" s="48">
        <f t="shared" si="32"/>
        <v>0</v>
      </c>
      <c r="G166" s="48">
        <f t="shared" si="32"/>
        <v>0</v>
      </c>
      <c r="H166" s="48">
        <f t="shared" si="32"/>
        <v>0</v>
      </c>
      <c r="I166" s="48">
        <f t="shared" si="32"/>
        <v>0</v>
      </c>
      <c r="J166" s="48">
        <f t="shared" si="32"/>
        <v>0</v>
      </c>
      <c r="K166" s="48">
        <f t="shared" si="32"/>
        <v>0</v>
      </c>
      <c r="L166" s="48">
        <f t="shared" si="32"/>
        <v>0</v>
      </c>
      <c r="M166" s="48">
        <f t="shared" si="32"/>
        <v>0</v>
      </c>
      <c r="N166" s="48">
        <f t="shared" si="32"/>
        <v>0</v>
      </c>
      <c r="O166" s="48">
        <f t="shared" si="32"/>
        <v>450000</v>
      </c>
    </row>
    <row r="167" spans="1:15" ht="24" customHeight="1" x14ac:dyDescent="0.25">
      <c r="A167" s="37" t="s">
        <v>139</v>
      </c>
      <c r="B167" s="37" t="s">
        <v>85</v>
      </c>
      <c r="C167" s="3" t="s">
        <v>347</v>
      </c>
      <c r="D167" s="49">
        <f>'дод 3'!E288</f>
        <v>450000</v>
      </c>
      <c r="E167" s="49">
        <f>'дод 3'!F288</f>
        <v>450000</v>
      </c>
      <c r="F167" s="49">
        <f>'дод 3'!G288</f>
        <v>0</v>
      </c>
      <c r="G167" s="49">
        <f>'дод 3'!H288</f>
        <v>0</v>
      </c>
      <c r="H167" s="49">
        <f>'дод 3'!I288</f>
        <v>0</v>
      </c>
      <c r="I167" s="49">
        <f>'дод 3'!J288</f>
        <v>0</v>
      </c>
      <c r="J167" s="49">
        <f>'дод 3'!K288</f>
        <v>0</v>
      </c>
      <c r="K167" s="49">
        <f>'дод 3'!L288</f>
        <v>0</v>
      </c>
      <c r="L167" s="49">
        <f>'дод 3'!M288</f>
        <v>0</v>
      </c>
      <c r="M167" s="49">
        <f>'дод 3'!N288</f>
        <v>0</v>
      </c>
      <c r="N167" s="49">
        <f>'дод 3'!O288</f>
        <v>0</v>
      </c>
      <c r="O167" s="49">
        <f>'дод 3'!P288</f>
        <v>450000</v>
      </c>
    </row>
    <row r="168" spans="1:15" s="52" customFormat="1" ht="18.75" customHeight="1" x14ac:dyDescent="0.25">
      <c r="A168" s="38" t="s">
        <v>99</v>
      </c>
      <c r="B168" s="38"/>
      <c r="C168" s="13" t="s">
        <v>471</v>
      </c>
      <c r="D168" s="48">
        <f>D170+D171+D172+D173+D174+D175+D176+D177+D178+D179+D181+D183</f>
        <v>2364686</v>
      </c>
      <c r="E168" s="48">
        <f t="shared" ref="E168:O168" si="33">E170+E171+E172+E173+E174+E175+E176+E177+E178+E179+E181+E183</f>
        <v>2364686</v>
      </c>
      <c r="F168" s="48">
        <f t="shared" si="33"/>
        <v>0</v>
      </c>
      <c r="G168" s="48">
        <f t="shared" si="33"/>
        <v>0</v>
      </c>
      <c r="H168" s="48">
        <f t="shared" si="33"/>
        <v>0</v>
      </c>
      <c r="I168" s="48">
        <f t="shared" si="33"/>
        <v>206324912.57999998</v>
      </c>
      <c r="J168" s="48">
        <f t="shared" si="33"/>
        <v>206324912.57999998</v>
      </c>
      <c r="K168" s="48">
        <f t="shared" si="33"/>
        <v>0</v>
      </c>
      <c r="L168" s="48">
        <f t="shared" si="33"/>
        <v>0</v>
      </c>
      <c r="M168" s="48">
        <f t="shared" si="33"/>
        <v>0</v>
      </c>
      <c r="N168" s="48">
        <f t="shared" si="33"/>
        <v>206324912.57999998</v>
      </c>
      <c r="O168" s="48">
        <f t="shared" si="33"/>
        <v>208689598.57999998</v>
      </c>
    </row>
    <row r="169" spans="1:15" s="53" customFormat="1" ht="55.5" customHeight="1" x14ac:dyDescent="0.25">
      <c r="A169" s="75"/>
      <c r="B169" s="75"/>
      <c r="C169" s="79" t="s">
        <v>572</v>
      </c>
      <c r="D169" s="80">
        <f>D182</f>
        <v>0</v>
      </c>
      <c r="E169" s="80">
        <f t="shared" ref="E169:O169" si="34">E182</f>
        <v>0</v>
      </c>
      <c r="F169" s="80">
        <f t="shared" si="34"/>
        <v>0</v>
      </c>
      <c r="G169" s="80">
        <f t="shared" si="34"/>
        <v>0</v>
      </c>
      <c r="H169" s="80">
        <f t="shared" si="34"/>
        <v>0</v>
      </c>
      <c r="I169" s="80">
        <f t="shared" si="34"/>
        <v>6380916</v>
      </c>
      <c r="J169" s="80">
        <f t="shared" si="34"/>
        <v>6380916</v>
      </c>
      <c r="K169" s="80">
        <f t="shared" si="34"/>
        <v>0</v>
      </c>
      <c r="L169" s="80">
        <f t="shared" si="34"/>
        <v>0</v>
      </c>
      <c r="M169" s="80">
        <f t="shared" si="34"/>
        <v>0</v>
      </c>
      <c r="N169" s="80">
        <f t="shared" si="34"/>
        <v>6380916</v>
      </c>
      <c r="O169" s="80">
        <f t="shared" si="34"/>
        <v>6380916</v>
      </c>
    </row>
    <row r="170" spans="1:15" ht="33" customHeight="1" x14ac:dyDescent="0.25">
      <c r="A170" s="40" t="s">
        <v>274</v>
      </c>
      <c r="B170" s="40" t="s">
        <v>113</v>
      </c>
      <c r="C170" s="6" t="s">
        <v>569</v>
      </c>
      <c r="D170" s="49">
        <f>'дод 3'!E261+'дод 3'!E232</f>
        <v>0</v>
      </c>
      <c r="E170" s="49">
        <f>'дод 3'!F261+'дод 3'!F232</f>
        <v>0</v>
      </c>
      <c r="F170" s="49">
        <f>'дод 3'!G261+'дод 3'!G232</f>
        <v>0</v>
      </c>
      <c r="G170" s="49">
        <f>'дод 3'!H261+'дод 3'!H232</f>
        <v>0</v>
      </c>
      <c r="H170" s="49">
        <f>'дод 3'!I261+'дод 3'!I232</f>
        <v>0</v>
      </c>
      <c r="I170" s="49">
        <f>'дод 3'!J261+'дод 3'!J232</f>
        <v>20078713</v>
      </c>
      <c r="J170" s="49">
        <f>'дод 3'!K261+'дод 3'!K232</f>
        <v>20078713</v>
      </c>
      <c r="K170" s="49">
        <f>'дод 3'!L261+'дод 3'!L232</f>
        <v>0</v>
      </c>
      <c r="L170" s="49">
        <f>'дод 3'!M261+'дод 3'!M232</f>
        <v>0</v>
      </c>
      <c r="M170" s="49">
        <f>'дод 3'!N261+'дод 3'!N232</f>
        <v>0</v>
      </c>
      <c r="N170" s="49">
        <f>'дод 3'!O261+'дод 3'!O232</f>
        <v>20078713</v>
      </c>
      <c r="O170" s="49">
        <f>'дод 3'!P261+'дод 3'!P232</f>
        <v>20078713</v>
      </c>
    </row>
    <row r="171" spans="1:15" s="54" customFormat="1" ht="21.75" customHeight="1" x14ac:dyDescent="0.25">
      <c r="A171" s="40" t="s">
        <v>279</v>
      </c>
      <c r="B171" s="40" t="s">
        <v>113</v>
      </c>
      <c r="C171" s="6" t="s">
        <v>565</v>
      </c>
      <c r="D171" s="49">
        <f>'дод 3'!E111+'дод 3'!E262</f>
        <v>0</v>
      </c>
      <c r="E171" s="49">
        <f>'дод 3'!F111+'дод 3'!F262</f>
        <v>0</v>
      </c>
      <c r="F171" s="49">
        <f>'дод 3'!G111+'дод 3'!G262</f>
        <v>0</v>
      </c>
      <c r="G171" s="49">
        <f>'дод 3'!H111+'дод 3'!H262</f>
        <v>0</v>
      </c>
      <c r="H171" s="49">
        <f>'дод 3'!I111+'дод 3'!I262</f>
        <v>0</v>
      </c>
      <c r="I171" s="49">
        <f>'дод 3'!J111+'дод 3'!J262</f>
        <v>29665979</v>
      </c>
      <c r="J171" s="49">
        <f>'дод 3'!K111+'дод 3'!K262</f>
        <v>29665979</v>
      </c>
      <c r="K171" s="49">
        <f>'дод 3'!L111+'дод 3'!L262</f>
        <v>0</v>
      </c>
      <c r="L171" s="49">
        <f>'дод 3'!M111+'дод 3'!M262</f>
        <v>0</v>
      </c>
      <c r="M171" s="49">
        <f>'дод 3'!N111+'дод 3'!N262</f>
        <v>0</v>
      </c>
      <c r="N171" s="49">
        <f>'дод 3'!O111+'дод 3'!O262</f>
        <v>29665979</v>
      </c>
      <c r="O171" s="49">
        <f>'дод 3'!P111+'дод 3'!P262</f>
        <v>29665979</v>
      </c>
    </row>
    <row r="172" spans="1:15" s="54" customFormat="1" ht="24" customHeight="1" x14ac:dyDescent="0.25">
      <c r="A172" s="40" t="s">
        <v>281</v>
      </c>
      <c r="B172" s="40" t="s">
        <v>113</v>
      </c>
      <c r="C172" s="6" t="s">
        <v>566</v>
      </c>
      <c r="D172" s="49">
        <f>'дод 3'!E263+'дод 3'!E147</f>
        <v>0</v>
      </c>
      <c r="E172" s="49">
        <f>'дод 3'!F263+'дод 3'!F147</f>
        <v>0</v>
      </c>
      <c r="F172" s="49">
        <f>'дод 3'!G263+'дод 3'!G147</f>
        <v>0</v>
      </c>
      <c r="G172" s="49">
        <f>'дод 3'!H263+'дод 3'!H147</f>
        <v>0</v>
      </c>
      <c r="H172" s="49">
        <f>'дод 3'!I263+'дод 3'!I147</f>
        <v>0</v>
      </c>
      <c r="I172" s="49">
        <f>'дод 3'!J263+'дод 3'!J147</f>
        <v>37733372</v>
      </c>
      <c r="J172" s="49">
        <f>'дод 3'!K263+'дод 3'!K147</f>
        <v>37733372</v>
      </c>
      <c r="K172" s="49">
        <f>'дод 3'!L263+'дод 3'!L147</f>
        <v>0</v>
      </c>
      <c r="L172" s="49">
        <f>'дод 3'!M263+'дод 3'!M147</f>
        <v>0</v>
      </c>
      <c r="M172" s="49">
        <f>'дод 3'!N263+'дод 3'!N147</f>
        <v>0</v>
      </c>
      <c r="N172" s="49">
        <f>'дод 3'!O263+'дод 3'!O147</f>
        <v>37733372</v>
      </c>
      <c r="O172" s="49">
        <f>'дод 3'!P263+'дод 3'!P147</f>
        <v>37733372</v>
      </c>
    </row>
    <row r="173" spans="1:15" s="54" customFormat="1" ht="22.5" customHeight="1" x14ac:dyDescent="0.25">
      <c r="A173" s="40">
        <v>7323</v>
      </c>
      <c r="B173" s="77" t="s">
        <v>113</v>
      </c>
      <c r="C173" s="146" t="s">
        <v>567</v>
      </c>
      <c r="D173" s="49">
        <f>'дод 3'!E194</f>
        <v>0</v>
      </c>
      <c r="E173" s="49">
        <f>'дод 3'!F194</f>
        <v>0</v>
      </c>
      <c r="F173" s="49">
        <f>'дод 3'!G194</f>
        <v>0</v>
      </c>
      <c r="G173" s="49">
        <f>'дод 3'!H194</f>
        <v>0</v>
      </c>
      <c r="H173" s="49">
        <f>'дод 3'!I194</f>
        <v>0</v>
      </c>
      <c r="I173" s="49">
        <f>'дод 3'!J194</f>
        <v>473213</v>
      </c>
      <c r="J173" s="49">
        <f>'дод 3'!K194</f>
        <v>473213</v>
      </c>
      <c r="K173" s="49">
        <f>'дод 3'!L194</f>
        <v>0</v>
      </c>
      <c r="L173" s="49">
        <f>'дод 3'!M194</f>
        <v>0</v>
      </c>
      <c r="M173" s="49">
        <f>'дод 3'!N194</f>
        <v>0</v>
      </c>
      <c r="N173" s="49">
        <f>'дод 3'!O194</f>
        <v>473213</v>
      </c>
      <c r="O173" s="49">
        <f>'дод 3'!P194</f>
        <v>473213</v>
      </c>
    </row>
    <row r="174" spans="1:15" s="54" customFormat="1" ht="19.5" customHeight="1" x14ac:dyDescent="0.25">
      <c r="A174" s="40">
        <v>7324</v>
      </c>
      <c r="B174" s="77" t="s">
        <v>113</v>
      </c>
      <c r="C174" s="6" t="s">
        <v>568</v>
      </c>
      <c r="D174" s="49">
        <f>'дод 3'!E212+'дод 3'!E264</f>
        <v>0</v>
      </c>
      <c r="E174" s="49">
        <f>'дод 3'!F212+'дод 3'!F264</f>
        <v>0</v>
      </c>
      <c r="F174" s="49">
        <f>'дод 3'!G212+'дод 3'!G264</f>
        <v>0</v>
      </c>
      <c r="G174" s="49">
        <f>'дод 3'!H212+'дод 3'!H264</f>
        <v>0</v>
      </c>
      <c r="H174" s="49">
        <f>'дод 3'!I212+'дод 3'!I264</f>
        <v>0</v>
      </c>
      <c r="I174" s="49">
        <f>'дод 3'!J212+'дод 3'!J264</f>
        <v>970000</v>
      </c>
      <c r="J174" s="49">
        <f>'дод 3'!K212+'дод 3'!K264</f>
        <v>970000</v>
      </c>
      <c r="K174" s="49">
        <f>'дод 3'!L212+'дод 3'!L264</f>
        <v>0</v>
      </c>
      <c r="L174" s="49">
        <f>'дод 3'!M212+'дод 3'!M264</f>
        <v>0</v>
      </c>
      <c r="M174" s="49">
        <f>'дод 3'!N212+'дод 3'!N264</f>
        <v>0</v>
      </c>
      <c r="N174" s="49">
        <f>'дод 3'!O212+'дод 3'!O264</f>
        <v>970000</v>
      </c>
      <c r="O174" s="49">
        <f>'дод 3'!P212+'дод 3'!P264</f>
        <v>970000</v>
      </c>
    </row>
    <row r="175" spans="1:15" s="54" customFormat="1" ht="34.5" x14ac:dyDescent="0.25">
      <c r="A175" s="40">
        <v>7325</v>
      </c>
      <c r="B175" s="77" t="s">
        <v>113</v>
      </c>
      <c r="C175" s="6" t="s">
        <v>563</v>
      </c>
      <c r="D175" s="49">
        <f>'дод 3'!E265+'дод 3'!E42</f>
        <v>0</v>
      </c>
      <c r="E175" s="49">
        <f>'дод 3'!F265+'дод 3'!F42</f>
        <v>0</v>
      </c>
      <c r="F175" s="49">
        <f>'дод 3'!G265+'дод 3'!G42</f>
        <v>0</v>
      </c>
      <c r="G175" s="49">
        <f>'дод 3'!H265+'дод 3'!H42</f>
        <v>0</v>
      </c>
      <c r="H175" s="49">
        <f>'дод 3'!I265+'дод 3'!I42</f>
        <v>0</v>
      </c>
      <c r="I175" s="49">
        <f>'дод 3'!J265+'дод 3'!J42</f>
        <v>11589440</v>
      </c>
      <c r="J175" s="49">
        <f>'дод 3'!K265+'дод 3'!K42</f>
        <v>11589440</v>
      </c>
      <c r="K175" s="49">
        <f>'дод 3'!L265+'дод 3'!L42</f>
        <v>0</v>
      </c>
      <c r="L175" s="49">
        <f>'дод 3'!M265+'дод 3'!M42</f>
        <v>0</v>
      </c>
      <c r="M175" s="49">
        <f>'дод 3'!N265+'дод 3'!N42</f>
        <v>0</v>
      </c>
      <c r="N175" s="49">
        <f>'дод 3'!O265+'дод 3'!O42</f>
        <v>11589440</v>
      </c>
      <c r="O175" s="49">
        <f>'дод 3'!P265+'дод 3'!P42</f>
        <v>11589440</v>
      </c>
    </row>
    <row r="176" spans="1:15" ht="21.75" customHeight="1" x14ac:dyDescent="0.25">
      <c r="A176" s="40" t="s">
        <v>276</v>
      </c>
      <c r="B176" s="40" t="s">
        <v>113</v>
      </c>
      <c r="C176" s="6" t="s">
        <v>564</v>
      </c>
      <c r="D176" s="49">
        <f>'дод 3'!E266+'дод 3'!E233+'дод 3'!E43</f>
        <v>0</v>
      </c>
      <c r="E176" s="49">
        <f>'дод 3'!F266+'дод 3'!F233+'дод 3'!F43</f>
        <v>0</v>
      </c>
      <c r="F176" s="49">
        <f>'дод 3'!G266+'дод 3'!G233+'дод 3'!G43</f>
        <v>0</v>
      </c>
      <c r="G176" s="49">
        <f>'дод 3'!H266+'дод 3'!H233+'дод 3'!H43</f>
        <v>0</v>
      </c>
      <c r="H176" s="49">
        <f>'дод 3'!I266+'дод 3'!I233+'дод 3'!I43</f>
        <v>0</v>
      </c>
      <c r="I176" s="49">
        <f>'дод 3'!J266+'дод 3'!J233+'дод 3'!J43</f>
        <v>33762855.579999998</v>
      </c>
      <c r="J176" s="49">
        <f>'дод 3'!K266+'дод 3'!K233+'дод 3'!K43</f>
        <v>33762855.579999998</v>
      </c>
      <c r="K176" s="49">
        <f>'дод 3'!L266+'дод 3'!L233+'дод 3'!L43</f>
        <v>0</v>
      </c>
      <c r="L176" s="49">
        <f>'дод 3'!M266+'дод 3'!M233+'дод 3'!M43</f>
        <v>0</v>
      </c>
      <c r="M176" s="49">
        <f>'дод 3'!N266+'дод 3'!N233+'дод 3'!N43</f>
        <v>0</v>
      </c>
      <c r="N176" s="49">
        <f>'дод 3'!O266+'дод 3'!O233+'дод 3'!O43</f>
        <v>33762855.579999998</v>
      </c>
      <c r="O176" s="49">
        <f>'дод 3'!P266+'дод 3'!P233+'дод 3'!P43</f>
        <v>33762855.579999998</v>
      </c>
    </row>
    <row r="177" spans="1:15" ht="31.5" customHeight="1" x14ac:dyDescent="0.25">
      <c r="A177" s="37" t="s">
        <v>140</v>
      </c>
      <c r="B177" s="37" t="s">
        <v>113</v>
      </c>
      <c r="C177" s="3" t="s">
        <v>1</v>
      </c>
      <c r="D177" s="49">
        <f>'дод 3'!E234+'дод 3'!E267</f>
        <v>0</v>
      </c>
      <c r="E177" s="49">
        <f>'дод 3'!F234+'дод 3'!F267</f>
        <v>0</v>
      </c>
      <c r="F177" s="49">
        <f>'дод 3'!G234+'дод 3'!G267</f>
        <v>0</v>
      </c>
      <c r="G177" s="49">
        <f>'дод 3'!H234+'дод 3'!H267</f>
        <v>0</v>
      </c>
      <c r="H177" s="49">
        <f>'дод 3'!I234+'дод 3'!I267</f>
        <v>0</v>
      </c>
      <c r="I177" s="49">
        <f>'дод 3'!J234+'дод 3'!J267</f>
        <v>4250000</v>
      </c>
      <c r="J177" s="49">
        <f>'дод 3'!K234+'дод 3'!K267</f>
        <v>4250000</v>
      </c>
      <c r="K177" s="49">
        <f>'дод 3'!L234+'дод 3'!L267</f>
        <v>0</v>
      </c>
      <c r="L177" s="49">
        <f>'дод 3'!M234+'дод 3'!M267</f>
        <v>0</v>
      </c>
      <c r="M177" s="49">
        <f>'дод 3'!N234+'дод 3'!N267</f>
        <v>0</v>
      </c>
      <c r="N177" s="49">
        <f>'дод 3'!O234+'дод 3'!O267</f>
        <v>4250000</v>
      </c>
      <c r="O177" s="49">
        <f>'дод 3'!P234+'дод 3'!P267</f>
        <v>4250000</v>
      </c>
    </row>
    <row r="178" spans="1:15" ht="35.25" customHeight="1" x14ac:dyDescent="0.25">
      <c r="A178" s="59" t="s">
        <v>462</v>
      </c>
      <c r="B178" s="59" t="s">
        <v>113</v>
      </c>
      <c r="C178" s="3" t="s">
        <v>463</v>
      </c>
      <c r="D178" s="49">
        <f>'дод 3'!E279</f>
        <v>0</v>
      </c>
      <c r="E178" s="49">
        <f>'дод 3'!F279</f>
        <v>0</v>
      </c>
      <c r="F178" s="49">
        <f>'дод 3'!G279</f>
        <v>0</v>
      </c>
      <c r="G178" s="49">
        <f>'дод 3'!H279</f>
        <v>0</v>
      </c>
      <c r="H178" s="49">
        <f>'дод 3'!I279</f>
        <v>0</v>
      </c>
      <c r="I178" s="49">
        <f>'дод 3'!J279</f>
        <v>0</v>
      </c>
      <c r="J178" s="49">
        <f>'дод 3'!K279</f>
        <v>0</v>
      </c>
      <c r="K178" s="49">
        <f>'дод 3'!L279</f>
        <v>0</v>
      </c>
      <c r="L178" s="49">
        <f>'дод 3'!M279</f>
        <v>0</v>
      </c>
      <c r="M178" s="49">
        <f>'дод 3'!N279</f>
        <v>0</v>
      </c>
      <c r="N178" s="49">
        <f>'дод 3'!O279</f>
        <v>0</v>
      </c>
      <c r="O178" s="49">
        <f>'дод 3'!P279</f>
        <v>0</v>
      </c>
    </row>
    <row r="179" spans="1:15" ht="51.75" customHeight="1" x14ac:dyDescent="0.25">
      <c r="A179" s="37">
        <v>7361</v>
      </c>
      <c r="B179" s="37" t="s">
        <v>84</v>
      </c>
      <c r="C179" s="3" t="s">
        <v>374</v>
      </c>
      <c r="D179" s="49">
        <f>'дод 3'!E235+'дод 3'!E268+'дод 3'!E148</f>
        <v>0</v>
      </c>
      <c r="E179" s="49">
        <f>'дод 3'!F235+'дод 3'!F268+'дод 3'!F148</f>
        <v>0</v>
      </c>
      <c r="F179" s="49">
        <f>'дод 3'!G235+'дод 3'!G268+'дод 3'!G148</f>
        <v>0</v>
      </c>
      <c r="G179" s="49">
        <f>'дод 3'!H235+'дод 3'!H268+'дод 3'!H148</f>
        <v>0</v>
      </c>
      <c r="H179" s="49">
        <f>'дод 3'!I235+'дод 3'!I268+'дод 3'!I148</f>
        <v>0</v>
      </c>
      <c r="I179" s="49">
        <f>'дод 3'!J235+'дод 3'!J268+'дод 3'!J148</f>
        <v>57461673</v>
      </c>
      <c r="J179" s="49">
        <f>'дод 3'!K235+'дод 3'!K268+'дод 3'!K148</f>
        <v>57461673</v>
      </c>
      <c r="K179" s="49">
        <f>'дод 3'!L235+'дод 3'!L268+'дод 3'!L148</f>
        <v>0</v>
      </c>
      <c r="L179" s="49">
        <f>'дод 3'!M235+'дод 3'!M268+'дод 3'!M148</f>
        <v>0</v>
      </c>
      <c r="M179" s="49">
        <f>'дод 3'!N235+'дод 3'!N268+'дод 3'!N148</f>
        <v>0</v>
      </c>
      <c r="N179" s="49">
        <f>'дод 3'!O235+'дод 3'!O268+'дод 3'!O148</f>
        <v>57461673</v>
      </c>
      <c r="O179" s="49">
        <f>'дод 3'!P235+'дод 3'!P268+'дод 3'!P148</f>
        <v>57461673</v>
      </c>
    </row>
    <row r="180" spans="1:15" s="54" customFormat="1" ht="46.5" hidden="1" customHeight="1" x14ac:dyDescent="0.25">
      <c r="A180" s="37">
        <v>7362</v>
      </c>
      <c r="B180" s="37" t="s">
        <v>84</v>
      </c>
      <c r="C180" s="3" t="s">
        <v>366</v>
      </c>
      <c r="D180" s="49">
        <f>'дод 3'!E236</f>
        <v>0</v>
      </c>
      <c r="E180" s="49">
        <f>'дод 3'!F236</f>
        <v>0</v>
      </c>
      <c r="F180" s="49">
        <f>'дод 3'!G236</f>
        <v>0</v>
      </c>
      <c r="G180" s="49">
        <f>'дод 3'!H236</f>
        <v>0</v>
      </c>
      <c r="H180" s="49">
        <f>'дод 3'!I236</f>
        <v>0</v>
      </c>
      <c r="I180" s="49">
        <f>'дод 3'!J236</f>
        <v>0</v>
      </c>
      <c r="J180" s="49">
        <f>'дод 3'!K236</f>
        <v>0</v>
      </c>
      <c r="K180" s="49">
        <f>'дод 3'!L236</f>
        <v>0</v>
      </c>
      <c r="L180" s="49">
        <f>'дод 3'!M236</f>
        <v>0</v>
      </c>
      <c r="M180" s="49">
        <f>'дод 3'!N236</f>
        <v>0</v>
      </c>
      <c r="N180" s="49">
        <f>'дод 3'!O236</f>
        <v>0</v>
      </c>
      <c r="O180" s="49">
        <f>'дод 3'!P236</f>
        <v>0</v>
      </c>
    </row>
    <row r="181" spans="1:15" s="54" customFormat="1" ht="54.75" customHeight="1" x14ac:dyDescent="0.25">
      <c r="A181" s="37">
        <v>7363</v>
      </c>
      <c r="B181" s="60" t="s">
        <v>84</v>
      </c>
      <c r="C181" s="61" t="s">
        <v>400</v>
      </c>
      <c r="D181" s="49">
        <f>'дод 3'!E237+'дод 3'!E112+'дод 3'!E149</f>
        <v>0</v>
      </c>
      <c r="E181" s="49">
        <f>'дод 3'!F237+'дод 3'!F112+'дод 3'!F149</f>
        <v>0</v>
      </c>
      <c r="F181" s="49">
        <f>'дод 3'!G237+'дод 3'!G112+'дод 3'!G149</f>
        <v>0</v>
      </c>
      <c r="G181" s="49">
        <f>'дод 3'!H237+'дод 3'!H112+'дод 3'!H149</f>
        <v>0</v>
      </c>
      <c r="H181" s="49">
        <f>'дод 3'!I237+'дод 3'!I112+'дод 3'!I149</f>
        <v>0</v>
      </c>
      <c r="I181" s="49">
        <f>'дод 3'!J237+'дод 3'!J112+'дод 3'!J149</f>
        <v>10339667</v>
      </c>
      <c r="J181" s="49">
        <f>'дод 3'!K237+'дод 3'!K112+'дод 3'!K149</f>
        <v>10339667</v>
      </c>
      <c r="K181" s="49">
        <f>'дод 3'!L237+'дод 3'!L112+'дод 3'!L149</f>
        <v>0</v>
      </c>
      <c r="L181" s="49">
        <f>'дод 3'!M237+'дод 3'!M112+'дод 3'!M149</f>
        <v>0</v>
      </c>
      <c r="M181" s="49">
        <f>'дод 3'!N237+'дод 3'!N112+'дод 3'!N149</f>
        <v>0</v>
      </c>
      <c r="N181" s="49">
        <f>'дод 3'!O237+'дод 3'!O112+'дод 3'!O149</f>
        <v>10339667</v>
      </c>
      <c r="O181" s="49">
        <f>'дод 3'!P237+'дод 3'!P112+'дод 3'!P149</f>
        <v>10339667</v>
      </c>
    </row>
    <row r="182" spans="1:15" s="54" customFormat="1" ht="52.5" customHeight="1" x14ac:dyDescent="0.25">
      <c r="A182" s="82"/>
      <c r="B182" s="88"/>
      <c r="C182" s="83" t="s">
        <v>572</v>
      </c>
      <c r="D182" s="84">
        <f>'дод 3'!E113+'дод 3'!E150+'дод 3'!E238</f>
        <v>0</v>
      </c>
      <c r="E182" s="84">
        <f>'дод 3'!F113+'дод 3'!F150+'дод 3'!F238</f>
        <v>0</v>
      </c>
      <c r="F182" s="84">
        <f>'дод 3'!G113+'дод 3'!G150+'дод 3'!G238</f>
        <v>0</v>
      </c>
      <c r="G182" s="84">
        <f>'дод 3'!H113+'дод 3'!H150+'дод 3'!H238</f>
        <v>0</v>
      </c>
      <c r="H182" s="84">
        <f>'дод 3'!I113+'дод 3'!I150+'дод 3'!I238</f>
        <v>0</v>
      </c>
      <c r="I182" s="84">
        <f>'дод 3'!J113+'дод 3'!J150+'дод 3'!J238</f>
        <v>6380916</v>
      </c>
      <c r="J182" s="84">
        <f>'дод 3'!K113+'дод 3'!K150+'дод 3'!K238</f>
        <v>6380916</v>
      </c>
      <c r="K182" s="84">
        <f>'дод 3'!L113+'дод 3'!L150+'дод 3'!L238</f>
        <v>0</v>
      </c>
      <c r="L182" s="84">
        <f>'дод 3'!M113+'дод 3'!M150+'дод 3'!M238</f>
        <v>0</v>
      </c>
      <c r="M182" s="84">
        <f>'дод 3'!N113+'дод 3'!N150+'дод 3'!N238</f>
        <v>0</v>
      </c>
      <c r="N182" s="84">
        <f>'дод 3'!O113+'дод 3'!O150+'дод 3'!O238</f>
        <v>6380916</v>
      </c>
      <c r="O182" s="84">
        <f>'дод 3'!P113+'дод 3'!P150+'дод 3'!P238</f>
        <v>6380916</v>
      </c>
    </row>
    <row r="183" spans="1:15" s="54" customFormat="1" ht="31.5" x14ac:dyDescent="0.25">
      <c r="A183" s="37">
        <v>7370</v>
      </c>
      <c r="B183" s="60" t="s">
        <v>84</v>
      </c>
      <c r="C183" s="61" t="s">
        <v>434</v>
      </c>
      <c r="D183" s="49">
        <f>'дод 3'!E270+'дод 3'!E280</f>
        <v>2364686</v>
      </c>
      <c r="E183" s="49">
        <f>'дод 3'!F270+'дод 3'!F280</f>
        <v>2364686</v>
      </c>
      <c r="F183" s="49">
        <f>'дод 3'!G270+'дод 3'!G280</f>
        <v>0</v>
      </c>
      <c r="G183" s="49">
        <f>'дод 3'!H270+'дод 3'!H280</f>
        <v>0</v>
      </c>
      <c r="H183" s="49">
        <f>'дод 3'!I270+'дод 3'!I280</f>
        <v>0</v>
      </c>
      <c r="I183" s="49">
        <f>'дод 3'!J270+'дод 3'!J280</f>
        <v>0</v>
      </c>
      <c r="J183" s="49">
        <f>'дод 3'!K270+'дод 3'!K280</f>
        <v>0</v>
      </c>
      <c r="K183" s="49">
        <f>'дод 3'!L270+'дод 3'!L280</f>
        <v>0</v>
      </c>
      <c r="L183" s="49">
        <f>'дод 3'!M270+'дод 3'!M280</f>
        <v>0</v>
      </c>
      <c r="M183" s="49">
        <f>'дод 3'!N270+'дод 3'!N280</f>
        <v>0</v>
      </c>
      <c r="N183" s="49">
        <f>'дод 3'!O270+'дод 3'!O280</f>
        <v>0</v>
      </c>
      <c r="O183" s="49">
        <f>'дод 3'!P270+'дод 3'!P280</f>
        <v>2364686</v>
      </c>
    </row>
    <row r="184" spans="1:15" s="52" customFormat="1" ht="34.5" customHeight="1" x14ac:dyDescent="0.25">
      <c r="A184" s="38" t="s">
        <v>87</v>
      </c>
      <c r="B184" s="41"/>
      <c r="C184" s="2" t="s">
        <v>472</v>
      </c>
      <c r="D184" s="48">
        <f>D187+D188+D189+D190+D194+D195</f>
        <v>56852022</v>
      </c>
      <c r="E184" s="48">
        <f t="shared" ref="E184:O184" si="35">E187+E188+E189+E190+E194+E195</f>
        <v>4252826</v>
      </c>
      <c r="F184" s="48">
        <f t="shared" si="35"/>
        <v>0</v>
      </c>
      <c r="G184" s="48">
        <f t="shared" si="35"/>
        <v>0</v>
      </c>
      <c r="H184" s="48">
        <f t="shared" si="35"/>
        <v>52599196</v>
      </c>
      <c r="I184" s="48">
        <f t="shared" si="35"/>
        <v>0</v>
      </c>
      <c r="J184" s="48">
        <f t="shared" si="35"/>
        <v>0</v>
      </c>
      <c r="K184" s="48">
        <f t="shared" si="35"/>
        <v>0</v>
      </c>
      <c r="L184" s="48">
        <f t="shared" si="35"/>
        <v>0</v>
      </c>
      <c r="M184" s="48">
        <f t="shared" si="35"/>
        <v>0</v>
      </c>
      <c r="N184" s="48">
        <f t="shared" si="35"/>
        <v>0</v>
      </c>
      <c r="O184" s="48">
        <f t="shared" si="35"/>
        <v>56852022</v>
      </c>
    </row>
    <row r="185" spans="1:15" s="53" customFormat="1" ht="94.5" hidden="1" customHeight="1" x14ac:dyDescent="0.25">
      <c r="A185" s="75"/>
      <c r="B185" s="76"/>
      <c r="C185" s="79" t="s">
        <v>399</v>
      </c>
      <c r="D185" s="80">
        <f>D192</f>
        <v>0</v>
      </c>
      <c r="E185" s="80">
        <f t="shared" ref="E185:O185" si="36">E192</f>
        <v>0</v>
      </c>
      <c r="F185" s="80">
        <f t="shared" si="36"/>
        <v>0</v>
      </c>
      <c r="G185" s="80">
        <f t="shared" si="36"/>
        <v>0</v>
      </c>
      <c r="H185" s="80">
        <f t="shared" si="36"/>
        <v>0</v>
      </c>
      <c r="I185" s="80">
        <f t="shared" si="36"/>
        <v>0</v>
      </c>
      <c r="J185" s="80">
        <f t="shared" si="36"/>
        <v>0</v>
      </c>
      <c r="K185" s="80">
        <f t="shared" si="36"/>
        <v>0</v>
      </c>
      <c r="L185" s="80">
        <f t="shared" si="36"/>
        <v>0</v>
      </c>
      <c r="M185" s="80">
        <f t="shared" si="36"/>
        <v>0</v>
      </c>
      <c r="N185" s="80">
        <f t="shared" si="36"/>
        <v>0</v>
      </c>
      <c r="O185" s="80">
        <f t="shared" si="36"/>
        <v>0</v>
      </c>
    </row>
    <row r="186" spans="1:15" s="53" customFormat="1" ht="63" x14ac:dyDescent="0.25">
      <c r="A186" s="75"/>
      <c r="B186" s="76"/>
      <c r="C186" s="79" t="s">
        <v>449</v>
      </c>
      <c r="D186" s="80">
        <f>D196</f>
        <v>1527346</v>
      </c>
      <c r="E186" s="80">
        <f t="shared" ref="E186:O186" si="37">E196</f>
        <v>1527346</v>
      </c>
      <c r="F186" s="80">
        <f t="shared" si="37"/>
        <v>0</v>
      </c>
      <c r="G186" s="80">
        <f t="shared" si="37"/>
        <v>0</v>
      </c>
      <c r="H186" s="80">
        <f t="shared" si="37"/>
        <v>0</v>
      </c>
      <c r="I186" s="80">
        <f t="shared" si="37"/>
        <v>0</v>
      </c>
      <c r="J186" s="80">
        <f t="shared" si="37"/>
        <v>0</v>
      </c>
      <c r="K186" s="80">
        <f t="shared" si="37"/>
        <v>0</v>
      </c>
      <c r="L186" s="80">
        <f t="shared" si="37"/>
        <v>0</v>
      </c>
      <c r="M186" s="80">
        <f t="shared" si="37"/>
        <v>0</v>
      </c>
      <c r="N186" s="80">
        <f t="shared" si="37"/>
        <v>0</v>
      </c>
      <c r="O186" s="80">
        <f t="shared" si="37"/>
        <v>1527346</v>
      </c>
    </row>
    <row r="187" spans="1:15" s="54" customFormat="1" ht="18.75" customHeight="1" x14ac:dyDescent="0.25">
      <c r="A187" s="37" t="s">
        <v>3</v>
      </c>
      <c r="B187" s="37" t="s">
        <v>86</v>
      </c>
      <c r="C187" s="3" t="s">
        <v>37</v>
      </c>
      <c r="D187" s="49">
        <f>'дод 3'!E44</f>
        <v>6542500</v>
      </c>
      <c r="E187" s="49">
        <f>'дод 3'!F44</f>
        <v>0</v>
      </c>
      <c r="F187" s="49">
        <f>'дод 3'!G44</f>
        <v>0</v>
      </c>
      <c r="G187" s="49">
        <f>'дод 3'!H44</f>
        <v>0</v>
      </c>
      <c r="H187" s="49">
        <f>'дод 3'!I44</f>
        <v>6542500</v>
      </c>
      <c r="I187" s="49">
        <f>'дод 3'!J44</f>
        <v>0</v>
      </c>
      <c r="J187" s="49">
        <f>'дод 3'!K44</f>
        <v>0</v>
      </c>
      <c r="K187" s="49">
        <f>'дод 3'!L44</f>
        <v>0</v>
      </c>
      <c r="L187" s="49">
        <f>'дод 3'!M44</f>
        <v>0</v>
      </c>
      <c r="M187" s="49">
        <f>'дод 3'!N44</f>
        <v>0</v>
      </c>
      <c r="N187" s="49">
        <f>'дод 3'!O44</f>
        <v>0</v>
      </c>
      <c r="O187" s="49">
        <f>'дод 3'!P44</f>
        <v>6542500</v>
      </c>
    </row>
    <row r="188" spans="1:15" s="54" customFormat="1" ht="20.25" customHeight="1" x14ac:dyDescent="0.25">
      <c r="A188" s="37">
        <v>7413</v>
      </c>
      <c r="B188" s="37" t="s">
        <v>86</v>
      </c>
      <c r="C188" s="3" t="s">
        <v>377</v>
      </c>
      <c r="D188" s="49">
        <f>'дод 3'!E45</f>
        <v>11000000</v>
      </c>
      <c r="E188" s="49">
        <f>'дод 3'!F45</f>
        <v>0</v>
      </c>
      <c r="F188" s="49">
        <f>'дод 3'!G45</f>
        <v>0</v>
      </c>
      <c r="G188" s="49">
        <f>'дод 3'!H45</f>
        <v>0</v>
      </c>
      <c r="H188" s="49">
        <f>'дод 3'!I45</f>
        <v>11000000</v>
      </c>
      <c r="I188" s="49">
        <f>'дод 3'!J45</f>
        <v>0</v>
      </c>
      <c r="J188" s="49">
        <f>'дод 3'!K45</f>
        <v>0</v>
      </c>
      <c r="K188" s="49">
        <f>'дод 3'!L45</f>
        <v>0</v>
      </c>
      <c r="L188" s="49">
        <f>'дод 3'!M45</f>
        <v>0</v>
      </c>
      <c r="M188" s="49">
        <f>'дод 3'!N45</f>
        <v>0</v>
      </c>
      <c r="N188" s="49">
        <f>'дод 3'!O45</f>
        <v>0</v>
      </c>
      <c r="O188" s="49">
        <f>'дод 3'!P45</f>
        <v>11000000</v>
      </c>
    </row>
    <row r="189" spans="1:15" s="54" customFormat="1" ht="31.5" x14ac:dyDescent="0.25">
      <c r="A189" s="42">
        <v>7422</v>
      </c>
      <c r="B189" s="107" t="s">
        <v>415</v>
      </c>
      <c r="C189" s="108" t="s">
        <v>587</v>
      </c>
      <c r="D189" s="49">
        <f>'дод 3'!E46</f>
        <v>4314400</v>
      </c>
      <c r="E189" s="49">
        <f>'дод 3'!F46</f>
        <v>0</v>
      </c>
      <c r="F189" s="49">
        <f>'дод 3'!G46</f>
        <v>0</v>
      </c>
      <c r="G189" s="49">
        <f>'дод 3'!H46</f>
        <v>0</v>
      </c>
      <c r="H189" s="49">
        <f>'дод 3'!I46</f>
        <v>4314400</v>
      </c>
      <c r="I189" s="49">
        <f>'дод 3'!J46</f>
        <v>0</v>
      </c>
      <c r="J189" s="49">
        <f>'дод 3'!K46</f>
        <v>0</v>
      </c>
      <c r="K189" s="49">
        <f>'дод 3'!L46</f>
        <v>0</v>
      </c>
      <c r="L189" s="49">
        <f>'дод 3'!M46</f>
        <v>0</v>
      </c>
      <c r="M189" s="49">
        <f>'дод 3'!N46</f>
        <v>0</v>
      </c>
      <c r="N189" s="49">
        <f>'дод 3'!O46</f>
        <v>0</v>
      </c>
      <c r="O189" s="49">
        <f>'дод 3'!P46</f>
        <v>4314400</v>
      </c>
    </row>
    <row r="190" spans="1:15" s="54" customFormat="1" ht="24" customHeight="1" x14ac:dyDescent="0.25">
      <c r="A190" s="37">
        <v>7426</v>
      </c>
      <c r="B190" s="59" t="s">
        <v>415</v>
      </c>
      <c r="C190" s="3" t="s">
        <v>378</v>
      </c>
      <c r="D190" s="49">
        <f>'дод 3'!E47</f>
        <v>30742296</v>
      </c>
      <c r="E190" s="49">
        <f>'дод 3'!F47</f>
        <v>0</v>
      </c>
      <c r="F190" s="49">
        <f>'дод 3'!G47</f>
        <v>0</v>
      </c>
      <c r="G190" s="49">
        <f>'дод 3'!H47</f>
        <v>0</v>
      </c>
      <c r="H190" s="49">
        <f>'дод 3'!I47</f>
        <v>30742296</v>
      </c>
      <c r="I190" s="49">
        <f>'дод 3'!J47</f>
        <v>0</v>
      </c>
      <c r="J190" s="49">
        <f>'дод 3'!K47</f>
        <v>0</v>
      </c>
      <c r="K190" s="49">
        <f>'дод 3'!L47</f>
        <v>0</v>
      </c>
      <c r="L190" s="49">
        <f>'дод 3'!M47</f>
        <v>0</v>
      </c>
      <c r="M190" s="49">
        <f>'дод 3'!N47</f>
        <v>0</v>
      </c>
      <c r="N190" s="49">
        <f>'дод 3'!O47</f>
        <v>0</v>
      </c>
      <c r="O190" s="49">
        <f>'дод 3'!P47</f>
        <v>30742296</v>
      </c>
    </row>
    <row r="191" spans="1:15" s="54" customFormat="1" ht="53.25" hidden="1" customHeight="1" x14ac:dyDescent="0.25">
      <c r="A191" s="37">
        <v>7462</v>
      </c>
      <c r="B191" s="59" t="s">
        <v>402</v>
      </c>
      <c r="C191" s="3" t="s">
        <v>401</v>
      </c>
      <c r="D191" s="49">
        <f>'дод 3'!E239</f>
        <v>1527346</v>
      </c>
      <c r="E191" s="49">
        <f>'дод 3'!F239</f>
        <v>1527346</v>
      </c>
      <c r="F191" s="49">
        <f>'дод 3'!G239</f>
        <v>0</v>
      </c>
      <c r="G191" s="49">
        <f>'дод 3'!H239</f>
        <v>0</v>
      </c>
      <c r="H191" s="49">
        <f>'дод 3'!I239</f>
        <v>0</v>
      </c>
      <c r="I191" s="49">
        <f>'дод 3'!J239</f>
        <v>0</v>
      </c>
      <c r="J191" s="49">
        <f>'дод 3'!K239</f>
        <v>0</v>
      </c>
      <c r="K191" s="49">
        <f>'дод 3'!L239</f>
        <v>0</v>
      </c>
      <c r="L191" s="49">
        <f>'дод 3'!M239</f>
        <v>0</v>
      </c>
      <c r="M191" s="49">
        <f>'дод 3'!N239</f>
        <v>0</v>
      </c>
      <c r="N191" s="49">
        <f>'дод 3'!O239</f>
        <v>0</v>
      </c>
      <c r="O191" s="49">
        <f>'дод 3'!P239</f>
        <v>1527346</v>
      </c>
    </row>
    <row r="192" spans="1:15" s="54" customFormat="1" ht="94.5" hidden="1" customHeight="1" x14ac:dyDescent="0.25">
      <c r="A192" s="82"/>
      <c r="B192" s="82"/>
      <c r="C192" s="83" t="s">
        <v>399</v>
      </c>
      <c r="D192" s="84">
        <f>'дод 3'!E240</f>
        <v>0</v>
      </c>
      <c r="E192" s="84">
        <f>'дод 3'!F240</f>
        <v>0</v>
      </c>
      <c r="F192" s="84">
        <f>'дод 3'!G240</f>
        <v>0</v>
      </c>
      <c r="G192" s="84">
        <f>'дод 3'!H240</f>
        <v>0</v>
      </c>
      <c r="H192" s="84">
        <f>'дод 3'!I240</f>
        <v>0</v>
      </c>
      <c r="I192" s="84">
        <f>'дод 3'!J240</f>
        <v>0</v>
      </c>
      <c r="J192" s="84">
        <f>'дод 3'!K240</f>
        <v>0</v>
      </c>
      <c r="K192" s="84">
        <f>'дод 3'!L240</f>
        <v>0</v>
      </c>
      <c r="L192" s="84">
        <f>'дод 3'!M240</f>
        <v>0</v>
      </c>
      <c r="M192" s="84">
        <f>'дод 3'!N240</f>
        <v>0</v>
      </c>
      <c r="N192" s="84">
        <f>'дод 3'!O240</f>
        <v>0</v>
      </c>
      <c r="O192" s="84">
        <f>'дод 3'!P240</f>
        <v>0</v>
      </c>
    </row>
    <row r="193" spans="1:15" s="54" customFormat="1" ht="63" hidden="1" customHeight="1" x14ac:dyDescent="0.25">
      <c r="A193" s="82"/>
      <c r="B193" s="82"/>
      <c r="C193" s="83" t="s">
        <v>449</v>
      </c>
      <c r="D193" s="84">
        <f>'дод 3'!E241</f>
        <v>1527346</v>
      </c>
      <c r="E193" s="84">
        <f>'дод 3'!F241</f>
        <v>1527346</v>
      </c>
      <c r="F193" s="84">
        <f>'дод 3'!G241</f>
        <v>0</v>
      </c>
      <c r="G193" s="84">
        <f>'дод 3'!H241</f>
        <v>0</v>
      </c>
      <c r="H193" s="84">
        <f>'дод 3'!I241</f>
        <v>0</v>
      </c>
      <c r="I193" s="84">
        <f>'дод 3'!J241</f>
        <v>0</v>
      </c>
      <c r="J193" s="84">
        <f>'дод 3'!K241</f>
        <v>0</v>
      </c>
      <c r="K193" s="84">
        <f>'дод 3'!L241</f>
        <v>0</v>
      </c>
      <c r="L193" s="84">
        <f>'дод 3'!M241</f>
        <v>0</v>
      </c>
      <c r="M193" s="84">
        <f>'дод 3'!N241</f>
        <v>0</v>
      </c>
      <c r="N193" s="84">
        <f>'дод 3'!O241</f>
        <v>0</v>
      </c>
      <c r="O193" s="84">
        <f>'дод 3'!P241</f>
        <v>1527346</v>
      </c>
    </row>
    <row r="194" spans="1:15" s="54" customFormat="1" ht="18" customHeight="1" x14ac:dyDescent="0.25">
      <c r="A194" s="59" t="s">
        <v>458</v>
      </c>
      <c r="B194" s="59" t="s">
        <v>402</v>
      </c>
      <c r="C194" s="3" t="s">
        <v>464</v>
      </c>
      <c r="D194" s="49">
        <f>'дод 3'!E48</f>
        <v>2725480</v>
      </c>
      <c r="E194" s="49">
        <f>'дод 3'!F48</f>
        <v>2725480</v>
      </c>
      <c r="F194" s="49">
        <f>'дод 3'!G48</f>
        <v>0</v>
      </c>
      <c r="G194" s="49">
        <f>'дод 3'!H48</f>
        <v>0</v>
      </c>
      <c r="H194" s="49">
        <f>'дод 3'!I48</f>
        <v>0</v>
      </c>
      <c r="I194" s="49">
        <f>'дод 3'!J48</f>
        <v>0</v>
      </c>
      <c r="J194" s="49">
        <f>'дод 3'!K48</f>
        <v>0</v>
      </c>
      <c r="K194" s="49">
        <f>'дод 3'!L48</f>
        <v>0</v>
      </c>
      <c r="L194" s="49">
        <f>'дод 3'!M48</f>
        <v>0</v>
      </c>
      <c r="M194" s="49">
        <f>'дод 3'!N48</f>
        <v>0</v>
      </c>
      <c r="N194" s="49">
        <f>'дод 3'!O48</f>
        <v>0</v>
      </c>
      <c r="O194" s="49">
        <f>'дод 3'!P48</f>
        <v>2725480</v>
      </c>
    </row>
    <row r="195" spans="1:15" s="54" customFormat="1" ht="54.75" customHeight="1" x14ac:dyDescent="0.25">
      <c r="A195" s="59" t="s">
        <v>559</v>
      </c>
      <c r="B195" s="59" t="s">
        <v>402</v>
      </c>
      <c r="C195" s="121" t="s">
        <v>401</v>
      </c>
      <c r="D195" s="49">
        <f>'дод 3'!E239</f>
        <v>1527346</v>
      </c>
      <c r="E195" s="49">
        <f>'дод 3'!F239</f>
        <v>1527346</v>
      </c>
      <c r="F195" s="49">
        <f>'дод 3'!G239</f>
        <v>0</v>
      </c>
      <c r="G195" s="49">
        <f>'дод 3'!H239</f>
        <v>0</v>
      </c>
      <c r="H195" s="49">
        <f>'дод 3'!I239</f>
        <v>0</v>
      </c>
      <c r="I195" s="49">
        <f>'дод 3'!J239</f>
        <v>0</v>
      </c>
      <c r="J195" s="49">
        <f>'дод 3'!K239</f>
        <v>0</v>
      </c>
      <c r="K195" s="49">
        <f>'дод 3'!L239</f>
        <v>0</v>
      </c>
      <c r="L195" s="49">
        <f>'дод 3'!M239</f>
        <v>0</v>
      </c>
      <c r="M195" s="49">
        <f>'дод 3'!N239</f>
        <v>0</v>
      </c>
      <c r="N195" s="49">
        <f>'дод 3'!O239</f>
        <v>0</v>
      </c>
      <c r="O195" s="49">
        <f>'дод 3'!P239</f>
        <v>1527346</v>
      </c>
    </row>
    <row r="196" spans="1:15" s="54" customFormat="1" ht="67.5" customHeight="1" x14ac:dyDescent="0.25">
      <c r="A196" s="93"/>
      <c r="B196" s="93"/>
      <c r="C196" s="91" t="s">
        <v>557</v>
      </c>
      <c r="D196" s="84">
        <f>'дод 3'!E241</f>
        <v>1527346</v>
      </c>
      <c r="E196" s="84">
        <f>'дод 3'!F241</f>
        <v>1527346</v>
      </c>
      <c r="F196" s="84">
        <f>'дод 3'!G241</f>
        <v>0</v>
      </c>
      <c r="G196" s="84">
        <f>'дод 3'!H241</f>
        <v>0</v>
      </c>
      <c r="H196" s="84">
        <f>'дод 3'!I241</f>
        <v>0</v>
      </c>
      <c r="I196" s="84">
        <f>'дод 3'!J241</f>
        <v>0</v>
      </c>
      <c r="J196" s="84">
        <f>'дод 3'!K241</f>
        <v>0</v>
      </c>
      <c r="K196" s="84">
        <f>'дод 3'!L241</f>
        <v>0</v>
      </c>
      <c r="L196" s="84">
        <f>'дод 3'!M241</f>
        <v>0</v>
      </c>
      <c r="M196" s="84">
        <f>'дод 3'!N241</f>
        <v>0</v>
      </c>
      <c r="N196" s="84">
        <f>'дод 3'!O241</f>
        <v>0</v>
      </c>
      <c r="O196" s="84">
        <f>'дод 3'!P241</f>
        <v>1527346</v>
      </c>
    </row>
    <row r="197" spans="1:15" s="52" customFormat="1" ht="18.75" customHeight="1" x14ac:dyDescent="0.25">
      <c r="A197" s="39" t="s">
        <v>239</v>
      </c>
      <c r="B197" s="41"/>
      <c r="C197" s="2" t="s">
        <v>240</v>
      </c>
      <c r="D197" s="48">
        <f>D198</f>
        <v>7250000</v>
      </c>
      <c r="E197" s="48">
        <f t="shared" ref="E197:O197" si="38">E198</f>
        <v>7250000</v>
      </c>
      <c r="F197" s="48">
        <f t="shared" si="38"/>
        <v>0</v>
      </c>
      <c r="G197" s="48">
        <f t="shared" si="38"/>
        <v>0</v>
      </c>
      <c r="H197" s="48">
        <f t="shared" si="38"/>
        <v>0</v>
      </c>
      <c r="I197" s="48">
        <f t="shared" si="38"/>
        <v>3150000</v>
      </c>
      <c r="J197" s="48">
        <f t="shared" si="38"/>
        <v>3150000</v>
      </c>
      <c r="K197" s="48">
        <f t="shared" si="38"/>
        <v>0</v>
      </c>
      <c r="L197" s="48">
        <f t="shared" si="38"/>
        <v>0</v>
      </c>
      <c r="M197" s="48">
        <f t="shared" si="38"/>
        <v>0</v>
      </c>
      <c r="N197" s="48">
        <f t="shared" si="38"/>
        <v>3150000</v>
      </c>
      <c r="O197" s="48">
        <f t="shared" si="38"/>
        <v>10400000</v>
      </c>
    </row>
    <row r="198" spans="1:15" ht="37.5" customHeight="1" x14ac:dyDescent="0.25">
      <c r="A198" s="40" t="s">
        <v>237</v>
      </c>
      <c r="B198" s="40" t="s">
        <v>238</v>
      </c>
      <c r="C198" s="11" t="s">
        <v>236</v>
      </c>
      <c r="D198" s="49">
        <f>'дод 3'!E49+'дод 3'!E242</f>
        <v>7250000</v>
      </c>
      <c r="E198" s="49">
        <f>'дод 3'!F49+'дод 3'!F242</f>
        <v>7250000</v>
      </c>
      <c r="F198" s="49">
        <f>'дод 3'!G49+'дод 3'!G242</f>
        <v>0</v>
      </c>
      <c r="G198" s="49">
        <f>'дод 3'!H49+'дод 3'!H242</f>
        <v>0</v>
      </c>
      <c r="H198" s="49">
        <f>'дод 3'!I49+'дод 3'!I242</f>
        <v>0</v>
      </c>
      <c r="I198" s="49">
        <f>'дод 3'!J49+'дод 3'!J242</f>
        <v>3150000</v>
      </c>
      <c r="J198" s="49">
        <f>'дод 3'!K49+'дод 3'!K242</f>
        <v>3150000</v>
      </c>
      <c r="K198" s="49">
        <f>'дод 3'!L49+'дод 3'!L242</f>
        <v>0</v>
      </c>
      <c r="L198" s="49">
        <f>'дод 3'!M49+'дод 3'!M242</f>
        <v>0</v>
      </c>
      <c r="M198" s="49">
        <f>'дод 3'!N49+'дод 3'!N242</f>
        <v>0</v>
      </c>
      <c r="N198" s="49">
        <f>'дод 3'!O49+'дод 3'!O242</f>
        <v>3150000</v>
      </c>
      <c r="O198" s="49">
        <f>'дод 3'!P49+'дод 3'!P242</f>
        <v>10400000</v>
      </c>
    </row>
    <row r="199" spans="1:15" s="52" customFormat="1" ht="31.5" customHeight="1" x14ac:dyDescent="0.25">
      <c r="A199" s="38" t="s">
        <v>90</v>
      </c>
      <c r="B199" s="41"/>
      <c r="C199" s="2" t="s">
        <v>423</v>
      </c>
      <c r="D199" s="48">
        <f>D201+D202+D204+D205+D206+D208+D209+D210</f>
        <v>8476753.5500000007</v>
      </c>
      <c r="E199" s="48">
        <f t="shared" ref="E199:O199" si="39">E201+E202+E204+E205+E206+E208+E209+E210</f>
        <v>5976753.5499999998</v>
      </c>
      <c r="F199" s="48">
        <f t="shared" si="39"/>
        <v>0</v>
      </c>
      <c r="G199" s="48">
        <f t="shared" si="39"/>
        <v>0</v>
      </c>
      <c r="H199" s="48">
        <f t="shared" si="39"/>
        <v>2500000</v>
      </c>
      <c r="I199" s="48">
        <f t="shared" si="39"/>
        <v>213551226.44</v>
      </c>
      <c r="J199" s="48">
        <f t="shared" si="39"/>
        <v>197221254.56999999</v>
      </c>
      <c r="K199" s="48">
        <f t="shared" si="39"/>
        <v>2948437.8699999996</v>
      </c>
      <c r="L199" s="48">
        <f t="shared" si="39"/>
        <v>0</v>
      </c>
      <c r="M199" s="48">
        <f t="shared" si="39"/>
        <v>0</v>
      </c>
      <c r="N199" s="48">
        <f t="shared" si="39"/>
        <v>210602788.56999999</v>
      </c>
      <c r="O199" s="48">
        <f t="shared" si="39"/>
        <v>222027979.99000001</v>
      </c>
    </row>
    <row r="200" spans="1:15" s="53" customFormat="1" ht="16.5" customHeight="1" x14ac:dyDescent="0.25">
      <c r="A200" s="75"/>
      <c r="B200" s="75"/>
      <c r="C200" s="87" t="s">
        <v>421</v>
      </c>
      <c r="D200" s="80">
        <f>D203+D207</f>
        <v>0</v>
      </c>
      <c r="E200" s="80">
        <f t="shared" ref="E200:O200" si="40">E203+E207</f>
        <v>0</v>
      </c>
      <c r="F200" s="80">
        <f t="shared" si="40"/>
        <v>0</v>
      </c>
      <c r="G200" s="80">
        <f t="shared" si="40"/>
        <v>0</v>
      </c>
      <c r="H200" s="80">
        <f t="shared" si="40"/>
        <v>0</v>
      </c>
      <c r="I200" s="80">
        <f t="shared" si="40"/>
        <v>127771665.12</v>
      </c>
      <c r="J200" s="80">
        <f t="shared" si="40"/>
        <v>127771665.12</v>
      </c>
      <c r="K200" s="80">
        <f t="shared" si="40"/>
        <v>0</v>
      </c>
      <c r="L200" s="80">
        <f t="shared" si="40"/>
        <v>0</v>
      </c>
      <c r="M200" s="80">
        <f t="shared" si="40"/>
        <v>0</v>
      </c>
      <c r="N200" s="80">
        <f t="shared" si="40"/>
        <v>127771665.12</v>
      </c>
      <c r="O200" s="80">
        <f t="shared" si="40"/>
        <v>127771665.12</v>
      </c>
    </row>
    <row r="201" spans="1:15" ht="32.25" customHeight="1" x14ac:dyDescent="0.25">
      <c r="A201" s="37" t="s">
        <v>4</v>
      </c>
      <c r="B201" s="37" t="s">
        <v>89</v>
      </c>
      <c r="C201" s="3" t="s">
        <v>24</v>
      </c>
      <c r="D201" s="49">
        <f>'дод 3'!E50+'дод 3'!E289</f>
        <v>975000</v>
      </c>
      <c r="E201" s="49">
        <f>'дод 3'!F50+'дод 3'!F289</f>
        <v>475000</v>
      </c>
      <c r="F201" s="49">
        <f>'дод 3'!G50+'дод 3'!G289</f>
        <v>0</v>
      </c>
      <c r="G201" s="49">
        <f>'дод 3'!H50+'дод 3'!H289</f>
        <v>0</v>
      </c>
      <c r="H201" s="49">
        <f>'дод 3'!I50+'дод 3'!I289</f>
        <v>500000</v>
      </c>
      <c r="I201" s="49">
        <f>'дод 3'!J50+'дод 3'!J289</f>
        <v>0</v>
      </c>
      <c r="J201" s="49">
        <f>'дод 3'!K50+'дод 3'!K289</f>
        <v>0</v>
      </c>
      <c r="K201" s="49">
        <f>'дод 3'!L50+'дод 3'!L289</f>
        <v>0</v>
      </c>
      <c r="L201" s="49">
        <f>'дод 3'!M50+'дод 3'!M289</f>
        <v>0</v>
      </c>
      <c r="M201" s="49">
        <f>'дод 3'!N50+'дод 3'!N289</f>
        <v>0</v>
      </c>
      <c r="N201" s="49">
        <f>'дод 3'!O50+'дод 3'!O289</f>
        <v>0</v>
      </c>
      <c r="O201" s="49">
        <f>'дод 3'!P50+'дод 3'!P289</f>
        <v>975000</v>
      </c>
    </row>
    <row r="202" spans="1:15" ht="20.25" customHeight="1" x14ac:dyDescent="0.25">
      <c r="A202" s="37" t="s">
        <v>2</v>
      </c>
      <c r="B202" s="37" t="s">
        <v>88</v>
      </c>
      <c r="C202" s="3" t="s">
        <v>420</v>
      </c>
      <c r="D202" s="49">
        <f>'дод 3'!E114+'дод 3'!E151+'дод 3'!E213+'дод 3'!E243+'дод 3'!E271+'дод 3'!E299</f>
        <v>4954184.55</v>
      </c>
      <c r="E202" s="49">
        <f>'дод 3'!F114+'дод 3'!F151+'дод 3'!F213+'дод 3'!F243+'дод 3'!F271+'дод 3'!F299</f>
        <v>2954184.55</v>
      </c>
      <c r="F202" s="49">
        <f>'дод 3'!G114+'дод 3'!G151+'дод 3'!G213+'дод 3'!G243+'дод 3'!G271+'дод 3'!G299</f>
        <v>0</v>
      </c>
      <c r="G202" s="49">
        <f>'дод 3'!H114+'дод 3'!H151+'дод 3'!H213+'дод 3'!H243+'дод 3'!H271+'дод 3'!H299</f>
        <v>0</v>
      </c>
      <c r="H202" s="49">
        <f>'дод 3'!I114+'дод 3'!I151+'дод 3'!I213+'дод 3'!I243+'дод 3'!I271+'дод 3'!I299</f>
        <v>2000000</v>
      </c>
      <c r="I202" s="49">
        <f>'дод 3'!J114+'дод 3'!J151+'дод 3'!J213+'дод 3'!J243+'дод 3'!J271+'дод 3'!J299</f>
        <v>162842288.56999999</v>
      </c>
      <c r="J202" s="49">
        <f>'дод 3'!K114+'дод 3'!K151+'дод 3'!K213+'дод 3'!K243+'дод 3'!K271+'дод 3'!K299</f>
        <v>151368354.56999999</v>
      </c>
      <c r="K202" s="49">
        <f>'дод 3'!L114+'дод 3'!L151+'дод 3'!L213+'дод 3'!L243+'дод 3'!L271+'дод 3'!L299</f>
        <v>0</v>
      </c>
      <c r="L202" s="49">
        <f>'дод 3'!M114+'дод 3'!M151+'дод 3'!M213+'дод 3'!M243+'дод 3'!M271+'дод 3'!M299</f>
        <v>0</v>
      </c>
      <c r="M202" s="49">
        <f>'дод 3'!N114+'дод 3'!N151+'дод 3'!N213+'дод 3'!N243+'дод 3'!N271+'дод 3'!N299</f>
        <v>0</v>
      </c>
      <c r="N202" s="49">
        <f>'дод 3'!O114+'дод 3'!O151+'дод 3'!O213+'дод 3'!O243+'дод 3'!O271+'дод 3'!O299</f>
        <v>162842288.56999999</v>
      </c>
      <c r="O202" s="49">
        <f>'дод 3'!P114+'дод 3'!P151+'дод 3'!P213+'дод 3'!P243+'дод 3'!P271+'дод 3'!P299</f>
        <v>167796473.12</v>
      </c>
    </row>
    <row r="203" spans="1:15" s="54" customFormat="1" ht="17.25" customHeight="1" x14ac:dyDescent="0.25">
      <c r="A203" s="82"/>
      <c r="B203" s="82"/>
      <c r="C203" s="89" t="s">
        <v>421</v>
      </c>
      <c r="D203" s="84">
        <f>'дод 3'!E152+'дод 3'!E272</f>
        <v>0</v>
      </c>
      <c r="E203" s="84">
        <f>'дод 3'!F152+'дод 3'!F272</f>
        <v>0</v>
      </c>
      <c r="F203" s="84">
        <f>'дод 3'!G152+'дод 3'!G272</f>
        <v>0</v>
      </c>
      <c r="G203" s="84">
        <f>'дод 3'!H152+'дод 3'!H272</f>
        <v>0</v>
      </c>
      <c r="H203" s="84">
        <f>'дод 3'!I152+'дод 3'!I272</f>
        <v>0</v>
      </c>
      <c r="I203" s="84">
        <f>'дод 3'!J152+'дод 3'!J272</f>
        <v>101521665.12</v>
      </c>
      <c r="J203" s="84">
        <f>'дод 3'!K152+'дод 3'!K272</f>
        <v>101521665.12</v>
      </c>
      <c r="K203" s="84">
        <f>'дод 3'!L152+'дод 3'!L272</f>
        <v>0</v>
      </c>
      <c r="L203" s="84">
        <f>'дод 3'!M152+'дод 3'!M272</f>
        <v>0</v>
      </c>
      <c r="M203" s="84">
        <f>'дод 3'!N152+'дод 3'!N272</f>
        <v>0</v>
      </c>
      <c r="N203" s="84">
        <f>'дод 3'!O152+'дод 3'!O272</f>
        <v>101521665.12</v>
      </c>
      <c r="O203" s="84">
        <f>'дод 3'!P152+'дод 3'!P272</f>
        <v>101521665.12</v>
      </c>
    </row>
    <row r="204" spans="1:15" ht="33.75" customHeight="1" x14ac:dyDescent="0.25">
      <c r="A204" s="37" t="s">
        <v>269</v>
      </c>
      <c r="B204" s="37" t="s">
        <v>84</v>
      </c>
      <c r="C204" s="3" t="s">
        <v>348</v>
      </c>
      <c r="D204" s="49">
        <f>'дод 3'!E290</f>
        <v>0</v>
      </c>
      <c r="E204" s="49">
        <f>'дод 3'!F290</f>
        <v>0</v>
      </c>
      <c r="F204" s="49">
        <f>'дод 3'!G290</f>
        <v>0</v>
      </c>
      <c r="G204" s="49">
        <f>'дод 3'!H290</f>
        <v>0</v>
      </c>
      <c r="H204" s="49">
        <f>'дод 3'!I290</f>
        <v>0</v>
      </c>
      <c r="I204" s="49">
        <f>'дод 3'!J290</f>
        <v>20000</v>
      </c>
      <c r="J204" s="49">
        <f>'дод 3'!K290</f>
        <v>20000</v>
      </c>
      <c r="K204" s="49">
        <f>'дод 3'!L290</f>
        <v>0</v>
      </c>
      <c r="L204" s="49">
        <f>'дод 3'!M290</f>
        <v>0</v>
      </c>
      <c r="M204" s="49">
        <f>'дод 3'!N290</f>
        <v>0</v>
      </c>
      <c r="N204" s="49">
        <f>'дод 3'!O290</f>
        <v>20000</v>
      </c>
      <c r="O204" s="49">
        <f>'дод 3'!P290</f>
        <v>20000</v>
      </c>
    </row>
    <row r="205" spans="1:15" ht="67.5" customHeight="1" x14ac:dyDescent="0.25">
      <c r="A205" s="37" t="s">
        <v>271</v>
      </c>
      <c r="B205" s="37" t="s">
        <v>84</v>
      </c>
      <c r="C205" s="3" t="s">
        <v>272</v>
      </c>
      <c r="D205" s="49">
        <f>'дод 3'!E291</f>
        <v>0</v>
      </c>
      <c r="E205" s="49">
        <f>'дод 3'!F291</f>
        <v>0</v>
      </c>
      <c r="F205" s="49">
        <f>'дод 3'!G291</f>
        <v>0</v>
      </c>
      <c r="G205" s="49">
        <f>'дод 3'!H291</f>
        <v>0</v>
      </c>
      <c r="H205" s="49">
        <f>'дод 3'!I291</f>
        <v>0</v>
      </c>
      <c r="I205" s="49">
        <f>'дод 3'!J291</f>
        <v>45000</v>
      </c>
      <c r="J205" s="49">
        <f>'дод 3'!K291</f>
        <v>45000</v>
      </c>
      <c r="K205" s="49">
        <f>'дод 3'!L291</f>
        <v>0</v>
      </c>
      <c r="L205" s="49">
        <f>'дод 3'!M291</f>
        <v>0</v>
      </c>
      <c r="M205" s="49">
        <f>'дод 3'!N291</f>
        <v>0</v>
      </c>
      <c r="N205" s="49">
        <f>'дод 3'!O291</f>
        <v>45000</v>
      </c>
      <c r="O205" s="49">
        <f>'дод 3'!P291</f>
        <v>45000</v>
      </c>
    </row>
    <row r="206" spans="1:15" ht="30.75" customHeight="1" x14ac:dyDescent="0.25">
      <c r="A206" s="37" t="s">
        <v>5</v>
      </c>
      <c r="B206" s="37" t="s">
        <v>84</v>
      </c>
      <c r="C206" s="3" t="s">
        <v>473</v>
      </c>
      <c r="D206" s="49">
        <f>'дод 3'!E51+'дод 3'!E244</f>
        <v>0</v>
      </c>
      <c r="E206" s="49">
        <f>'дод 3'!F51+'дод 3'!F244</f>
        <v>0</v>
      </c>
      <c r="F206" s="49">
        <f>'дод 3'!G51+'дод 3'!G244</f>
        <v>0</v>
      </c>
      <c r="G206" s="49">
        <f>'дод 3'!H51+'дод 3'!H244</f>
        <v>0</v>
      </c>
      <c r="H206" s="49">
        <f>'дод 3'!I51+'дод 3'!I244</f>
        <v>0</v>
      </c>
      <c r="I206" s="49">
        <f>'дод 3'!J51+'дод 3'!J244</f>
        <v>45787900</v>
      </c>
      <c r="J206" s="49">
        <f>'дод 3'!K51+'дод 3'!K244</f>
        <v>45787900</v>
      </c>
      <c r="K206" s="49">
        <f>'дод 3'!L51+'дод 3'!L244</f>
        <v>0</v>
      </c>
      <c r="L206" s="49">
        <f>'дод 3'!M51+'дод 3'!M244</f>
        <v>0</v>
      </c>
      <c r="M206" s="49">
        <f>'дод 3'!N51+'дод 3'!N244</f>
        <v>0</v>
      </c>
      <c r="N206" s="49">
        <f>'дод 3'!O51+'дод 3'!O244</f>
        <v>45787900</v>
      </c>
      <c r="O206" s="49">
        <f>'дод 3'!P51+'дод 3'!P244</f>
        <v>45787900</v>
      </c>
    </row>
    <row r="207" spans="1:15" ht="16.5" customHeight="1" x14ac:dyDescent="0.25">
      <c r="A207" s="37"/>
      <c r="B207" s="37"/>
      <c r="C207" s="89" t="s">
        <v>421</v>
      </c>
      <c r="D207" s="49">
        <f>'дод 3'!E245</f>
        <v>0</v>
      </c>
      <c r="E207" s="49">
        <f>'дод 3'!F245</f>
        <v>0</v>
      </c>
      <c r="F207" s="49">
        <f>'дод 3'!G245</f>
        <v>0</v>
      </c>
      <c r="G207" s="49">
        <f>'дод 3'!H245</f>
        <v>0</v>
      </c>
      <c r="H207" s="49">
        <f>'дод 3'!I245</f>
        <v>0</v>
      </c>
      <c r="I207" s="49">
        <f>'дод 3'!J245</f>
        <v>26250000</v>
      </c>
      <c r="J207" s="49">
        <f>'дод 3'!K245</f>
        <v>26250000</v>
      </c>
      <c r="K207" s="49">
        <f>'дод 3'!L245</f>
        <v>0</v>
      </c>
      <c r="L207" s="49">
        <f>'дод 3'!M245</f>
        <v>0</v>
      </c>
      <c r="M207" s="49">
        <f>'дод 3'!N245</f>
        <v>0</v>
      </c>
      <c r="N207" s="49">
        <f>'дод 3'!O245</f>
        <v>26250000</v>
      </c>
      <c r="O207" s="49">
        <f>'дод 3'!P245</f>
        <v>26250000</v>
      </c>
    </row>
    <row r="208" spans="1:15" ht="36.75" customHeight="1" x14ac:dyDescent="0.25">
      <c r="A208" s="37" t="s">
        <v>250</v>
      </c>
      <c r="B208" s="37" t="s">
        <v>84</v>
      </c>
      <c r="C208" s="3" t="s">
        <v>251</v>
      </c>
      <c r="D208" s="49">
        <f>'дод 3'!E52</f>
        <v>356337</v>
      </c>
      <c r="E208" s="49">
        <f>'дод 3'!F52</f>
        <v>356337</v>
      </c>
      <c r="F208" s="49">
        <f>'дод 3'!G52</f>
        <v>0</v>
      </c>
      <c r="G208" s="49">
        <f>'дод 3'!H52</f>
        <v>0</v>
      </c>
      <c r="H208" s="49">
        <f>'дод 3'!I52</f>
        <v>0</v>
      </c>
      <c r="I208" s="49">
        <f>'дод 3'!J52</f>
        <v>0</v>
      </c>
      <c r="J208" s="49">
        <f>'дод 3'!K52</f>
        <v>0</v>
      </c>
      <c r="K208" s="49">
        <f>'дод 3'!L52</f>
        <v>0</v>
      </c>
      <c r="L208" s="49">
        <f>'дод 3'!M52</f>
        <v>0</v>
      </c>
      <c r="M208" s="49">
        <f>'дод 3'!N52</f>
        <v>0</v>
      </c>
      <c r="N208" s="49">
        <f>'дод 3'!O52</f>
        <v>0</v>
      </c>
      <c r="O208" s="49">
        <f>'дод 3'!P52</f>
        <v>356337</v>
      </c>
    </row>
    <row r="209" spans="1:15" s="54" customFormat="1" ht="97.5" customHeight="1" x14ac:dyDescent="0.25">
      <c r="A209" s="37" t="s">
        <v>298</v>
      </c>
      <c r="B209" s="37" t="s">
        <v>84</v>
      </c>
      <c r="C209" s="3" t="s">
        <v>316</v>
      </c>
      <c r="D209" s="49">
        <f>'дод 3'!E53+'дод 3'!E246+'дод 3'!E273+'дод 3'!E281</f>
        <v>0</v>
      </c>
      <c r="E209" s="49">
        <f>'дод 3'!F53+'дод 3'!F246+'дод 3'!F273+'дод 3'!F281</f>
        <v>0</v>
      </c>
      <c r="F209" s="49">
        <f>'дод 3'!G53+'дод 3'!G246+'дод 3'!G273+'дод 3'!G281</f>
        <v>0</v>
      </c>
      <c r="G209" s="49">
        <f>'дод 3'!H53+'дод 3'!H246+'дод 3'!H273+'дод 3'!H281</f>
        <v>0</v>
      </c>
      <c r="H209" s="49">
        <f>'дод 3'!I53+'дод 3'!I246+'дод 3'!I273+'дод 3'!I281</f>
        <v>0</v>
      </c>
      <c r="I209" s="49">
        <f>'дод 3'!J53+'дод 3'!J246+'дод 3'!J273+'дод 3'!J281</f>
        <v>4856037.8699999992</v>
      </c>
      <c r="J209" s="49">
        <f>'дод 3'!K53+'дод 3'!K246+'дод 3'!K273+'дод 3'!K281</f>
        <v>0</v>
      </c>
      <c r="K209" s="49">
        <f>'дод 3'!L53+'дод 3'!L246+'дод 3'!L273+'дод 3'!L281</f>
        <v>2948437.8699999996</v>
      </c>
      <c r="L209" s="49">
        <f>'дод 3'!M53+'дод 3'!M246+'дод 3'!M273+'дод 3'!M281</f>
        <v>0</v>
      </c>
      <c r="M209" s="49">
        <f>'дод 3'!N53+'дод 3'!N246+'дод 3'!N273+'дод 3'!N281</f>
        <v>0</v>
      </c>
      <c r="N209" s="49">
        <f>'дод 3'!O53+'дод 3'!O246+'дод 3'!O273+'дод 3'!O281</f>
        <v>1907600</v>
      </c>
      <c r="O209" s="49">
        <f>'дод 3'!P53+'дод 3'!P246+'дод 3'!P273+'дод 3'!P281</f>
        <v>4856037.8699999992</v>
      </c>
    </row>
    <row r="210" spans="1:15" s="54" customFormat="1" ht="23.25" customHeight="1" x14ac:dyDescent="0.25">
      <c r="A210" s="37" t="s">
        <v>241</v>
      </c>
      <c r="B210" s="37" t="s">
        <v>84</v>
      </c>
      <c r="C210" s="3" t="s">
        <v>17</v>
      </c>
      <c r="D210" s="49">
        <f>'дод 3'!E54+'дод 3'!E292+'дод 3'!E300</f>
        <v>2191232</v>
      </c>
      <c r="E210" s="49">
        <f>'дод 3'!F54+'дод 3'!F292+'дод 3'!F300</f>
        <v>2191232</v>
      </c>
      <c r="F210" s="49">
        <f>'дод 3'!G54+'дод 3'!G292+'дод 3'!G300</f>
        <v>0</v>
      </c>
      <c r="G210" s="49">
        <f>'дод 3'!H54+'дод 3'!H292+'дод 3'!H300</f>
        <v>0</v>
      </c>
      <c r="H210" s="49">
        <f>'дод 3'!I54+'дод 3'!I292+'дод 3'!I300</f>
        <v>0</v>
      </c>
      <c r="I210" s="49">
        <f>'дод 3'!J54+'дод 3'!J292+'дод 3'!J300</f>
        <v>0</v>
      </c>
      <c r="J210" s="49">
        <f>'дод 3'!K54+'дод 3'!K292+'дод 3'!K300</f>
        <v>0</v>
      </c>
      <c r="K210" s="49">
        <f>'дод 3'!L54+'дод 3'!L292+'дод 3'!L300</f>
        <v>0</v>
      </c>
      <c r="L210" s="49">
        <f>'дод 3'!M54+'дод 3'!M292+'дод 3'!M300</f>
        <v>0</v>
      </c>
      <c r="M210" s="49">
        <f>'дод 3'!N54+'дод 3'!N292+'дод 3'!N300</f>
        <v>0</v>
      </c>
      <c r="N210" s="49">
        <f>'дод 3'!O54+'дод 3'!O292+'дод 3'!O300</f>
        <v>0</v>
      </c>
      <c r="O210" s="49">
        <f>'дод 3'!P54+'дод 3'!P292+'дод 3'!P300</f>
        <v>2191232</v>
      </c>
    </row>
    <row r="211" spans="1:15" s="53" customFormat="1" ht="48.75" customHeight="1" x14ac:dyDescent="0.25">
      <c r="A211" s="38">
        <v>7700</v>
      </c>
      <c r="B211" s="38"/>
      <c r="C211" s="95" t="s">
        <v>364</v>
      </c>
      <c r="D211" s="48">
        <f>D212</f>
        <v>0</v>
      </c>
      <c r="E211" s="48">
        <f t="shared" ref="E211:O211" si="41">E212</f>
        <v>0</v>
      </c>
      <c r="F211" s="48">
        <f t="shared" si="41"/>
        <v>0</v>
      </c>
      <c r="G211" s="48">
        <f t="shared" si="41"/>
        <v>0</v>
      </c>
      <c r="H211" s="48">
        <f t="shared" si="41"/>
        <v>0</v>
      </c>
      <c r="I211" s="48">
        <f t="shared" si="41"/>
        <v>630000</v>
      </c>
      <c r="J211" s="48">
        <f t="shared" si="41"/>
        <v>0</v>
      </c>
      <c r="K211" s="48">
        <f t="shared" si="41"/>
        <v>0</v>
      </c>
      <c r="L211" s="48">
        <f t="shared" si="41"/>
        <v>0</v>
      </c>
      <c r="M211" s="48">
        <f t="shared" si="41"/>
        <v>0</v>
      </c>
      <c r="N211" s="48">
        <f t="shared" si="41"/>
        <v>630000</v>
      </c>
      <c r="O211" s="48">
        <f t="shared" si="41"/>
        <v>630000</v>
      </c>
    </row>
    <row r="212" spans="1:15" s="54" customFormat="1" ht="46.5" customHeight="1" x14ac:dyDescent="0.25">
      <c r="A212" s="37">
        <v>7700</v>
      </c>
      <c r="B212" s="59" t="s">
        <v>95</v>
      </c>
      <c r="C212" s="61" t="s">
        <v>364</v>
      </c>
      <c r="D212" s="49">
        <f>'дод 3'!E115</f>
        <v>0</v>
      </c>
      <c r="E212" s="49">
        <f>'дод 3'!F115</f>
        <v>0</v>
      </c>
      <c r="F212" s="49">
        <f>'дод 3'!G115</f>
        <v>0</v>
      </c>
      <c r="G212" s="49">
        <f>'дод 3'!H115</f>
        <v>0</v>
      </c>
      <c r="H212" s="49">
        <f>'дод 3'!I115</f>
        <v>0</v>
      </c>
      <c r="I212" s="49">
        <f>'дод 3'!J115</f>
        <v>630000</v>
      </c>
      <c r="J212" s="49">
        <f>'дод 3'!K115</f>
        <v>0</v>
      </c>
      <c r="K212" s="49">
        <f>'дод 3'!L115</f>
        <v>0</v>
      </c>
      <c r="L212" s="49">
        <f>'дод 3'!M115</f>
        <v>0</v>
      </c>
      <c r="M212" s="49">
        <f>'дод 3'!N115</f>
        <v>0</v>
      </c>
      <c r="N212" s="49">
        <f>'дод 3'!O115</f>
        <v>630000</v>
      </c>
      <c r="O212" s="49">
        <f>'дод 3'!P115</f>
        <v>630000</v>
      </c>
    </row>
    <row r="213" spans="1:15" s="52" customFormat="1" ht="51.75" customHeight="1" x14ac:dyDescent="0.25">
      <c r="A213" s="38" t="s">
        <v>96</v>
      </c>
      <c r="B213" s="39"/>
      <c r="C213" s="2" t="s">
        <v>533</v>
      </c>
      <c r="D213" s="48">
        <f>D215+D220+D222+D225+D227+D228</f>
        <v>19922760.649999999</v>
      </c>
      <c r="E213" s="48">
        <f t="shared" ref="E213:O213" si="42">E215+E220+E222+E225+E227+E228</f>
        <v>5896017.21</v>
      </c>
      <c r="F213" s="48">
        <f t="shared" si="42"/>
        <v>1906900</v>
      </c>
      <c r="G213" s="48">
        <f t="shared" si="42"/>
        <v>338147</v>
      </c>
      <c r="H213" s="48">
        <f t="shared" si="42"/>
        <v>0</v>
      </c>
      <c r="I213" s="48">
        <f t="shared" si="42"/>
        <v>5708964.6600000001</v>
      </c>
      <c r="J213" s="48">
        <f t="shared" si="42"/>
        <v>1398264.66</v>
      </c>
      <c r="K213" s="48">
        <f t="shared" si="42"/>
        <v>2960800</v>
      </c>
      <c r="L213" s="48">
        <f t="shared" si="42"/>
        <v>0</v>
      </c>
      <c r="M213" s="48">
        <f t="shared" si="42"/>
        <v>1400</v>
      </c>
      <c r="N213" s="48">
        <f t="shared" si="42"/>
        <v>2748164.66</v>
      </c>
      <c r="O213" s="48">
        <f t="shared" si="42"/>
        <v>25631725.310000002</v>
      </c>
    </row>
    <row r="214" spans="1:15" s="53" customFormat="1" ht="54.75" customHeight="1" x14ac:dyDescent="0.25">
      <c r="A214" s="75"/>
      <c r="B214" s="78"/>
      <c r="C214" s="79" t="s">
        <v>384</v>
      </c>
      <c r="D214" s="80">
        <f>D216</f>
        <v>588815</v>
      </c>
      <c r="E214" s="80">
        <f t="shared" ref="E214:O214" si="43">E216</f>
        <v>588815</v>
      </c>
      <c r="F214" s="80">
        <f t="shared" si="43"/>
        <v>482635</v>
      </c>
      <c r="G214" s="80">
        <f t="shared" si="43"/>
        <v>0</v>
      </c>
      <c r="H214" s="80">
        <f t="shared" si="43"/>
        <v>0</v>
      </c>
      <c r="I214" s="80">
        <f t="shared" si="43"/>
        <v>0</v>
      </c>
      <c r="J214" s="80">
        <f t="shared" si="43"/>
        <v>0</v>
      </c>
      <c r="K214" s="80">
        <f t="shared" si="43"/>
        <v>0</v>
      </c>
      <c r="L214" s="80">
        <f t="shared" si="43"/>
        <v>0</v>
      </c>
      <c r="M214" s="80">
        <f t="shared" si="43"/>
        <v>0</v>
      </c>
      <c r="N214" s="80">
        <f t="shared" si="43"/>
        <v>0</v>
      </c>
      <c r="O214" s="80">
        <f t="shared" si="43"/>
        <v>588815</v>
      </c>
    </row>
    <row r="215" spans="1:15" s="52" customFormat="1" ht="51.75" customHeight="1" x14ac:dyDescent="0.25">
      <c r="A215" s="38" t="s">
        <v>98</v>
      </c>
      <c r="B215" s="39"/>
      <c r="C215" s="2" t="s">
        <v>536</v>
      </c>
      <c r="D215" s="48">
        <f t="shared" ref="D215:O215" si="44">D217+D218</f>
        <v>3410086.21</v>
      </c>
      <c r="E215" s="48">
        <f t="shared" si="44"/>
        <v>3410086.21</v>
      </c>
      <c r="F215" s="48">
        <f t="shared" si="44"/>
        <v>1906900</v>
      </c>
      <c r="G215" s="48">
        <f t="shared" si="44"/>
        <v>80205</v>
      </c>
      <c r="H215" s="48">
        <f t="shared" si="44"/>
        <v>0</v>
      </c>
      <c r="I215" s="48">
        <f t="shared" si="44"/>
        <v>1403964.66</v>
      </c>
      <c r="J215" s="48">
        <f t="shared" si="44"/>
        <v>1398264.66</v>
      </c>
      <c r="K215" s="48">
        <f t="shared" si="44"/>
        <v>5700</v>
      </c>
      <c r="L215" s="48">
        <f t="shared" si="44"/>
        <v>0</v>
      </c>
      <c r="M215" s="48">
        <f t="shared" si="44"/>
        <v>1400</v>
      </c>
      <c r="N215" s="48">
        <f t="shared" si="44"/>
        <v>1398264.66</v>
      </c>
      <c r="O215" s="48">
        <f t="shared" si="44"/>
        <v>4814050.87</v>
      </c>
    </row>
    <row r="216" spans="1:15" s="53" customFormat="1" ht="47.25" hidden="1" customHeight="1" x14ac:dyDescent="0.25">
      <c r="A216" s="75"/>
      <c r="B216" s="78"/>
      <c r="C216" s="81" t="str">
        <f>C219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16" s="80">
        <f>D219</f>
        <v>588815</v>
      </c>
      <c r="E216" s="80">
        <f t="shared" ref="E216:O216" si="45">E219</f>
        <v>588815</v>
      </c>
      <c r="F216" s="80">
        <f t="shared" si="45"/>
        <v>482635</v>
      </c>
      <c r="G216" s="80">
        <f t="shared" si="45"/>
        <v>0</v>
      </c>
      <c r="H216" s="80">
        <f t="shared" si="45"/>
        <v>0</v>
      </c>
      <c r="I216" s="80">
        <f t="shared" si="45"/>
        <v>0</v>
      </c>
      <c r="J216" s="80">
        <f t="shared" si="45"/>
        <v>0</v>
      </c>
      <c r="K216" s="80">
        <f t="shared" si="45"/>
        <v>0</v>
      </c>
      <c r="L216" s="80">
        <f t="shared" si="45"/>
        <v>0</v>
      </c>
      <c r="M216" s="80">
        <f t="shared" si="45"/>
        <v>0</v>
      </c>
      <c r="N216" s="80">
        <f t="shared" si="45"/>
        <v>0</v>
      </c>
      <c r="O216" s="80">
        <f t="shared" si="45"/>
        <v>588815</v>
      </c>
    </row>
    <row r="217" spans="1:15" s="52" customFormat="1" ht="36.75" customHeight="1" x14ac:dyDescent="0.25">
      <c r="A217" s="40" t="s">
        <v>7</v>
      </c>
      <c r="B217" s="40" t="s">
        <v>91</v>
      </c>
      <c r="C217" s="3" t="s">
        <v>299</v>
      </c>
      <c r="D217" s="49">
        <f>'дод 3'!E55+'дод 3'!E247</f>
        <v>960981.21</v>
      </c>
      <c r="E217" s="49">
        <f>'дод 3'!F55+'дод 3'!F247</f>
        <v>960981.21</v>
      </c>
      <c r="F217" s="49">
        <f>'дод 3'!G55+'дод 3'!G247</f>
        <v>0</v>
      </c>
      <c r="G217" s="49">
        <f>'дод 3'!H55+'дод 3'!H247</f>
        <v>6500</v>
      </c>
      <c r="H217" s="49">
        <f>'дод 3'!I55+'дод 3'!I247</f>
        <v>0</v>
      </c>
      <c r="I217" s="49">
        <f>'дод 3'!J55+'дод 3'!J247</f>
        <v>1398264.66</v>
      </c>
      <c r="J217" s="49">
        <f>'дод 3'!K55+'дод 3'!K247</f>
        <v>1398264.66</v>
      </c>
      <c r="K217" s="49">
        <f>'дод 3'!L55+'дод 3'!L247</f>
        <v>0</v>
      </c>
      <c r="L217" s="49">
        <f>'дод 3'!M55+'дод 3'!M247</f>
        <v>0</v>
      </c>
      <c r="M217" s="49">
        <f>'дод 3'!N55+'дод 3'!N247</f>
        <v>0</v>
      </c>
      <c r="N217" s="49">
        <f>'дод 3'!O55+'дод 3'!O247</f>
        <v>1398264.66</v>
      </c>
      <c r="O217" s="49">
        <f>'дод 3'!P55+'дод 3'!P247</f>
        <v>2359245.87</v>
      </c>
    </row>
    <row r="218" spans="1:15" ht="27" customHeight="1" x14ac:dyDescent="0.25">
      <c r="A218" s="37" t="s">
        <v>150</v>
      </c>
      <c r="B218" s="42" t="s">
        <v>91</v>
      </c>
      <c r="C218" s="3" t="s">
        <v>532</v>
      </c>
      <c r="D218" s="49">
        <f>'дод 3'!E56</f>
        <v>2449105</v>
      </c>
      <c r="E218" s="49">
        <f>'дод 3'!F56</f>
        <v>2449105</v>
      </c>
      <c r="F218" s="49">
        <f>'дод 3'!G56</f>
        <v>1906900</v>
      </c>
      <c r="G218" s="49">
        <f>'дод 3'!H56</f>
        <v>73705</v>
      </c>
      <c r="H218" s="49">
        <f>'дод 3'!I56</f>
        <v>0</v>
      </c>
      <c r="I218" s="49">
        <f>'дод 3'!J56</f>
        <v>5700</v>
      </c>
      <c r="J218" s="49">
        <f>'дод 3'!K56</f>
        <v>0</v>
      </c>
      <c r="K218" s="49">
        <f>'дод 3'!L56</f>
        <v>5700</v>
      </c>
      <c r="L218" s="49">
        <f>'дод 3'!M56</f>
        <v>0</v>
      </c>
      <c r="M218" s="49">
        <f>'дод 3'!N56</f>
        <v>1400</v>
      </c>
      <c r="N218" s="49">
        <f>'дод 3'!O56</f>
        <v>0</v>
      </c>
      <c r="O218" s="49">
        <f>'дод 3'!P56</f>
        <v>2454805</v>
      </c>
    </row>
    <row r="219" spans="1:15" s="54" customFormat="1" ht="47.25" x14ac:dyDescent="0.25">
      <c r="A219" s="82"/>
      <c r="B219" s="92"/>
      <c r="C219" s="91" t="s">
        <v>384</v>
      </c>
      <c r="D219" s="84">
        <f>'дод 3'!E57</f>
        <v>588815</v>
      </c>
      <c r="E219" s="84">
        <f>'дод 3'!F57</f>
        <v>588815</v>
      </c>
      <c r="F219" s="84">
        <f>'дод 3'!G57</f>
        <v>482635</v>
      </c>
      <c r="G219" s="84">
        <f>'дод 3'!H57</f>
        <v>0</v>
      </c>
      <c r="H219" s="84">
        <f>'дод 3'!I57</f>
        <v>0</v>
      </c>
      <c r="I219" s="84">
        <f>'дод 3'!J57</f>
        <v>0</v>
      </c>
      <c r="J219" s="84">
        <f>'дод 3'!K57</f>
        <v>0</v>
      </c>
      <c r="K219" s="84">
        <f>'дод 3'!L57</f>
        <v>0</v>
      </c>
      <c r="L219" s="84">
        <f>'дод 3'!M57</f>
        <v>0</v>
      </c>
      <c r="M219" s="84">
        <f>'дод 3'!N57</f>
        <v>0</v>
      </c>
      <c r="N219" s="84">
        <f>'дод 3'!O57</f>
        <v>0</v>
      </c>
      <c r="O219" s="84">
        <f>'дод 3'!P57</f>
        <v>588815</v>
      </c>
    </row>
    <row r="220" spans="1:15" s="52" customFormat="1" ht="23.25" customHeight="1" x14ac:dyDescent="0.25">
      <c r="A220" s="38" t="s">
        <v>252</v>
      </c>
      <c r="B220" s="38"/>
      <c r="C220" s="12" t="s">
        <v>253</v>
      </c>
      <c r="D220" s="48">
        <f t="shared" ref="D220:O220" si="46">D221</f>
        <v>416692</v>
      </c>
      <c r="E220" s="48">
        <f t="shared" si="46"/>
        <v>416692</v>
      </c>
      <c r="F220" s="48">
        <f t="shared" si="46"/>
        <v>0</v>
      </c>
      <c r="G220" s="48">
        <f t="shared" si="46"/>
        <v>257942</v>
      </c>
      <c r="H220" s="48">
        <f t="shared" si="46"/>
        <v>0</v>
      </c>
      <c r="I220" s="48">
        <f t="shared" si="46"/>
        <v>0</v>
      </c>
      <c r="J220" s="48">
        <f t="shared" si="46"/>
        <v>0</v>
      </c>
      <c r="K220" s="48">
        <f t="shared" si="46"/>
        <v>0</v>
      </c>
      <c r="L220" s="48">
        <f t="shared" si="46"/>
        <v>0</v>
      </c>
      <c r="M220" s="48">
        <f t="shared" si="46"/>
        <v>0</v>
      </c>
      <c r="N220" s="48">
        <f t="shared" si="46"/>
        <v>0</v>
      </c>
      <c r="O220" s="48">
        <f t="shared" si="46"/>
        <v>416692</v>
      </c>
    </row>
    <row r="221" spans="1:15" ht="22.5" customHeight="1" x14ac:dyDescent="0.25">
      <c r="A221" s="37" t="s">
        <v>246</v>
      </c>
      <c r="B221" s="42" t="s">
        <v>247</v>
      </c>
      <c r="C221" s="3" t="s">
        <v>248</v>
      </c>
      <c r="D221" s="49">
        <f>'дод 3'!E58+'дод 3'!E248</f>
        <v>416692</v>
      </c>
      <c r="E221" s="49">
        <f>'дод 3'!F58+'дод 3'!F248</f>
        <v>416692</v>
      </c>
      <c r="F221" s="49">
        <f>'дод 3'!G58+'дод 3'!G248</f>
        <v>0</v>
      </c>
      <c r="G221" s="49">
        <f>'дод 3'!H58+'дод 3'!H248</f>
        <v>257942</v>
      </c>
      <c r="H221" s="49">
        <f>'дод 3'!I58+'дод 3'!I248</f>
        <v>0</v>
      </c>
      <c r="I221" s="49">
        <f>'дод 3'!J58+'дод 3'!J248</f>
        <v>0</v>
      </c>
      <c r="J221" s="49">
        <f>'дод 3'!K58+'дод 3'!K248</f>
        <v>0</v>
      </c>
      <c r="K221" s="49">
        <f>'дод 3'!L58+'дод 3'!L248</f>
        <v>0</v>
      </c>
      <c r="L221" s="49">
        <f>'дод 3'!M58+'дод 3'!M248</f>
        <v>0</v>
      </c>
      <c r="M221" s="49">
        <f>'дод 3'!N58+'дод 3'!N248</f>
        <v>0</v>
      </c>
      <c r="N221" s="49">
        <f>'дод 3'!O58+'дод 3'!O248</f>
        <v>0</v>
      </c>
      <c r="O221" s="49">
        <f>'дод 3'!P58+'дод 3'!P248</f>
        <v>416692</v>
      </c>
    </row>
    <row r="222" spans="1:15" s="52" customFormat="1" ht="22.5" customHeight="1" x14ac:dyDescent="0.25">
      <c r="A222" s="38" t="s">
        <v>6</v>
      </c>
      <c r="B222" s="39"/>
      <c r="C222" s="2" t="s">
        <v>8</v>
      </c>
      <c r="D222" s="48">
        <f t="shared" ref="D222:O222" si="47">D224+D223</f>
        <v>75000</v>
      </c>
      <c r="E222" s="48">
        <f t="shared" si="47"/>
        <v>75000</v>
      </c>
      <c r="F222" s="48">
        <f t="shared" si="47"/>
        <v>0</v>
      </c>
      <c r="G222" s="48">
        <f t="shared" si="47"/>
        <v>0</v>
      </c>
      <c r="H222" s="48">
        <f t="shared" si="47"/>
        <v>0</v>
      </c>
      <c r="I222" s="48">
        <f t="shared" si="47"/>
        <v>4305000</v>
      </c>
      <c r="J222" s="48">
        <f t="shared" si="47"/>
        <v>0</v>
      </c>
      <c r="K222" s="48">
        <f t="shared" si="47"/>
        <v>2955100</v>
      </c>
      <c r="L222" s="48">
        <f t="shared" si="47"/>
        <v>0</v>
      </c>
      <c r="M222" s="48">
        <f t="shared" si="47"/>
        <v>0</v>
      </c>
      <c r="N222" s="48">
        <f t="shared" si="47"/>
        <v>1349900</v>
      </c>
      <c r="O222" s="48">
        <f t="shared" si="47"/>
        <v>4380000</v>
      </c>
    </row>
    <row r="223" spans="1:15" s="52" customFormat="1" ht="33.75" customHeight="1" x14ac:dyDescent="0.25">
      <c r="A223" s="37">
        <v>8330</v>
      </c>
      <c r="B223" s="59" t="s">
        <v>94</v>
      </c>
      <c r="C223" s="3" t="s">
        <v>350</v>
      </c>
      <c r="D223" s="49">
        <f>'дод 3'!E301</f>
        <v>75000</v>
      </c>
      <c r="E223" s="49">
        <f>'дод 3'!F301</f>
        <v>75000</v>
      </c>
      <c r="F223" s="49">
        <f>'дод 3'!G301</f>
        <v>0</v>
      </c>
      <c r="G223" s="49">
        <f>'дод 3'!H301</f>
        <v>0</v>
      </c>
      <c r="H223" s="49">
        <f>'дод 3'!I301</f>
        <v>0</v>
      </c>
      <c r="I223" s="49">
        <f>'дод 3'!J301</f>
        <v>0</v>
      </c>
      <c r="J223" s="49">
        <f>'дод 3'!K301</f>
        <v>0</v>
      </c>
      <c r="K223" s="49">
        <f>'дод 3'!L301</f>
        <v>0</v>
      </c>
      <c r="L223" s="49">
        <f>'дод 3'!M301</f>
        <v>0</v>
      </c>
      <c r="M223" s="49">
        <f>'дод 3'!N301</f>
        <v>0</v>
      </c>
      <c r="N223" s="49">
        <f>'дод 3'!O301</f>
        <v>0</v>
      </c>
      <c r="O223" s="49">
        <f>'дод 3'!P301</f>
        <v>75000</v>
      </c>
    </row>
    <row r="224" spans="1:15" s="52" customFormat="1" ht="19.5" customHeight="1" x14ac:dyDescent="0.25">
      <c r="A224" s="37" t="s">
        <v>9</v>
      </c>
      <c r="B224" s="37" t="s">
        <v>94</v>
      </c>
      <c r="C224" s="3" t="s">
        <v>10</v>
      </c>
      <c r="D224" s="49">
        <f>'дод 3'!E59+'дод 3'!E116+'дод 3'!E249+'дод 3'!E302</f>
        <v>0</v>
      </c>
      <c r="E224" s="49">
        <f>'дод 3'!F59+'дод 3'!F116+'дод 3'!F249+'дод 3'!F302</f>
        <v>0</v>
      </c>
      <c r="F224" s="49">
        <f>'дод 3'!G59+'дод 3'!G116+'дод 3'!G249+'дод 3'!G302</f>
        <v>0</v>
      </c>
      <c r="G224" s="49">
        <f>'дод 3'!H59+'дод 3'!H116+'дод 3'!H249+'дод 3'!H302</f>
        <v>0</v>
      </c>
      <c r="H224" s="49">
        <f>'дод 3'!I59+'дод 3'!I116+'дод 3'!I249+'дод 3'!I302</f>
        <v>0</v>
      </c>
      <c r="I224" s="49">
        <f>'дод 3'!J59+'дод 3'!J116+'дод 3'!J249+'дод 3'!J302</f>
        <v>4305000</v>
      </c>
      <c r="J224" s="49">
        <f>'дод 3'!K59+'дод 3'!K116+'дод 3'!K249+'дод 3'!K302</f>
        <v>0</v>
      </c>
      <c r="K224" s="49">
        <f>'дод 3'!L59+'дод 3'!L116+'дод 3'!L249+'дод 3'!L302</f>
        <v>2955100</v>
      </c>
      <c r="L224" s="49">
        <f>'дод 3'!M59+'дод 3'!M116+'дод 3'!M249+'дод 3'!M302</f>
        <v>0</v>
      </c>
      <c r="M224" s="49">
        <f>'дод 3'!N59+'дод 3'!N116+'дод 3'!N249+'дод 3'!N302</f>
        <v>0</v>
      </c>
      <c r="N224" s="49">
        <f>'дод 3'!O59+'дод 3'!O116+'дод 3'!O249+'дод 3'!O302</f>
        <v>1349900</v>
      </c>
      <c r="O224" s="49">
        <f>'дод 3'!P59+'дод 3'!P116+'дод 3'!P249+'дод 3'!P302</f>
        <v>4305000</v>
      </c>
    </row>
    <row r="225" spans="1:15" s="52" customFormat="1" ht="20.25" customHeight="1" x14ac:dyDescent="0.25">
      <c r="A225" s="38" t="s">
        <v>135</v>
      </c>
      <c r="B225" s="39"/>
      <c r="C225" s="2" t="s">
        <v>77</v>
      </c>
      <c r="D225" s="48">
        <f t="shared" ref="D225:O225" si="48">D226</f>
        <v>30000</v>
      </c>
      <c r="E225" s="48">
        <f t="shared" si="48"/>
        <v>30000</v>
      </c>
      <c r="F225" s="48">
        <f t="shared" si="48"/>
        <v>0</v>
      </c>
      <c r="G225" s="48">
        <f t="shared" si="48"/>
        <v>0</v>
      </c>
      <c r="H225" s="48">
        <f t="shared" si="48"/>
        <v>0</v>
      </c>
      <c r="I225" s="48">
        <f t="shared" si="48"/>
        <v>0</v>
      </c>
      <c r="J225" s="48">
        <f t="shared" si="48"/>
        <v>0</v>
      </c>
      <c r="K225" s="48">
        <f t="shared" si="48"/>
        <v>0</v>
      </c>
      <c r="L225" s="48">
        <f t="shared" si="48"/>
        <v>0</v>
      </c>
      <c r="M225" s="48">
        <f t="shared" si="48"/>
        <v>0</v>
      </c>
      <c r="N225" s="48">
        <f t="shared" si="48"/>
        <v>0</v>
      </c>
      <c r="O225" s="48">
        <f t="shared" si="48"/>
        <v>30000</v>
      </c>
    </row>
    <row r="226" spans="1:15" s="52" customFormat="1" ht="21" customHeight="1" x14ac:dyDescent="0.25">
      <c r="A226" s="37" t="s">
        <v>257</v>
      </c>
      <c r="B226" s="42" t="s">
        <v>78</v>
      </c>
      <c r="C226" s="3" t="s">
        <v>258</v>
      </c>
      <c r="D226" s="49">
        <f>'дод 3'!E60</f>
        <v>30000</v>
      </c>
      <c r="E226" s="49">
        <f>'дод 3'!F60</f>
        <v>30000</v>
      </c>
      <c r="F226" s="49">
        <f>'дод 3'!G60</f>
        <v>0</v>
      </c>
      <c r="G226" s="49">
        <f>'дод 3'!H60</f>
        <v>0</v>
      </c>
      <c r="H226" s="49">
        <f>'дод 3'!I60</f>
        <v>0</v>
      </c>
      <c r="I226" s="49">
        <f>'дод 3'!J60</f>
        <v>0</v>
      </c>
      <c r="J226" s="49">
        <f>'дод 3'!K60</f>
        <v>0</v>
      </c>
      <c r="K226" s="49">
        <f>'дод 3'!L60</f>
        <v>0</v>
      </c>
      <c r="L226" s="49">
        <f>'дод 3'!M60</f>
        <v>0</v>
      </c>
      <c r="M226" s="49">
        <f>'дод 3'!N60</f>
        <v>0</v>
      </c>
      <c r="N226" s="49">
        <f>'дод 3'!O60</f>
        <v>0</v>
      </c>
      <c r="O226" s="49">
        <f>'дод 3'!P60</f>
        <v>30000</v>
      </c>
    </row>
    <row r="227" spans="1:15" s="52" customFormat="1" ht="21" customHeight="1" x14ac:dyDescent="0.25">
      <c r="A227" s="38" t="s">
        <v>97</v>
      </c>
      <c r="B227" s="38" t="s">
        <v>92</v>
      </c>
      <c r="C227" s="2" t="s">
        <v>11</v>
      </c>
      <c r="D227" s="48">
        <f>'дод 3'!E303</f>
        <v>1964239</v>
      </c>
      <c r="E227" s="48">
        <f>'дод 3'!F303</f>
        <v>1964239</v>
      </c>
      <c r="F227" s="48">
        <f>'дод 3'!G303</f>
        <v>0</v>
      </c>
      <c r="G227" s="48">
        <f>'дод 3'!H303</f>
        <v>0</v>
      </c>
      <c r="H227" s="48">
        <f>'дод 3'!I303</f>
        <v>0</v>
      </c>
      <c r="I227" s="48">
        <f>'дод 3'!J303</f>
        <v>0</v>
      </c>
      <c r="J227" s="48">
        <f>'дод 3'!K303</f>
        <v>0</v>
      </c>
      <c r="K227" s="48">
        <f>'дод 3'!L303</f>
        <v>0</v>
      </c>
      <c r="L227" s="48">
        <f>'дод 3'!M303</f>
        <v>0</v>
      </c>
      <c r="M227" s="48">
        <f>'дод 3'!N303</f>
        <v>0</v>
      </c>
      <c r="N227" s="48">
        <f>'дод 3'!O303</f>
        <v>0</v>
      </c>
      <c r="O227" s="48">
        <f>'дод 3'!P303</f>
        <v>1964239</v>
      </c>
    </row>
    <row r="228" spans="1:15" s="52" customFormat="1" ht="25.5" customHeight="1" x14ac:dyDescent="0.25">
      <c r="A228" s="38">
        <v>8710</v>
      </c>
      <c r="B228" s="38" t="s">
        <v>95</v>
      </c>
      <c r="C228" s="2" t="s">
        <v>527</v>
      </c>
      <c r="D228" s="48">
        <f>'дод 3'!E304</f>
        <v>14026743.439999999</v>
      </c>
      <c r="E228" s="48">
        <f>'дод 3'!F304</f>
        <v>0</v>
      </c>
      <c r="F228" s="48">
        <f>'дод 3'!G304</f>
        <v>0</v>
      </c>
      <c r="G228" s="48">
        <f>'дод 3'!H304</f>
        <v>0</v>
      </c>
      <c r="H228" s="48">
        <f>'дод 3'!I304</f>
        <v>0</v>
      </c>
      <c r="I228" s="48">
        <f>'дод 3'!J304</f>
        <v>0</v>
      </c>
      <c r="J228" s="48">
        <f>'дод 3'!K304</f>
        <v>0</v>
      </c>
      <c r="K228" s="48">
        <f>'дод 3'!L304</f>
        <v>0</v>
      </c>
      <c r="L228" s="48">
        <f>'дод 3'!M304</f>
        <v>0</v>
      </c>
      <c r="M228" s="48">
        <f>'дод 3'!N304</f>
        <v>0</v>
      </c>
      <c r="N228" s="48">
        <f>'дод 3'!O304</f>
        <v>0</v>
      </c>
      <c r="O228" s="48">
        <f>'дод 3'!P304</f>
        <v>14026743.439999999</v>
      </c>
    </row>
    <row r="229" spans="1:15" s="52" customFormat="1" ht="24" customHeight="1" x14ac:dyDescent="0.25">
      <c r="A229" s="38" t="s">
        <v>12</v>
      </c>
      <c r="B229" s="38"/>
      <c r="C229" s="2" t="s">
        <v>562</v>
      </c>
      <c r="D229" s="48">
        <f>D231+D233+D237+D241</f>
        <v>200462443</v>
      </c>
      <c r="E229" s="48">
        <f t="shared" ref="E229:O229" si="49">E231+E233+E237+E241</f>
        <v>200462443</v>
      </c>
      <c r="F229" s="48">
        <f t="shared" si="49"/>
        <v>0</v>
      </c>
      <c r="G229" s="48">
        <f t="shared" si="49"/>
        <v>0</v>
      </c>
      <c r="H229" s="48">
        <f t="shared" si="49"/>
        <v>0</v>
      </c>
      <c r="I229" s="48">
        <f t="shared" si="49"/>
        <v>30582619.600000001</v>
      </c>
      <c r="J229" s="48">
        <f t="shared" si="49"/>
        <v>30582619.600000001</v>
      </c>
      <c r="K229" s="48">
        <f t="shared" si="49"/>
        <v>0</v>
      </c>
      <c r="L229" s="48">
        <f t="shared" si="49"/>
        <v>0</v>
      </c>
      <c r="M229" s="48">
        <f t="shared" si="49"/>
        <v>0</v>
      </c>
      <c r="N229" s="48">
        <f t="shared" si="49"/>
        <v>30582619.600000001</v>
      </c>
      <c r="O229" s="48">
        <f t="shared" si="49"/>
        <v>231045062.59999999</v>
      </c>
    </row>
    <row r="230" spans="1:15" s="52" customFormat="1" ht="36.75" customHeight="1" x14ac:dyDescent="0.25">
      <c r="A230" s="38"/>
      <c r="B230" s="38"/>
      <c r="C230" s="81" t="s">
        <v>558</v>
      </c>
      <c r="D230" s="80">
        <f>D234</f>
        <v>693000</v>
      </c>
      <c r="E230" s="80">
        <f t="shared" ref="E230:O230" si="50">E234</f>
        <v>693000</v>
      </c>
      <c r="F230" s="80">
        <f t="shared" si="50"/>
        <v>0</v>
      </c>
      <c r="G230" s="80">
        <f t="shared" si="50"/>
        <v>0</v>
      </c>
      <c r="H230" s="80">
        <f t="shared" si="50"/>
        <v>0</v>
      </c>
      <c r="I230" s="80">
        <f t="shared" si="50"/>
        <v>3307000</v>
      </c>
      <c r="J230" s="80">
        <f t="shared" si="50"/>
        <v>3307000</v>
      </c>
      <c r="K230" s="80">
        <f t="shared" si="50"/>
        <v>0</v>
      </c>
      <c r="L230" s="80">
        <f t="shared" si="50"/>
        <v>0</v>
      </c>
      <c r="M230" s="80">
        <f t="shared" si="50"/>
        <v>0</v>
      </c>
      <c r="N230" s="80">
        <f t="shared" si="50"/>
        <v>3307000</v>
      </c>
      <c r="O230" s="80">
        <f t="shared" si="50"/>
        <v>4000000</v>
      </c>
    </row>
    <row r="231" spans="1:15" s="52" customFormat="1" ht="21.75" customHeight="1" x14ac:dyDescent="0.25">
      <c r="A231" s="38" t="s">
        <v>255</v>
      </c>
      <c r="B231" s="38"/>
      <c r="C231" s="2" t="s">
        <v>300</v>
      </c>
      <c r="D231" s="48">
        <f t="shared" ref="D231:O231" si="51">D232</f>
        <v>100870700</v>
      </c>
      <c r="E231" s="48">
        <f t="shared" si="51"/>
        <v>100870700</v>
      </c>
      <c r="F231" s="48">
        <f t="shared" si="51"/>
        <v>0</v>
      </c>
      <c r="G231" s="48">
        <f t="shared" si="51"/>
        <v>0</v>
      </c>
      <c r="H231" s="48">
        <f t="shared" si="51"/>
        <v>0</v>
      </c>
      <c r="I231" s="48">
        <f t="shared" si="51"/>
        <v>0</v>
      </c>
      <c r="J231" s="48">
        <f t="shared" si="51"/>
        <v>0</v>
      </c>
      <c r="K231" s="48">
        <f t="shared" si="51"/>
        <v>0</v>
      </c>
      <c r="L231" s="48">
        <f t="shared" si="51"/>
        <v>0</v>
      </c>
      <c r="M231" s="48">
        <f t="shared" si="51"/>
        <v>0</v>
      </c>
      <c r="N231" s="48">
        <f t="shared" si="51"/>
        <v>0</v>
      </c>
      <c r="O231" s="48">
        <f t="shared" si="51"/>
        <v>100870700</v>
      </c>
    </row>
    <row r="232" spans="1:15" s="52" customFormat="1" ht="21" customHeight="1" x14ac:dyDescent="0.25">
      <c r="A232" s="37" t="s">
        <v>93</v>
      </c>
      <c r="B232" s="42" t="s">
        <v>46</v>
      </c>
      <c r="C232" s="3" t="s">
        <v>112</v>
      </c>
      <c r="D232" s="49">
        <f>'дод 3'!E305</f>
        <v>100870700</v>
      </c>
      <c r="E232" s="49">
        <f>'дод 3'!F305</f>
        <v>100870700</v>
      </c>
      <c r="F232" s="49">
        <f>'дод 3'!G305</f>
        <v>0</v>
      </c>
      <c r="G232" s="49">
        <f>'дод 3'!H305</f>
        <v>0</v>
      </c>
      <c r="H232" s="49">
        <f>'дод 3'!I305</f>
        <v>0</v>
      </c>
      <c r="I232" s="49">
        <f>'дод 3'!J305</f>
        <v>0</v>
      </c>
      <c r="J232" s="49">
        <f>'дод 3'!K305</f>
        <v>0</v>
      </c>
      <c r="K232" s="49">
        <f>'дод 3'!L305</f>
        <v>0</v>
      </c>
      <c r="L232" s="49">
        <f>'дод 3'!M305</f>
        <v>0</v>
      </c>
      <c r="M232" s="49">
        <f>'дод 3'!N305</f>
        <v>0</v>
      </c>
      <c r="N232" s="49">
        <f>'дод 3'!O305</f>
        <v>0</v>
      </c>
      <c r="O232" s="49">
        <f>'дод 3'!P305</f>
        <v>100870700</v>
      </c>
    </row>
    <row r="233" spans="1:15" s="52" customFormat="1" ht="69" customHeight="1" x14ac:dyDescent="0.25">
      <c r="A233" s="38">
        <v>9300</v>
      </c>
      <c r="B233" s="110"/>
      <c r="C233" s="2" t="s">
        <v>555</v>
      </c>
      <c r="D233" s="48">
        <f>D235</f>
        <v>693000</v>
      </c>
      <c r="E233" s="48">
        <f t="shared" ref="E233:O233" si="52">E235</f>
        <v>693000</v>
      </c>
      <c r="F233" s="48">
        <f t="shared" si="52"/>
        <v>0</v>
      </c>
      <c r="G233" s="48">
        <f t="shared" si="52"/>
        <v>0</v>
      </c>
      <c r="H233" s="48">
        <f t="shared" si="52"/>
        <v>0</v>
      </c>
      <c r="I233" s="48">
        <f t="shared" si="52"/>
        <v>3307000</v>
      </c>
      <c r="J233" s="48">
        <f t="shared" si="52"/>
        <v>3307000</v>
      </c>
      <c r="K233" s="48">
        <f t="shared" si="52"/>
        <v>0</v>
      </c>
      <c r="L233" s="48">
        <f t="shared" si="52"/>
        <v>0</v>
      </c>
      <c r="M233" s="48">
        <f t="shared" si="52"/>
        <v>0</v>
      </c>
      <c r="N233" s="48">
        <f t="shared" si="52"/>
        <v>3307000</v>
      </c>
      <c r="O233" s="48">
        <f t="shared" si="52"/>
        <v>4000000</v>
      </c>
    </row>
    <row r="234" spans="1:15" s="52" customFormat="1" ht="36.75" customHeight="1" x14ac:dyDescent="0.25">
      <c r="A234" s="38"/>
      <c r="B234" s="107"/>
      <c r="C234" s="81" t="s">
        <v>558</v>
      </c>
      <c r="D234" s="80">
        <f>D236</f>
        <v>693000</v>
      </c>
      <c r="E234" s="80">
        <f t="shared" ref="E234:O234" si="53">E236</f>
        <v>693000</v>
      </c>
      <c r="F234" s="80">
        <f t="shared" si="53"/>
        <v>0</v>
      </c>
      <c r="G234" s="80">
        <f t="shared" si="53"/>
        <v>0</v>
      </c>
      <c r="H234" s="80">
        <f t="shared" si="53"/>
        <v>0</v>
      </c>
      <c r="I234" s="80">
        <f t="shared" si="53"/>
        <v>3307000</v>
      </c>
      <c r="J234" s="80">
        <f t="shared" si="53"/>
        <v>3307000</v>
      </c>
      <c r="K234" s="80">
        <f t="shared" si="53"/>
        <v>0</v>
      </c>
      <c r="L234" s="80">
        <f t="shared" si="53"/>
        <v>0</v>
      </c>
      <c r="M234" s="80">
        <f t="shared" si="53"/>
        <v>0</v>
      </c>
      <c r="N234" s="80">
        <f t="shared" si="53"/>
        <v>3307000</v>
      </c>
      <c r="O234" s="80">
        <f t="shared" si="53"/>
        <v>4000000</v>
      </c>
    </row>
    <row r="235" spans="1:15" s="52" customFormat="1" ht="53.25" customHeight="1" x14ac:dyDescent="0.25">
      <c r="A235" s="37">
        <v>9320</v>
      </c>
      <c r="B235" s="107" t="s">
        <v>46</v>
      </c>
      <c r="C235" s="6" t="s">
        <v>556</v>
      </c>
      <c r="D235" s="49">
        <f>'дод 3'!E117</f>
        <v>693000</v>
      </c>
      <c r="E235" s="49">
        <f>'дод 3'!F117</f>
        <v>693000</v>
      </c>
      <c r="F235" s="49">
        <f>'дод 3'!G117</f>
        <v>0</v>
      </c>
      <c r="G235" s="49">
        <f>'дод 3'!H117</f>
        <v>0</v>
      </c>
      <c r="H235" s="49">
        <f>'дод 3'!I117</f>
        <v>0</v>
      </c>
      <c r="I235" s="49">
        <f>'дод 3'!J117</f>
        <v>3307000</v>
      </c>
      <c r="J235" s="49">
        <f>'дод 3'!K117</f>
        <v>3307000</v>
      </c>
      <c r="K235" s="49">
        <f>'дод 3'!L117</f>
        <v>0</v>
      </c>
      <c r="L235" s="49">
        <f>'дод 3'!M117</f>
        <v>0</v>
      </c>
      <c r="M235" s="49">
        <f>'дод 3'!N117</f>
        <v>0</v>
      </c>
      <c r="N235" s="49">
        <f>'дод 3'!O117</f>
        <v>3307000</v>
      </c>
      <c r="O235" s="49">
        <f>'дод 3'!P117</f>
        <v>4000000</v>
      </c>
    </row>
    <row r="236" spans="1:15" s="53" customFormat="1" ht="36.75" customHeight="1" x14ac:dyDescent="0.25">
      <c r="A236" s="82"/>
      <c r="B236" s="109"/>
      <c r="C236" s="91" t="s">
        <v>558</v>
      </c>
      <c r="D236" s="84">
        <f>'дод 3'!E118</f>
        <v>693000</v>
      </c>
      <c r="E236" s="84">
        <f>'дод 3'!F118</f>
        <v>693000</v>
      </c>
      <c r="F236" s="84">
        <f>'дод 3'!G118</f>
        <v>0</v>
      </c>
      <c r="G236" s="84">
        <f>'дод 3'!H118</f>
        <v>0</v>
      </c>
      <c r="H236" s="84">
        <f>'дод 3'!I118</f>
        <v>0</v>
      </c>
      <c r="I236" s="84">
        <f>'дод 3'!J118</f>
        <v>3307000</v>
      </c>
      <c r="J236" s="84">
        <f>'дод 3'!K118</f>
        <v>3307000</v>
      </c>
      <c r="K236" s="84">
        <f>'дод 3'!L118</f>
        <v>0</v>
      </c>
      <c r="L236" s="84">
        <f>'дод 3'!M118</f>
        <v>0</v>
      </c>
      <c r="M236" s="84">
        <f>'дод 3'!N118</f>
        <v>0</v>
      </c>
      <c r="N236" s="84">
        <f>'дод 3'!O118</f>
        <v>3307000</v>
      </c>
      <c r="O236" s="84">
        <f>'дод 3'!P118</f>
        <v>4000000</v>
      </c>
    </row>
    <row r="237" spans="1:15" s="52" customFormat="1" ht="57.75" customHeight="1" x14ac:dyDescent="0.25">
      <c r="A237" s="38" t="s">
        <v>13</v>
      </c>
      <c r="B237" s="110"/>
      <c r="C237" s="2" t="s">
        <v>349</v>
      </c>
      <c r="D237" s="48">
        <f>D238+D239+D240</f>
        <v>96855344</v>
      </c>
      <c r="E237" s="48">
        <f t="shared" ref="E237:O237" si="54">E238+E239+E240</f>
        <v>96855344</v>
      </c>
      <c r="F237" s="48">
        <f t="shared" si="54"/>
        <v>0</v>
      </c>
      <c r="G237" s="48">
        <f t="shared" si="54"/>
        <v>0</v>
      </c>
      <c r="H237" s="48">
        <f t="shared" si="54"/>
        <v>0</v>
      </c>
      <c r="I237" s="48">
        <f t="shared" si="54"/>
        <v>25792619.600000001</v>
      </c>
      <c r="J237" s="48">
        <f t="shared" si="54"/>
        <v>25792619.600000001</v>
      </c>
      <c r="K237" s="48">
        <f t="shared" si="54"/>
        <v>0</v>
      </c>
      <c r="L237" s="48">
        <f t="shared" si="54"/>
        <v>0</v>
      </c>
      <c r="M237" s="48">
        <f t="shared" si="54"/>
        <v>0</v>
      </c>
      <c r="N237" s="48">
        <f t="shared" si="54"/>
        <v>25792619.600000001</v>
      </c>
      <c r="O237" s="48">
        <f t="shared" si="54"/>
        <v>122647963.59999999</v>
      </c>
    </row>
    <row r="238" spans="1:15" s="52" customFormat="1" ht="78.75" x14ac:dyDescent="0.25">
      <c r="A238" s="97">
        <v>9730</v>
      </c>
      <c r="B238" s="60" t="s">
        <v>46</v>
      </c>
      <c r="C238" s="61" t="s">
        <v>595</v>
      </c>
      <c r="D238" s="49">
        <f>'дод 3'!E250</f>
        <v>25000000</v>
      </c>
      <c r="E238" s="49">
        <f>'дод 3'!F250</f>
        <v>25000000</v>
      </c>
      <c r="F238" s="49">
        <f>'дод 3'!G250</f>
        <v>0</v>
      </c>
      <c r="G238" s="49">
        <f>'дод 3'!H250</f>
        <v>0</v>
      </c>
      <c r="H238" s="49">
        <f>'дод 3'!I250</f>
        <v>0</v>
      </c>
      <c r="I238" s="49">
        <f>'дод 3'!J250</f>
        <v>0</v>
      </c>
      <c r="J238" s="49">
        <f>'дод 3'!K250</f>
        <v>0</v>
      </c>
      <c r="K238" s="49">
        <f>'дод 3'!L250</f>
        <v>0</v>
      </c>
      <c r="L238" s="49">
        <f>'дод 3'!M250</f>
        <v>0</v>
      </c>
      <c r="M238" s="49">
        <f>'дод 3'!N250</f>
        <v>0</v>
      </c>
      <c r="N238" s="49">
        <f>'дод 3'!O250</f>
        <v>0</v>
      </c>
      <c r="O238" s="49">
        <f>'дод 3'!P250</f>
        <v>25000000</v>
      </c>
    </row>
    <row r="239" spans="1:15" ht="31.5" x14ac:dyDescent="0.25">
      <c r="A239" s="37">
        <v>9750</v>
      </c>
      <c r="B239" s="42" t="s">
        <v>46</v>
      </c>
      <c r="C239" s="61" t="s">
        <v>544</v>
      </c>
      <c r="D239" s="49">
        <f>'дод 3'!E274</f>
        <v>0</v>
      </c>
      <c r="E239" s="49">
        <f>'дод 3'!F274</f>
        <v>0</v>
      </c>
      <c r="F239" s="49">
        <f>'дод 3'!G274</f>
        <v>0</v>
      </c>
      <c r="G239" s="49">
        <f>'дод 3'!H274</f>
        <v>0</v>
      </c>
      <c r="H239" s="49">
        <f>'дод 3'!I274</f>
        <v>0</v>
      </c>
      <c r="I239" s="49">
        <f>'дод 3'!J274</f>
        <v>86000</v>
      </c>
      <c r="J239" s="49">
        <f>'дод 3'!K274</f>
        <v>86000</v>
      </c>
      <c r="K239" s="49">
        <f>'дод 3'!L274</f>
        <v>0</v>
      </c>
      <c r="L239" s="49">
        <f>'дод 3'!M274</f>
        <v>0</v>
      </c>
      <c r="M239" s="49">
        <f>'дод 3'!N274</f>
        <v>0</v>
      </c>
      <c r="N239" s="49">
        <f>'дод 3'!O274</f>
        <v>86000</v>
      </c>
      <c r="O239" s="49">
        <f>'дод 3'!P274</f>
        <v>86000</v>
      </c>
    </row>
    <row r="240" spans="1:15" s="52" customFormat="1" ht="22.5" customHeight="1" x14ac:dyDescent="0.25">
      <c r="A240" s="37" t="s">
        <v>14</v>
      </c>
      <c r="B240" s="42" t="s">
        <v>46</v>
      </c>
      <c r="C240" s="6" t="s">
        <v>358</v>
      </c>
      <c r="D240" s="49">
        <f>'дод 3'!E119+'дод 3'!E154+'дод 3'!E195+'дод 3'!E251</f>
        <v>71855344</v>
      </c>
      <c r="E240" s="49">
        <f>'дод 3'!F119+'дод 3'!F154+'дод 3'!F195+'дод 3'!F251</f>
        <v>71855344</v>
      </c>
      <c r="F240" s="49">
        <f>'дод 3'!G119+'дод 3'!G154+'дод 3'!G195+'дод 3'!G251</f>
        <v>0</v>
      </c>
      <c r="G240" s="49">
        <f>'дод 3'!H119+'дод 3'!H154+'дод 3'!H195+'дод 3'!H251</f>
        <v>0</v>
      </c>
      <c r="H240" s="49">
        <f>'дод 3'!I119+'дод 3'!I154+'дод 3'!I195+'дод 3'!I251</f>
        <v>0</v>
      </c>
      <c r="I240" s="49">
        <f>'дод 3'!J119+'дод 3'!J154+'дод 3'!J195+'дод 3'!J251</f>
        <v>25706619.600000001</v>
      </c>
      <c r="J240" s="49">
        <f>'дод 3'!K119+'дод 3'!K154+'дод 3'!K195+'дод 3'!K251</f>
        <v>25706619.600000001</v>
      </c>
      <c r="K240" s="49">
        <f>'дод 3'!L119+'дод 3'!L154+'дод 3'!L195+'дод 3'!L251</f>
        <v>0</v>
      </c>
      <c r="L240" s="49">
        <f>'дод 3'!M119+'дод 3'!M154+'дод 3'!M195+'дод 3'!M251</f>
        <v>0</v>
      </c>
      <c r="M240" s="49">
        <f>'дод 3'!N119+'дод 3'!N154+'дод 3'!N195+'дод 3'!N251</f>
        <v>0</v>
      </c>
      <c r="N240" s="49">
        <f>'дод 3'!O119+'дод 3'!O154+'дод 3'!O195+'дод 3'!O251</f>
        <v>25706619.600000001</v>
      </c>
      <c r="O240" s="49">
        <f>'дод 3'!P119+'дод 3'!P154+'дод 3'!P195+'дод 3'!P251</f>
        <v>97561963.599999994</v>
      </c>
    </row>
    <row r="241" spans="1:513" s="52" customFormat="1" ht="51" customHeight="1" x14ac:dyDescent="0.25">
      <c r="A241" s="38">
        <v>9800</v>
      </c>
      <c r="B241" s="39" t="s">
        <v>46</v>
      </c>
      <c r="C241" s="9" t="s">
        <v>369</v>
      </c>
      <c r="D241" s="48">
        <f>'дод 3'!E120+'дод 3'!E61</f>
        <v>2043399</v>
      </c>
      <c r="E241" s="48">
        <f>'дод 3'!F120+'дод 3'!F61</f>
        <v>2043399</v>
      </c>
      <c r="F241" s="48">
        <f>'дод 3'!G120+'дод 3'!G61</f>
        <v>0</v>
      </c>
      <c r="G241" s="48">
        <f>'дод 3'!H120+'дод 3'!H61</f>
        <v>0</v>
      </c>
      <c r="H241" s="48">
        <f>'дод 3'!I120+'дод 3'!I61</f>
        <v>0</v>
      </c>
      <c r="I241" s="48">
        <f>'дод 3'!J120+'дод 3'!J61</f>
        <v>1483000</v>
      </c>
      <c r="J241" s="48">
        <f>'дод 3'!K120+'дод 3'!K61</f>
        <v>1483000</v>
      </c>
      <c r="K241" s="48">
        <f>'дод 3'!L120+'дод 3'!L61</f>
        <v>0</v>
      </c>
      <c r="L241" s="48">
        <f>'дод 3'!M120+'дод 3'!M61</f>
        <v>0</v>
      </c>
      <c r="M241" s="48">
        <f>'дод 3'!N120+'дод 3'!N61</f>
        <v>0</v>
      </c>
      <c r="N241" s="48">
        <f>'дод 3'!O120+'дод 3'!O61</f>
        <v>1483000</v>
      </c>
      <c r="O241" s="48">
        <f>'дод 3'!P120+'дод 3'!P61</f>
        <v>3526399</v>
      </c>
    </row>
    <row r="242" spans="1:513" s="52" customFormat="1" ht="18.75" customHeight="1" x14ac:dyDescent="0.25">
      <c r="A242" s="7"/>
      <c r="B242" s="7"/>
      <c r="C242" s="2" t="s">
        <v>410</v>
      </c>
      <c r="D242" s="48">
        <f>D17+D24+D74+D95+D136+D141+D150+D162+D213+D229</f>
        <v>2297140162.4499998</v>
      </c>
      <c r="E242" s="48">
        <f t="shared" ref="E242:O242" si="55">E17+E24+E74+E95+E136+E141+E150+E162+E213+E229</f>
        <v>2197272264.5299997</v>
      </c>
      <c r="F242" s="48">
        <f t="shared" si="55"/>
        <v>1079219630</v>
      </c>
      <c r="G242" s="48">
        <f t="shared" si="55"/>
        <v>107607651</v>
      </c>
      <c r="H242" s="48">
        <f t="shared" si="55"/>
        <v>85841154.480000004</v>
      </c>
      <c r="I242" s="48">
        <f t="shared" si="55"/>
        <v>713432455.55999994</v>
      </c>
      <c r="J242" s="48">
        <f t="shared" si="55"/>
        <v>648359161.03999996</v>
      </c>
      <c r="K242" s="48">
        <f t="shared" si="55"/>
        <v>47765901.869999997</v>
      </c>
      <c r="L242" s="48">
        <f t="shared" si="55"/>
        <v>6033355</v>
      </c>
      <c r="M242" s="48">
        <f t="shared" si="55"/>
        <v>266522</v>
      </c>
      <c r="N242" s="48">
        <f t="shared" si="55"/>
        <v>665666553.68999994</v>
      </c>
      <c r="O242" s="48">
        <f t="shared" si="55"/>
        <v>3010572618.0099998</v>
      </c>
    </row>
    <row r="243" spans="1:513" s="53" customFormat="1" ht="18" customHeight="1" x14ac:dyDescent="0.25">
      <c r="A243" s="90"/>
      <c r="B243" s="90"/>
      <c r="C243" s="79" t="s">
        <v>403</v>
      </c>
      <c r="D243" s="80">
        <f>D25+D32+D186+D230+D169</f>
        <v>485377355.60000002</v>
      </c>
      <c r="E243" s="80">
        <f t="shared" ref="E243:O243" si="56">E25+E32+E186+E230+E169</f>
        <v>485377355.60000002</v>
      </c>
      <c r="F243" s="80">
        <f t="shared" si="56"/>
        <v>396066000</v>
      </c>
      <c r="G243" s="80">
        <f t="shared" si="56"/>
        <v>0</v>
      </c>
      <c r="H243" s="80">
        <f t="shared" si="56"/>
        <v>0</v>
      </c>
      <c r="I243" s="80">
        <f t="shared" si="56"/>
        <v>14076649.18</v>
      </c>
      <c r="J243" s="80">
        <f t="shared" si="56"/>
        <v>14076649.18</v>
      </c>
      <c r="K243" s="80">
        <f t="shared" si="56"/>
        <v>0</v>
      </c>
      <c r="L243" s="80">
        <f t="shared" si="56"/>
        <v>0</v>
      </c>
      <c r="M243" s="80">
        <f t="shared" si="56"/>
        <v>0</v>
      </c>
      <c r="N243" s="80">
        <f t="shared" si="56"/>
        <v>14076649.18</v>
      </c>
      <c r="O243" s="80">
        <f t="shared" si="56"/>
        <v>499454004.77999997</v>
      </c>
    </row>
    <row r="244" spans="1:513" s="53" customFormat="1" ht="31.5" x14ac:dyDescent="0.25">
      <c r="A244" s="90"/>
      <c r="B244" s="90"/>
      <c r="C244" s="79" t="s">
        <v>404</v>
      </c>
      <c r="D244" s="80">
        <f>D26+D27+D29+D98+D99+D100+D219+D31+D77+D142+D33+D34</f>
        <v>30695366.240000002</v>
      </c>
      <c r="E244" s="80">
        <f t="shared" ref="E244:O244" si="57">E26+E27+E29+E98+E99+E100+E219+E31+E77+E142+E33+E34</f>
        <v>30695366.240000002</v>
      </c>
      <c r="F244" s="80">
        <f t="shared" si="57"/>
        <v>4133559</v>
      </c>
      <c r="G244" s="80">
        <f t="shared" si="57"/>
        <v>0</v>
      </c>
      <c r="H244" s="80">
        <f t="shared" si="57"/>
        <v>0</v>
      </c>
      <c r="I244" s="80">
        <f t="shared" si="57"/>
        <v>7933192.0499999998</v>
      </c>
      <c r="J244" s="80">
        <f t="shared" si="57"/>
        <v>7933192.0499999998</v>
      </c>
      <c r="K244" s="80">
        <f t="shared" si="57"/>
        <v>0</v>
      </c>
      <c r="L244" s="80">
        <f t="shared" si="57"/>
        <v>0</v>
      </c>
      <c r="M244" s="80">
        <f t="shared" si="57"/>
        <v>0</v>
      </c>
      <c r="N244" s="80">
        <f t="shared" si="57"/>
        <v>7933192.0499999998</v>
      </c>
      <c r="O244" s="80">
        <f t="shared" si="57"/>
        <v>38628558.289999999</v>
      </c>
    </row>
    <row r="245" spans="1:513" s="53" customFormat="1" ht="23.25" customHeight="1" x14ac:dyDescent="0.25">
      <c r="A245" s="75"/>
      <c r="B245" s="75"/>
      <c r="C245" s="87" t="s">
        <v>421</v>
      </c>
      <c r="D245" s="80">
        <f>D165</f>
        <v>0</v>
      </c>
      <c r="E245" s="80">
        <f t="shared" ref="E245:O245" si="58">E165</f>
        <v>0</v>
      </c>
      <c r="F245" s="80">
        <f t="shared" si="58"/>
        <v>0</v>
      </c>
      <c r="G245" s="80">
        <f t="shared" si="58"/>
        <v>0</v>
      </c>
      <c r="H245" s="80">
        <f t="shared" si="58"/>
        <v>0</v>
      </c>
      <c r="I245" s="80">
        <f t="shared" si="58"/>
        <v>127771665.12</v>
      </c>
      <c r="J245" s="80">
        <f t="shared" si="58"/>
        <v>127771665.12</v>
      </c>
      <c r="K245" s="80">
        <f t="shared" si="58"/>
        <v>0</v>
      </c>
      <c r="L245" s="80">
        <f t="shared" si="58"/>
        <v>0</v>
      </c>
      <c r="M245" s="80">
        <f t="shared" si="58"/>
        <v>0</v>
      </c>
      <c r="N245" s="80">
        <f t="shared" si="58"/>
        <v>127771665.12</v>
      </c>
      <c r="O245" s="80">
        <f t="shared" si="58"/>
        <v>127771665.12</v>
      </c>
    </row>
    <row r="246" spans="1:513" s="52" customFormat="1" ht="30.75" customHeight="1" x14ac:dyDescent="0.25">
      <c r="A246" s="67"/>
      <c r="B246" s="67"/>
      <c r="C246" s="68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</row>
    <row r="247" spans="1:513" s="52" customFormat="1" ht="33.75" customHeight="1" x14ac:dyDescent="0.25">
      <c r="A247" s="67"/>
      <c r="B247" s="67"/>
      <c r="C247" s="68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</row>
    <row r="248" spans="1:513" s="52" customFormat="1" ht="31.5" customHeight="1" x14ac:dyDescent="0.55000000000000004">
      <c r="A248" s="67"/>
      <c r="B248" s="67"/>
      <c r="C248" s="68"/>
      <c r="D248" s="69"/>
      <c r="E248" s="69"/>
      <c r="F248" s="69"/>
      <c r="G248" s="69"/>
      <c r="H248" s="69"/>
      <c r="I248" s="69"/>
      <c r="J248" s="149"/>
      <c r="K248" s="69"/>
      <c r="L248" s="69"/>
      <c r="M248" s="69"/>
      <c r="N248" s="69"/>
      <c r="O248" s="69"/>
    </row>
    <row r="249" spans="1:513" s="52" customFormat="1" ht="37.5" customHeight="1" x14ac:dyDescent="0.55000000000000004">
      <c r="A249" s="67"/>
      <c r="B249" s="67"/>
      <c r="C249" s="68"/>
      <c r="D249" s="69"/>
      <c r="E249" s="69"/>
      <c r="F249" s="69"/>
      <c r="G249" s="69"/>
      <c r="H249" s="69"/>
      <c r="I249" s="69"/>
      <c r="J249" s="149"/>
      <c r="K249" s="69"/>
      <c r="L249" s="69"/>
      <c r="M249" s="69"/>
      <c r="N249" s="69"/>
      <c r="O249" s="69"/>
    </row>
    <row r="250" spans="1:513" s="161" customFormat="1" ht="47.25" customHeight="1" x14ac:dyDescent="0.55000000000000004">
      <c r="A250" s="158" t="s">
        <v>476</v>
      </c>
      <c r="B250" s="159"/>
      <c r="C250" s="160"/>
      <c r="D250" s="149"/>
      <c r="E250" s="149"/>
      <c r="F250" s="149"/>
      <c r="G250" s="149"/>
      <c r="H250" s="149"/>
      <c r="I250" s="149"/>
      <c r="J250" s="47"/>
      <c r="K250" s="149"/>
      <c r="L250" s="149" t="s">
        <v>477</v>
      </c>
      <c r="M250" s="150"/>
      <c r="N250" s="150"/>
      <c r="O250" s="150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  <c r="Z250" s="162"/>
      <c r="AA250" s="162"/>
      <c r="AB250" s="162"/>
      <c r="AC250" s="162"/>
      <c r="AD250" s="162"/>
      <c r="AE250" s="162"/>
      <c r="AF250" s="162"/>
      <c r="AG250" s="162"/>
      <c r="AH250" s="162"/>
      <c r="AI250" s="162"/>
      <c r="AJ250" s="162"/>
      <c r="AK250" s="162"/>
      <c r="AL250" s="162"/>
      <c r="AM250" s="162"/>
      <c r="AN250" s="162"/>
      <c r="AO250" s="162"/>
      <c r="AP250" s="162"/>
      <c r="AQ250" s="162"/>
      <c r="AR250" s="162"/>
      <c r="AS250" s="162"/>
      <c r="AT250" s="162"/>
      <c r="AU250" s="162"/>
      <c r="AV250" s="162"/>
      <c r="AW250" s="162"/>
      <c r="AX250" s="162"/>
      <c r="AY250" s="162"/>
      <c r="AZ250" s="162"/>
      <c r="BA250" s="162"/>
      <c r="BB250" s="162"/>
      <c r="BC250" s="162"/>
      <c r="BD250" s="162"/>
      <c r="BE250" s="162"/>
      <c r="BF250" s="162"/>
      <c r="BG250" s="162"/>
      <c r="BH250" s="162"/>
      <c r="BI250" s="162"/>
      <c r="BJ250" s="162"/>
      <c r="BK250" s="162"/>
      <c r="BL250" s="162"/>
      <c r="BM250" s="162"/>
      <c r="BN250" s="162"/>
      <c r="BO250" s="162"/>
      <c r="BP250" s="162"/>
      <c r="BQ250" s="162"/>
      <c r="BR250" s="162"/>
      <c r="BS250" s="162"/>
      <c r="BT250" s="162"/>
      <c r="BU250" s="162"/>
      <c r="BV250" s="162"/>
      <c r="BW250" s="162"/>
      <c r="BX250" s="162"/>
      <c r="BY250" s="162"/>
      <c r="BZ250" s="162"/>
      <c r="CA250" s="162"/>
      <c r="CB250" s="162"/>
      <c r="CC250" s="162"/>
      <c r="CD250" s="162"/>
      <c r="CE250" s="162"/>
      <c r="CF250" s="162"/>
      <c r="CG250" s="162"/>
      <c r="CH250" s="162"/>
      <c r="CI250" s="162"/>
      <c r="CJ250" s="162"/>
      <c r="CK250" s="162"/>
      <c r="CL250" s="162"/>
      <c r="CM250" s="162"/>
      <c r="CN250" s="162"/>
      <c r="CO250" s="162"/>
      <c r="CP250" s="162"/>
      <c r="CQ250" s="162"/>
      <c r="CR250" s="162"/>
      <c r="CS250" s="162"/>
      <c r="CT250" s="162"/>
      <c r="CU250" s="162"/>
      <c r="CV250" s="162"/>
      <c r="CW250" s="162"/>
      <c r="CX250" s="162"/>
      <c r="CY250" s="162"/>
      <c r="CZ250" s="162"/>
      <c r="DA250" s="162"/>
      <c r="DB250" s="162"/>
      <c r="DC250" s="162"/>
      <c r="DD250" s="162"/>
      <c r="DE250" s="162"/>
      <c r="DF250" s="162"/>
      <c r="DG250" s="162"/>
      <c r="DH250" s="162"/>
      <c r="DI250" s="162"/>
      <c r="DJ250" s="162"/>
      <c r="DK250" s="162"/>
      <c r="DL250" s="162"/>
      <c r="DM250" s="162"/>
      <c r="DN250" s="162"/>
      <c r="DO250" s="162"/>
      <c r="DP250" s="162"/>
      <c r="DQ250" s="162"/>
      <c r="DR250" s="162"/>
      <c r="DS250" s="162"/>
      <c r="DT250" s="162"/>
      <c r="DU250" s="162"/>
      <c r="DV250" s="162"/>
      <c r="DW250" s="162"/>
      <c r="DX250" s="162"/>
      <c r="DY250" s="162"/>
      <c r="DZ250" s="162"/>
      <c r="EA250" s="162"/>
      <c r="EB250" s="162"/>
      <c r="EC250" s="162"/>
      <c r="ED250" s="162"/>
      <c r="EE250" s="162"/>
      <c r="EF250" s="162"/>
      <c r="EG250" s="162"/>
      <c r="EH250" s="162"/>
      <c r="EI250" s="162"/>
      <c r="EJ250" s="162"/>
      <c r="EK250" s="162"/>
      <c r="EL250" s="162"/>
      <c r="EM250" s="162"/>
      <c r="EN250" s="162"/>
      <c r="EO250" s="162"/>
      <c r="EP250" s="162"/>
      <c r="EQ250" s="162"/>
      <c r="ER250" s="162"/>
      <c r="ES250" s="162"/>
      <c r="ET250" s="162"/>
      <c r="EU250" s="162"/>
      <c r="EV250" s="162"/>
      <c r="EW250" s="162"/>
      <c r="EX250" s="162"/>
      <c r="EY250" s="162"/>
      <c r="EZ250" s="162"/>
      <c r="FA250" s="162"/>
      <c r="FB250" s="162"/>
      <c r="FC250" s="162"/>
      <c r="FD250" s="162"/>
      <c r="FE250" s="162"/>
      <c r="FF250" s="162"/>
      <c r="FG250" s="162"/>
      <c r="FH250" s="162"/>
      <c r="FI250" s="162"/>
      <c r="FJ250" s="162"/>
      <c r="FK250" s="162"/>
      <c r="FL250" s="162"/>
      <c r="FM250" s="162"/>
      <c r="FN250" s="162"/>
      <c r="FO250" s="162"/>
      <c r="FP250" s="162"/>
      <c r="FQ250" s="162"/>
      <c r="FR250" s="162"/>
      <c r="FS250" s="162"/>
      <c r="FT250" s="162"/>
      <c r="FU250" s="162"/>
      <c r="FV250" s="162"/>
      <c r="FW250" s="162"/>
      <c r="FX250" s="162"/>
      <c r="FY250" s="162"/>
      <c r="FZ250" s="162"/>
      <c r="GA250" s="162"/>
      <c r="GB250" s="162"/>
      <c r="GC250" s="162"/>
      <c r="GD250" s="162"/>
      <c r="GE250" s="162"/>
      <c r="GF250" s="162"/>
      <c r="GG250" s="162"/>
      <c r="GH250" s="162"/>
      <c r="GI250" s="162"/>
      <c r="GJ250" s="162"/>
      <c r="GK250" s="162"/>
      <c r="GL250" s="162"/>
      <c r="GM250" s="162"/>
      <c r="GN250" s="162"/>
      <c r="GO250" s="162"/>
      <c r="GP250" s="162"/>
      <c r="GQ250" s="162"/>
      <c r="GR250" s="162"/>
      <c r="GS250" s="162"/>
      <c r="GT250" s="162"/>
      <c r="GU250" s="162"/>
      <c r="GV250" s="162"/>
      <c r="GW250" s="162"/>
      <c r="GX250" s="162"/>
      <c r="GY250" s="162"/>
      <c r="GZ250" s="162"/>
      <c r="HA250" s="162"/>
      <c r="HB250" s="162"/>
      <c r="HC250" s="162"/>
      <c r="HD250" s="162"/>
      <c r="HE250" s="162"/>
      <c r="HF250" s="162"/>
      <c r="HG250" s="162"/>
      <c r="HH250" s="162"/>
      <c r="HI250" s="162"/>
      <c r="HJ250" s="162"/>
      <c r="HK250" s="162"/>
      <c r="HL250" s="162"/>
      <c r="HM250" s="162"/>
      <c r="HN250" s="162"/>
      <c r="HO250" s="162"/>
      <c r="HP250" s="162"/>
      <c r="HQ250" s="162"/>
      <c r="HR250" s="162"/>
      <c r="HS250" s="162"/>
      <c r="HT250" s="162"/>
      <c r="HU250" s="162"/>
      <c r="HV250" s="162"/>
      <c r="HW250" s="162"/>
      <c r="HX250" s="162"/>
      <c r="HY250" s="162"/>
      <c r="HZ250" s="162"/>
      <c r="IA250" s="162"/>
      <c r="IB250" s="162"/>
      <c r="IC250" s="162"/>
      <c r="ID250" s="162"/>
      <c r="IE250" s="162"/>
      <c r="IF250" s="162"/>
      <c r="IG250" s="162"/>
      <c r="IH250" s="162"/>
      <c r="II250" s="162"/>
      <c r="IJ250" s="162"/>
      <c r="IK250" s="162"/>
      <c r="IL250" s="162"/>
      <c r="IM250" s="162"/>
      <c r="IN250" s="162"/>
      <c r="IO250" s="162"/>
      <c r="IP250" s="162"/>
      <c r="IQ250" s="162"/>
      <c r="IR250" s="162"/>
      <c r="IS250" s="162"/>
      <c r="IT250" s="162"/>
      <c r="IU250" s="162"/>
      <c r="IV250" s="162"/>
      <c r="IW250" s="162"/>
      <c r="IX250" s="162"/>
      <c r="IY250" s="162"/>
      <c r="IZ250" s="162"/>
      <c r="JA250" s="162"/>
      <c r="JB250" s="162"/>
      <c r="JC250" s="162"/>
      <c r="JD250" s="162"/>
      <c r="JE250" s="162"/>
      <c r="JF250" s="162"/>
      <c r="JG250" s="162"/>
      <c r="JH250" s="162"/>
      <c r="JI250" s="162"/>
      <c r="JJ250" s="162"/>
      <c r="JK250" s="162"/>
      <c r="JL250" s="162"/>
      <c r="JM250" s="162"/>
      <c r="JN250" s="162"/>
      <c r="JO250" s="162"/>
      <c r="JP250" s="162"/>
      <c r="JQ250" s="162"/>
      <c r="JR250" s="162"/>
      <c r="JS250" s="162"/>
      <c r="JT250" s="162"/>
      <c r="JU250" s="162"/>
      <c r="JV250" s="162"/>
      <c r="JW250" s="162"/>
      <c r="JX250" s="162"/>
      <c r="JY250" s="162"/>
      <c r="JZ250" s="162"/>
      <c r="KA250" s="162"/>
      <c r="KB250" s="162"/>
      <c r="KC250" s="162"/>
      <c r="KD250" s="162"/>
      <c r="KE250" s="162"/>
      <c r="KF250" s="162"/>
      <c r="KG250" s="162"/>
      <c r="KH250" s="162"/>
      <c r="KI250" s="162"/>
      <c r="KJ250" s="162"/>
      <c r="KK250" s="162"/>
      <c r="KL250" s="162"/>
      <c r="KM250" s="162"/>
      <c r="KN250" s="162"/>
      <c r="KO250" s="162"/>
      <c r="KP250" s="162"/>
      <c r="KQ250" s="162"/>
      <c r="KR250" s="162"/>
      <c r="KS250" s="162"/>
      <c r="KT250" s="162"/>
      <c r="KU250" s="162"/>
      <c r="KV250" s="162"/>
      <c r="KW250" s="162"/>
      <c r="KX250" s="162"/>
      <c r="KY250" s="162"/>
      <c r="KZ250" s="162"/>
      <c r="LA250" s="162"/>
      <c r="LB250" s="162"/>
      <c r="LC250" s="162"/>
      <c r="LD250" s="162"/>
      <c r="LE250" s="162"/>
      <c r="LF250" s="162"/>
      <c r="LG250" s="162"/>
      <c r="LH250" s="162"/>
      <c r="LI250" s="162"/>
      <c r="LJ250" s="162"/>
      <c r="LK250" s="162"/>
      <c r="LL250" s="162"/>
      <c r="LM250" s="162"/>
      <c r="LN250" s="162"/>
      <c r="LO250" s="162"/>
      <c r="LP250" s="162"/>
      <c r="LQ250" s="162"/>
      <c r="LR250" s="162"/>
      <c r="LS250" s="162"/>
      <c r="LT250" s="162"/>
      <c r="LU250" s="162"/>
      <c r="LV250" s="162"/>
      <c r="LW250" s="162"/>
      <c r="LX250" s="162"/>
      <c r="LY250" s="162"/>
      <c r="LZ250" s="162"/>
      <c r="MA250" s="162"/>
      <c r="MB250" s="162"/>
      <c r="MC250" s="162"/>
      <c r="MD250" s="162"/>
      <c r="ME250" s="162"/>
      <c r="MF250" s="162"/>
      <c r="MG250" s="162"/>
      <c r="MH250" s="162"/>
      <c r="MI250" s="162"/>
      <c r="MJ250" s="162"/>
      <c r="MK250" s="162"/>
      <c r="ML250" s="162"/>
      <c r="MM250" s="162"/>
      <c r="MN250" s="162"/>
      <c r="MO250" s="162"/>
      <c r="MP250" s="162"/>
      <c r="MQ250" s="162"/>
      <c r="MR250" s="162"/>
      <c r="MS250" s="162"/>
      <c r="MT250" s="162"/>
      <c r="MU250" s="162"/>
      <c r="MV250" s="162"/>
      <c r="MW250" s="162"/>
      <c r="MX250" s="162"/>
      <c r="MY250" s="162"/>
      <c r="MZ250" s="162"/>
      <c r="NA250" s="162"/>
      <c r="NB250" s="162"/>
      <c r="NC250" s="162"/>
      <c r="ND250" s="162"/>
      <c r="NE250" s="162"/>
      <c r="NF250" s="162"/>
      <c r="NG250" s="162"/>
      <c r="NH250" s="162"/>
      <c r="NI250" s="162"/>
      <c r="NJ250" s="162"/>
      <c r="NK250" s="162"/>
      <c r="NL250" s="162"/>
      <c r="NM250" s="162"/>
      <c r="NN250" s="162"/>
      <c r="NO250" s="162"/>
      <c r="NP250" s="162"/>
      <c r="NQ250" s="162"/>
      <c r="NR250" s="162"/>
      <c r="NS250" s="162"/>
      <c r="NT250" s="162"/>
      <c r="NU250" s="162"/>
      <c r="NV250" s="162"/>
      <c r="NW250" s="162"/>
      <c r="NX250" s="162"/>
      <c r="NY250" s="162"/>
      <c r="NZ250" s="162"/>
      <c r="OA250" s="162"/>
      <c r="OB250" s="162"/>
      <c r="OC250" s="162"/>
      <c r="OD250" s="162"/>
      <c r="OE250" s="162"/>
      <c r="OF250" s="162"/>
      <c r="OG250" s="162"/>
      <c r="OH250" s="162"/>
      <c r="OI250" s="162"/>
      <c r="OJ250" s="162"/>
      <c r="OK250" s="162"/>
      <c r="OL250" s="162"/>
      <c r="OM250" s="162"/>
      <c r="ON250" s="162"/>
      <c r="OO250" s="162"/>
      <c r="OP250" s="162"/>
      <c r="OQ250" s="162"/>
      <c r="OR250" s="162"/>
      <c r="OS250" s="162"/>
      <c r="OT250" s="162"/>
      <c r="OU250" s="162"/>
      <c r="OV250" s="162"/>
      <c r="OW250" s="162"/>
      <c r="OX250" s="162"/>
      <c r="OY250" s="162"/>
      <c r="OZ250" s="162"/>
      <c r="PA250" s="162"/>
      <c r="PB250" s="162"/>
      <c r="PC250" s="162"/>
      <c r="PD250" s="162"/>
      <c r="PE250" s="162"/>
      <c r="PF250" s="162"/>
      <c r="PG250" s="162"/>
      <c r="PH250" s="162"/>
      <c r="PI250" s="162"/>
      <c r="PJ250" s="162"/>
      <c r="PK250" s="162"/>
      <c r="PL250" s="162"/>
      <c r="PM250" s="162"/>
      <c r="PN250" s="162"/>
      <c r="PO250" s="162"/>
      <c r="PP250" s="162"/>
      <c r="PQ250" s="162"/>
      <c r="PR250" s="162"/>
      <c r="PS250" s="162"/>
      <c r="PT250" s="162"/>
      <c r="PU250" s="162"/>
      <c r="PV250" s="162"/>
      <c r="PW250" s="162"/>
      <c r="PX250" s="162"/>
      <c r="PY250" s="162"/>
      <c r="PZ250" s="162"/>
      <c r="QA250" s="162"/>
      <c r="QB250" s="162"/>
      <c r="QC250" s="162"/>
      <c r="QD250" s="162"/>
      <c r="QE250" s="162"/>
      <c r="QF250" s="162"/>
      <c r="QG250" s="162"/>
      <c r="QH250" s="162"/>
      <c r="QI250" s="162"/>
      <c r="QJ250" s="162"/>
      <c r="QK250" s="162"/>
      <c r="QL250" s="162"/>
      <c r="QM250" s="162"/>
      <c r="QN250" s="162"/>
      <c r="QO250" s="162"/>
      <c r="QP250" s="162"/>
      <c r="QQ250" s="162"/>
      <c r="QR250" s="162"/>
      <c r="QS250" s="162"/>
      <c r="QT250" s="162"/>
      <c r="QU250" s="162"/>
      <c r="QV250" s="162"/>
      <c r="QW250" s="162"/>
      <c r="QX250" s="162"/>
      <c r="QY250" s="162"/>
      <c r="QZ250" s="162"/>
      <c r="RA250" s="162"/>
      <c r="RB250" s="162"/>
      <c r="RC250" s="162"/>
      <c r="RD250" s="162"/>
      <c r="RE250" s="162"/>
      <c r="RF250" s="162"/>
      <c r="RG250" s="162"/>
      <c r="RH250" s="162"/>
      <c r="RI250" s="162"/>
      <c r="RJ250" s="162"/>
      <c r="RK250" s="162"/>
      <c r="RL250" s="162"/>
      <c r="RM250" s="162"/>
      <c r="RN250" s="162"/>
      <c r="RO250" s="162"/>
      <c r="RP250" s="162"/>
      <c r="RQ250" s="162"/>
      <c r="RR250" s="162"/>
      <c r="RS250" s="162"/>
      <c r="RT250" s="162"/>
      <c r="RU250" s="162"/>
      <c r="RV250" s="162"/>
      <c r="RW250" s="162"/>
      <c r="RX250" s="162"/>
      <c r="RY250" s="162"/>
      <c r="RZ250" s="162"/>
      <c r="SA250" s="162"/>
      <c r="SB250" s="162"/>
      <c r="SC250" s="162"/>
      <c r="SD250" s="162"/>
      <c r="SE250" s="162"/>
      <c r="SF250" s="162"/>
      <c r="SG250" s="162"/>
      <c r="SH250" s="162"/>
      <c r="SI250" s="162"/>
      <c r="SJ250" s="162"/>
      <c r="SK250" s="162"/>
      <c r="SL250" s="162"/>
      <c r="SM250" s="162"/>
      <c r="SN250" s="162"/>
      <c r="SO250" s="162"/>
      <c r="SP250" s="162"/>
      <c r="SQ250" s="162"/>
      <c r="SR250" s="162"/>
      <c r="SS250" s="162"/>
    </row>
    <row r="251" spans="1:513" s="28" customFormat="1" ht="30" customHeight="1" x14ac:dyDescent="0.45">
      <c r="A251" s="56"/>
      <c r="B251" s="62"/>
      <c r="C251" s="62"/>
      <c r="D251" s="35"/>
      <c r="E251" s="47"/>
      <c r="F251" s="47"/>
      <c r="G251" s="47"/>
      <c r="H251" s="47"/>
      <c r="I251" s="47"/>
      <c r="J251" s="152"/>
      <c r="K251" s="47"/>
      <c r="L251" s="47"/>
      <c r="M251" s="47"/>
      <c r="N251" s="47"/>
      <c r="O251" s="47"/>
    </row>
    <row r="252" spans="1:513" s="153" customFormat="1" ht="31.5" x14ac:dyDescent="0.45">
      <c r="A252" s="151" t="s">
        <v>478</v>
      </c>
      <c r="B252" s="151"/>
      <c r="C252" s="151"/>
      <c r="D252" s="151"/>
      <c r="E252" s="152"/>
      <c r="F252" s="152"/>
      <c r="G252" s="152"/>
      <c r="H252" s="152"/>
      <c r="I252" s="152"/>
      <c r="J252" s="134"/>
      <c r="K252" s="152"/>
      <c r="L252" s="152"/>
      <c r="M252" s="152"/>
      <c r="N252" s="152"/>
      <c r="O252" s="152"/>
    </row>
    <row r="253" spans="1:513" s="135" customFormat="1" ht="36" customHeight="1" x14ac:dyDescent="0.4">
      <c r="A253" s="164" t="s">
        <v>570</v>
      </c>
      <c r="B253" s="164"/>
      <c r="C253" s="137"/>
      <c r="D253" s="138"/>
      <c r="E253" s="134"/>
      <c r="F253" s="134"/>
      <c r="G253" s="134"/>
      <c r="H253" s="134"/>
      <c r="I253" s="134"/>
      <c r="J253" s="142"/>
      <c r="K253" s="134"/>
      <c r="L253" s="134"/>
      <c r="M253" s="134"/>
      <c r="N253" s="134"/>
      <c r="O253" s="134"/>
    </row>
    <row r="254" spans="1:513" s="142" customFormat="1" ht="26.25" x14ac:dyDescent="0.4">
      <c r="A254" s="139"/>
      <c r="B254" s="140"/>
      <c r="C254" s="141"/>
      <c r="J254" s="4"/>
    </row>
  </sheetData>
  <mergeCells count="23">
    <mergeCell ref="A253:B253"/>
    <mergeCell ref="O14:O16"/>
    <mergeCell ref="J4:O4"/>
    <mergeCell ref="J5:O5"/>
    <mergeCell ref="J6:O6"/>
    <mergeCell ref="J8:O8"/>
    <mergeCell ref="I14:N14"/>
    <mergeCell ref="J1:O1"/>
    <mergeCell ref="A10:O10"/>
    <mergeCell ref="B14:B16"/>
    <mergeCell ref="C14:C16"/>
    <mergeCell ref="A14:A16"/>
    <mergeCell ref="D15:D16"/>
    <mergeCell ref="E15:E16"/>
    <mergeCell ref="F15:G15"/>
    <mergeCell ref="K15:K16"/>
    <mergeCell ref="H15:H16"/>
    <mergeCell ref="I15:I16"/>
    <mergeCell ref="L15:M15"/>
    <mergeCell ref="N15:N16"/>
    <mergeCell ref="D14:H14"/>
    <mergeCell ref="J3:O3"/>
    <mergeCell ref="J15:J16"/>
  </mergeCells>
  <phoneticPr fontId="3" type="noConversion"/>
  <printOptions horizontalCentered="1"/>
  <pageMargins left="0" right="0" top="0.86614173228346458" bottom="0.47244094488188981" header="0" footer="0.31496062992125984"/>
  <pageSetup paperSize="9" scale="44" fitToHeight="100" orientation="landscape" verticalDpi="300" r:id="rId1"/>
  <headerFooter scaleWithDoc="0" alignWithMargins="0">
    <oddHeader xml:space="preserve">&amp;R
</oddHeader>
    <oddFooter>&amp;R&amp;9Сторінка &amp;P</oddFooter>
  </headerFooter>
  <rowBreaks count="2" manualBreakCount="2">
    <brk id="183" max="14" man="1"/>
    <brk id="2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8</vt:lpstr>
      <vt:lpstr>'дод 3'!Заголовки_для_печати</vt:lpstr>
      <vt:lpstr>'дод 8'!Заголовки_для_печати</vt:lpstr>
      <vt:lpstr>'дод 3'!Область_печати</vt:lpstr>
      <vt:lpstr>'дод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2021-07-28T13:29:17Z</cp:lastPrinted>
  <dcterms:created xsi:type="dcterms:W3CDTF">2014-01-17T10:52:16Z</dcterms:created>
  <dcterms:modified xsi:type="dcterms:W3CDTF">2021-07-29T05:28:01Z</dcterms:modified>
</cp:coreProperties>
</file>