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'Показники'!$A$1:$K$440</definedName>
  </definedNames>
  <calcPr fullCalcOnLoad="1"/>
</workbook>
</file>

<file path=xl/sharedStrings.xml><?xml version="1.0" encoding="utf-8"?>
<sst xmlns="http://schemas.openxmlformats.org/spreadsheetml/2006/main" count="443" uniqueCount="255">
  <si>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</si>
  <si>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</si>
  <si>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</si>
  <si>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</si>
  <si>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</si>
  <si>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</si>
  <si>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</si>
  <si>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</si>
  <si>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</si>
  <si>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</si>
  <si>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</si>
  <si>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</si>
  <si>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</si>
  <si>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</si>
  <si>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</si>
  <si>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t>в тому числі:</t>
  </si>
  <si>
    <t>Почесних громадян, яким надана пільга (100%),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</si>
  <si>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</si>
  <si>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</si>
  <si>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</si>
  <si>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</si>
  <si>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</si>
  <si>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</si>
  <si>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</si>
  <si>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</si>
  <si>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</si>
  <si>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Завдання 1. Забезпечити надання пільг по оплаті за житлово-комунальні послуги</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</si>
  <si>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</si>
  <si>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</si>
  <si>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середньомісячний розмір компенсації на 1 пільговика за пільговий проїзд електротранспортом , грн.</t>
  </si>
  <si>
    <t>середні витрати на оздоровлення однієї дитини,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</si>
  <si>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</si>
  <si>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</si>
  <si>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середній розмір витрат на одну дитину в день, грн.</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</si>
  <si>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</si>
  <si>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</si>
  <si>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</si>
  <si>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</si>
  <si>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</si>
  <si>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</si>
  <si>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</si>
  <si>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</si>
  <si>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</si>
  <si>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</si>
  <si>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</si>
  <si>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</si>
  <si>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</si>
  <si>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</si>
  <si>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</si>
  <si>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</si>
  <si>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</si>
  <si>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</si>
  <si>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</si>
  <si>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</si>
  <si>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</si>
  <si>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</si>
  <si>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</si>
  <si>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</si>
  <si>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</si>
  <si>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</si>
  <si>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</si>
  <si>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</si>
  <si>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</si>
  <si>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 xml:space="preserve">частка пільговиків, які використали право на пільговий проїзд один раз на рік (один раз на два роки) залізничним транспортом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</si>
  <si>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</si>
  <si>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</si>
  <si>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</si>
  <si>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вартість одного новорічного подарунку, грн.</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</si>
  <si>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</si>
  <si>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</si>
  <si>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</si>
  <si>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Мета: Обробка інформації з нарахування та виплати допомог, компенсацій та субсидій.</t>
  </si>
  <si>
    <t>Показник затрат:</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</si>
  <si>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</si>
  <si>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</si>
  <si>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</si>
  <si>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</si>
  <si>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 xml:space="preserve">  </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</si>
  <si>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</si>
  <si>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осіб з інвалідністю І-ІІ гр. по зору разом з членами сім'ї, яким надана пільга (50%), чол.</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</si>
  <si>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</si>
  <si>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</si>
  <si>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</si>
  <si>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</si>
  <si>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КПКВК 0611010</t>
  </si>
  <si>
    <t>0611010</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</si>
  <si>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</si>
  <si>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</si>
  <si>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КПКВК 0611020</t>
  </si>
  <si>
    <t>0611020</t>
  </si>
  <si>
    <t>КПКВК 0613140</t>
  </si>
  <si>
    <t>0613140</t>
  </si>
  <si>
    <t>КПКВК 0813104</t>
  </si>
  <si>
    <t>0813104</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</si>
  <si>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</si>
  <si>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</si>
  <si>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</si>
  <si>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</si>
  <si>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</si>
  <si>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</si>
  <si>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</si>
  <si>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</si>
  <si>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</si>
  <si>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</si>
  <si>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</si>
  <si>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КПКВК 0813242, КПКВК 0213242</t>
  </si>
  <si>
    <t>0813242</t>
  </si>
  <si>
    <t>0213242</t>
  </si>
  <si>
    <t>КПКВК 0813192</t>
  </si>
  <si>
    <t>0813192</t>
  </si>
  <si>
    <t>КПКВК 0813180</t>
  </si>
  <si>
    <t>0813180</t>
  </si>
  <si>
    <t>КПКВК  0813191</t>
  </si>
  <si>
    <t>0813191</t>
  </si>
  <si>
    <t>КПКВК 0813200</t>
  </si>
  <si>
    <t>0813200</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</si>
  <si>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</si>
  <si>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обсяг видатків на компенсацію витрат на автомобільне паливо</t>
  </si>
  <si>
    <t>кількість дітей, батьки яких є учасниками бойових дій на території інших держав, звільнених від оплати за харчування, осіб</t>
  </si>
  <si>
    <t>кількість учнів, батьки яких є учасниками бойових дій на території інших держав, забезпечених безкоштовним харчуванням (сніданок або обід), осіб</t>
  </si>
  <si>
    <t>Мета: забезпечення надання соціальних гарантій вихованцям закладів дошкільної освіти, які потребують особливої соціальної уваги.</t>
  </si>
  <si>
    <t>Мета: забезпечення надання соціальних гарантій учням закладів загальної середньої освіти, які потребують особливої соціальної уваги.</t>
  </si>
  <si>
    <t>Завдання 1.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</si>
  <si>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1. Забезпечення надання  інших, передбачених законодавством, пільг окремим категоріям громадян відповідно до законодавства:</t>
  </si>
  <si>
    <t>Завдання 2. Забезпечення надання пільг з оплати послуг зв'язку</t>
  </si>
  <si>
    <t>Завдання 1. Забезпечити безкоштовним харчуванням дітей раннього віку закладів дошкільної освіти:</t>
  </si>
  <si>
    <t>Завдання 2. Забезпечити безкоштовним харчуванням дітей дошкільного віку закладів дошкільної освіти:</t>
  </si>
  <si>
    <t>кількість дітей, батьки яких є учасниками бойових дій на території інших держав, які отримають новорічні подарунки, осіб</t>
  </si>
  <si>
    <t>Завдання 3. Забезпечити новорічними подарунками вихованців закладів дошкільної освіти.</t>
  </si>
  <si>
    <t>Завдання 1. Забезпечити безкоштовним харчуванням  учнів закладів загальної середньої освіти:</t>
  </si>
  <si>
    <t>кількість учнів, батьки яких загинули або отримали тілесні ушкодження під час участі у Революції Гідності, забезпечених безкоштовним харчуванням (сніданок або обід), осіб</t>
  </si>
  <si>
    <t>кількість учнів та вихованців, батьки яких є учасниками бойових дій на території інших держав, які отримають новорічні подарунки, осіб</t>
  </si>
  <si>
    <t>кількість учнів та вихованців, батьки яких загинули або отримали тілесні ушкодження під час участі у Революції Гідності, які отримають новорічні подарунки, осіб</t>
  </si>
  <si>
    <t>Завдання 2. Забезпечити новорічними подарунками учнів закладів загальної середньої освіти, вихованців та учнів навчально-виховних комплексів.</t>
  </si>
  <si>
    <t>Завдання 3. Організація оздоровлення учнів, які потребують особливої соціальної уваги та підтримки.</t>
  </si>
  <si>
    <t xml:space="preserve">кількість учнів,батьки яких є учасниками бойових дій на території інших держав, яким надані послуги з оздоровлення, осіб </t>
  </si>
  <si>
    <t xml:space="preserve">кількість учнів, батьки яких загинули або отримали тілесні ушкодження під час участі у Революції Гідності, яким надані послуги з оздоровлення, осіб </t>
  </si>
  <si>
    <t>кількість одержувачів фінансової підтримки, осіб</t>
  </si>
  <si>
    <t>КПКВК 0813160</t>
  </si>
  <si>
    <t>0813160</t>
  </si>
  <si>
    <t>кількість фізичних осіб, яким виплачується компенсація за надання соціальних послуг, осіб, зокрема:</t>
  </si>
  <si>
    <t>особам з інвалідністю I групи, осіб; </t>
  </si>
  <si>
    <t>особам з інвалідністю IІ групи, осіб; </t>
  </si>
  <si>
    <t>дітям з інвалідністю</t>
  </si>
  <si>
    <t>громадянам похилого віку</t>
  </si>
  <si>
    <t>кількість осіб, які звернулись за призначенням компенсації, осіб; </t>
  </si>
  <si>
    <t>питома вага кількості призначених компенсацій до кількості звернень за призначенням компенсації, %</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</si>
  <si>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</si>
  <si>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r>
      <t xml:space="preserve">Показник якості:                                                  </t>
    </r>
    <r>
      <rPr>
        <sz val="11"/>
        <rFont val="Times New Roman"/>
        <family val="1"/>
      </rPr>
      <t xml:space="preserve">  </t>
    </r>
  </si>
  <si>
    <t>хворим,  які не здатні до самообслуговування і потребують постійної сторонньої допомоги, визнані такими в порядку, затвердженому МОЗ</t>
  </si>
  <si>
    <t xml:space="preserve"> 0813036</t>
  </si>
  <si>
    <t>Мета: виплата компенсації за пільговий проїзд міським електротранспортом окремих категорій громадян.</t>
  </si>
  <si>
    <r>
      <t xml:space="preserve">Кількість підприємств - отримувачів компенсації за пільговий проїзд </t>
    </r>
    <r>
      <rPr>
        <b/>
        <sz val="11"/>
        <rFont val="Times New Roman"/>
        <family val="1"/>
      </rPr>
      <t xml:space="preserve"> </t>
    </r>
    <r>
      <rPr>
        <sz val="11"/>
        <rFont val="Times New Roman"/>
        <family val="1"/>
      </rPr>
      <t>міським електротранспортом</t>
    </r>
    <r>
      <rPr>
        <b/>
        <sz val="11"/>
        <rFont val="Times New Roman"/>
        <family val="1"/>
      </rPr>
      <t xml:space="preserve"> </t>
    </r>
    <r>
      <rPr>
        <sz val="11"/>
        <rFont val="Times New Roman"/>
        <family val="1"/>
      </rPr>
      <t>окремих категорій громадян, од.</t>
    </r>
  </si>
  <si>
    <t>Кількість осіб, які мають право на пільговий проїзд міським електротранспортом, осіб</t>
  </si>
  <si>
    <t>середній розмір компенсації фізичним особам, які надають соціальні послуги, осіб, зокрема:</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</si>
  <si>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</si>
  <si>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</si>
  <si>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кількість членів Сумської міської організації ветеранів України, яким надається матеріальна допомога, осіб</t>
  </si>
  <si>
    <t>середній розмір надання матеріальної допомоги членам Сумської міської організації ветеранів України, грн.</t>
  </si>
  <si>
    <t>КПКВК 0813035</t>
  </si>
  <si>
    <t>середньомісячний розмір компенсації за пільговий проїзд елетротранспортом, грн</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</si>
  <si>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</si>
  <si>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</si>
  <si>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осіб, які отримали цільову матеріальну допомогу, осіб </t>
  </si>
  <si>
    <t>обсяг видатків для надання цільової матеріальної допомоги, грн</t>
  </si>
  <si>
    <t>обсяг видатків для виготовлення кошторисної документації та проведення експертизи кошторисної  документації, грн</t>
  </si>
  <si>
    <t>середній розмір наданої цільової матеріальної допомоги, грн./на 1 особу</t>
  </si>
  <si>
    <t>середній розмір витрат для виготовлення кошторисної документації та проведення експертизи кошторисної  документації, грн./на 1 особу</t>
  </si>
  <si>
    <t>кількість осіб похилого віку, які будуть приймати участь у заходах, осіб</t>
  </si>
  <si>
    <t>середній розмір наданих соціальних гарантій на місяць на 1 особу (щомісячні), грн</t>
  </si>
  <si>
    <t>середній розмір наданих соціальних гарантій на 1 особу (одноразово), грн</t>
  </si>
  <si>
    <t>кількість отримувачів щомісячних додаткових гарантій, осіб</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</si>
  <si>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</si>
  <si>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</si>
  <si>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грн./в місяць на одну особу</t>
  </si>
  <si>
    <t>Показник якості:</t>
  </si>
  <si>
    <t>2019 рік план (з урахуванням змін)</t>
  </si>
  <si>
    <t xml:space="preserve">Підпрограма 2. Соціальні гарантії окремим категоріям громадян. </t>
  </si>
  <si>
    <t>кількість громадських організацій, яким надані пільги по оплаті за користування комунальними послугами та абонентної плати за користування телефоном, од.</t>
  </si>
  <si>
    <t>середній розмір витрат на надання пільг щодо оплати комунальних послуг та абонентної плати за користування телефоном на одну громадську організацію, грн.</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</si>
  <si>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</si>
  <si>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</si>
  <si>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Мета: забезпечення надання пільг  окремим категоріям громадян з оплати послуг зв’язку, проїзду, компенсації витрат на автомобільне паливо</t>
  </si>
  <si>
    <t>Разом (бюджет Сумської міської ОТГ)</t>
  </si>
  <si>
    <t>Разом (міський бюджет)</t>
  </si>
  <si>
    <t>середня кількість днів харчування в закладі загальної середньої освіти</t>
  </si>
  <si>
    <t>середня кількість днів харчування в дошкільному навчальному закладі</t>
  </si>
  <si>
    <t xml:space="preserve">Завдання 5.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 яка виникла станом на 01.01.2016 і не погашена за рахунок субвенції з державного бюджету. </t>
  </si>
  <si>
    <t xml:space="preserve">кредиторська заборгованість, що виникла станом на 01.01.2016 і не погашена за рахунок субвенції з державного бюджету, яку планується погасити, грн. </t>
  </si>
  <si>
    <t>відсоток погашення заборгованості,  що виникла станом на 01.01.2016 і не погашена за рахунок субвенції з державного бюджету, %</t>
  </si>
  <si>
    <t>Додаток 6</t>
  </si>
  <si>
    <t>Продовження додатка 6</t>
  </si>
  <si>
    <t xml:space="preserve">кількість отримувачів пільгових послуг, осіб </t>
  </si>
  <si>
    <t>середній розмір компенсаційних виплат, грн./в місяць на одну особу</t>
  </si>
  <si>
    <t>частка осіб, які скористалися пільговими послугами , %</t>
  </si>
  <si>
    <t xml:space="preserve">середній розмір витрат на одну особу похилого віку, охоплену заходами, грн. </t>
  </si>
  <si>
    <t>середній розмір витрат на одну особу, охоплену заходами та якій надано матеріальну допомогу до святкових та визначних дат, грн.</t>
  </si>
  <si>
    <t>кількість громадян, які будуть охоплені заходами та яким буде надано матеріальну допомогу до святкових та визначних дат, осіб</t>
  </si>
  <si>
    <t>2020 рік план (з урахуванням змін)</t>
  </si>
  <si>
    <t>2021 рік (план)</t>
  </si>
  <si>
    <t>КПКВК 0813242, КПКВК 0611010, КПКВК 0611020</t>
  </si>
  <si>
    <t xml:space="preserve">Відповідальні виконавці: ДСЗН та управління освіти і науки Сумської міської ради </t>
  </si>
  <si>
    <t>Підпрограма 3. Забезпечення заходів з реалізації сімейної політики, запобігання домашньому насильству та торгівлі людьми.</t>
  </si>
  <si>
    <t>Мета:  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</si>
  <si>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Завдання 1. Забезпечити надання матеріальної допомоги окремим категоріям сімей.</t>
  </si>
  <si>
    <t>Завдання 2. Забезпечити новорічними подарунками дітей віком до 14 років з багатодітних сімей, де виховуються четверо і більше дітей</t>
  </si>
  <si>
    <t>кількість вихованців закладів дошкільної освіти, осіб</t>
  </si>
  <si>
    <t>кількість учнів закладів загальної середньої освіти, вихованців та учнів навчально-виховних комплексів, осіб</t>
  </si>
  <si>
    <t>кількість дітей, які не перебувають на обліку в закладах освіти, осіб</t>
  </si>
  <si>
    <t>вартість одного новорічного подарунку для дітей, які не перебувають на обліку в закладах освіти, грн.</t>
  </si>
  <si>
    <t>вартість одного новорічного подарунку для дітей, які перебувають на обліку в закладах освіти, грн.</t>
  </si>
  <si>
    <t>Завдання 5.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</si>
  <si>
    <t>Завдання 6.  Забезпечити проведення компенсаційних виплат власникам автостоянок вартості послуг із зберігання транспортних засобів водіїв з інвалідністю, водіїв,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t>
  </si>
  <si>
    <t>Почесних донорів, яким надана пільга (30%), чол.</t>
  </si>
  <si>
    <t>онкохворих дітей, дітей, хворих на спінальну м'язову атрофію або бульозний епідермоліз,  разом з членами сім'ї, яким надана пільга (50%), чол.</t>
  </si>
  <si>
    <t>на одну онкохвору дитину, дитину, хвору на спінальну м'язову атрофію або бульозний епідермоліз,  разом з членами сім'ї, грн.</t>
  </si>
  <si>
    <t>Підпрограма 6. Соціальні пільги та гарантії громадянам, які мають особливі заслуги, та сім'ям загиблих</t>
  </si>
  <si>
    <t>Підпрограма 7. Компенсаційні виплати на пільговий проїзд міським електротранспортом окремих категорій громадян</t>
  </si>
  <si>
    <t>Підпрограма 8.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</si>
  <si>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Підпрограма 9. Забезпечення обробки інформації з нарахування та виплати допомог і компенсацій.</t>
  </si>
  <si>
    <t>Підпрограма 10. Надання пільг, встановлених чинним законодавством</t>
  </si>
  <si>
    <t>Завдання 6. 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</si>
  <si>
    <t>Разом (бюджет Сумської міської ТГ)</t>
  </si>
  <si>
    <t>Підпрограма 12.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</si>
  <si>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13. Соціальна підтримка вихованців закладів дошкільної освіти, які потребують особливої соціальної уваги.</t>
  </si>
  <si>
    <t>Підпрограма 14. Соціальна підтримка учнів закладів загальної середньої освіти, які потребують особливої соціальної уваги.</t>
  </si>
  <si>
    <t xml:space="preserve">Результативні показники виконання завдань програми Сумської міської територіальної громади «Милосердя» на 2019-2021 роки» </t>
  </si>
  <si>
    <t xml:space="preserve">Завдання 4.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</si>
  <si>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 xml:space="preserve">Завдання 3.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</si>
  <si>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Завдання 1. Проведення розрахунків за пільговий проїзд міським електротранспортом  Почесних донорів України                    (100 % пільги):</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</si>
  <si>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</si>
  <si>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</si>
  <si>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Завдання 1. Забезпечення надання пільг на оплату житлово-комунальних послуг окремим категоріям громадян – мешканцям громади:</t>
  </si>
  <si>
    <t>Підпрограма 11. Надання компенсації фізичним особам, які надають соціальні послуги з догляду на непрофесійній основі.</t>
  </si>
  <si>
    <t>Мета:  забезпечення надання компенсації фізичним особам, які надають соціальні послуги з догляду на непрофесійній основі.</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</si>
  <si>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</si>
  <si>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кількість громадських об’єднань ветеранів, яким надана фінансова підтримка за результатами конкурсу, од.</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</si>
  <si>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</si>
  <si>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суспільствата та громадським об'єднанням ветеранів:</t>
  </si>
  <si>
    <t>кількість інститутів громадянського суспільства, яким надана фінансова підтримка а результатами конкурсу, од.</t>
  </si>
  <si>
    <t>середній розмір фінансової підтримки на місяць на один  інститут громадянського суспільства, грн.</t>
  </si>
  <si>
    <t>середній розмір фінансової підтримки на місяць на одне громадське об'єднання ветеранів, грн.</t>
  </si>
  <si>
    <t>питома вага осіб з інвалідністю та ветеранів, які отримають в інститутах громадянського суспільства, громадських об'єднаннях ветеранів допомогу у вирішенні питань, від загальної чисельності, які звернулися за наданням такої допомоги, %</t>
  </si>
  <si>
    <t>Завдання 4. 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t>
  </si>
  <si>
    <t>особам, які мають право на отримання допомоги відповідно до постанови Кабінету Міністрів України від 23.09.2020 № 859</t>
  </si>
  <si>
    <t xml:space="preserve">Сумський міський голова </t>
  </si>
  <si>
    <t>О.М. Лисенко</t>
  </si>
  <si>
    <t>____________________</t>
  </si>
  <si>
    <t>Виконавець:   Масік Т.О.</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</si>
  <si>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Сумської міської тегиторіальної громади, осіб </t>
  </si>
  <si>
    <t>середньомісячний розмір компенсації за пільговий проїзд автомобільним транспортом, грн.</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</si>
  <si>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</si>
  <si>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Завдання 7. Забезпечення надання пільг на проїзд автомобільним транспортом на приміських автобусних маршрутах загального користування, що не виходять за межі Сумської міської територіальної громади, окремим категоріям громадян (100% пільги для окремих категорій громадян, мешканців приєднаних до Сумської міської територіальної громади сіл Великочернеччинської, Битицької та Стецьківської сільських територіальних громад).</t>
  </si>
  <si>
    <t>Завдання 3. Забезпечити організацію надання послуг, пов’язаних з  проведенням заходів, та надання матеріальної допомоги до святкових і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</si>
  <si>
    <t xml:space="preserve">до рішення Сумської міської ради «Про внесення змін до рішення Сумської міської ради від 28 листопада 2018 року № 4148-МР «Про затвердження програми Сумської міської територіальної громади «Милосердя» на 2019-2021 роки» (зі змінами)»                                                          на 2021 рік»
від 27 січня 2021 року № 132-МР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</si>
</sst>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 numFmtId="223" formatCode="0.000000"/>
    <numFmt numFmtId="224" formatCode="#,##0.0000"/>
  </numFmts>
  <fonts count="50">
    <font>
      <sz val="10"/>
      <name val="Arial"/>
      <family val="0"/>
    </font>
    <font>
      <u val="single"/>
      <sz val="10"/>
      <color indexed="12"/>
      <name val="Arial"/>
      <family val="2"/>
    </font>
    <font>
      <u val="single"/>
      <sz val="10"/>
      <color indexed="36"/>
      <name val="Arial"/>
      <family val="2"/>
    </font>
    <font>
      <b/>
      <sz val="12"/>
      <name val="Times New Roman"/>
      <family val="1"/>
    </font>
    <font>
      <b/>
      <sz val="11"/>
      <name val="Arial"/>
      <family val="2"/>
    </font>
    <font>
      <sz val="11"/>
      <name val="Times New Roman"/>
      <family val="1"/>
    </font>
    <font>
      <b/>
      <sz val="11"/>
      <name val="Times New Roman"/>
      <family val="1"/>
    </font>
    <font>
      <b/>
      <sz val="13"/>
      <name val="Times New Roman"/>
      <family val="1"/>
    </font>
    <font>
      <sz val="13"/>
      <name val="Times New Roman"/>
      <family val="1"/>
    </font>
    <font>
      <sz val="12"/>
      <name val="Times New Roman"/>
      <family val="1"/>
    </font>
    <font>
      <b/>
      <sz val="10"/>
      <name val="Times New Roman"/>
      <family val="1"/>
    </font>
    <font>
      <sz val="14"/>
      <name val="Times New Roman"/>
      <family val="1"/>
    </font>
    <font>
      <sz val="10"/>
      <name val="Times New Roman"/>
      <family val="1"/>
    </font>
    <font>
      <b/>
      <sz val="14"/>
      <name val="Times New Roman"/>
      <family val="1"/>
    </font>
    <font>
      <b/>
      <sz val="10"/>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9" fillId="32" borderId="0" applyNumberFormat="0" applyBorder="0" applyAlignment="0" applyProtection="0"/>
  </cellStyleXfs>
  <cellXfs count="182">
    <xf numFmtId="0" fontId="0" fillId="0" borderId="0" xfId="0" applyAlignment="1">
      <alignment/>
    </xf>
    <xf numFmtId="0" fontId="5" fillId="0" borderId="10" xfId="0" applyFont="1" applyFill="1" applyBorder="1" applyAlignment="1">
      <alignment horizontal="justify" vertical="top" wrapTex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justify" vertical="center" wrapText="1" shrinkToFit="1"/>
    </xf>
    <xf numFmtId="4" fontId="7"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216"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4" fontId="8" fillId="0" borderId="10" xfId="0" applyNumberFormat="1" applyFont="1" applyFill="1" applyBorder="1" applyAlignment="1">
      <alignment horizontal="center" vertical="center" wrapText="1"/>
    </xf>
    <xf numFmtId="218" fontId="8"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0" fillId="0" borderId="0" xfId="0" applyFont="1" applyFill="1" applyBorder="1" applyAlignment="1">
      <alignment/>
    </xf>
    <xf numFmtId="216" fontId="5" fillId="0" borderId="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6" fillId="0" borderId="10" xfId="0" applyFont="1" applyFill="1" applyBorder="1" applyAlignment="1">
      <alignment horizontal="center" wrapText="1"/>
    </xf>
    <xf numFmtId="3" fontId="8" fillId="0" borderId="10" xfId="0" applyNumberFormat="1" applyFont="1" applyFill="1" applyBorder="1" applyAlignment="1">
      <alignment horizontal="center" vertical="center" wrapText="1"/>
    </xf>
    <xf numFmtId="0" fontId="5" fillId="0" borderId="0" xfId="0" applyFont="1" applyFill="1" applyBorder="1" applyAlignment="1">
      <alignment horizontal="right" vertical="center" textRotation="180" wrapText="1"/>
    </xf>
    <xf numFmtId="0" fontId="0" fillId="0" borderId="0" xfId="0" applyFont="1" applyFill="1" applyAlignment="1">
      <alignment/>
    </xf>
    <xf numFmtId="0" fontId="11" fillId="0" borderId="0" xfId="0" applyFont="1" applyFill="1" applyAlignment="1">
      <alignment horizontal="center" vertical="center" textRotation="180"/>
    </xf>
    <xf numFmtId="0" fontId="5" fillId="0" borderId="0" xfId="0" applyFont="1" applyFill="1" applyBorder="1" applyAlignment="1">
      <alignment horizontal="justify" vertical="top" wrapText="1"/>
    </xf>
    <xf numFmtId="4" fontId="5" fillId="0" borderId="0"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0" fillId="0" borderId="10" xfId="0" applyFont="1" applyFill="1" applyBorder="1" applyAlignment="1">
      <alignment/>
    </xf>
    <xf numFmtId="4" fontId="7"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11" fillId="0" borderId="0" xfId="0" applyFont="1" applyFill="1" applyAlignment="1">
      <alignment vertical="center" wrapText="1"/>
    </xf>
    <xf numFmtId="0" fontId="11" fillId="0" borderId="0" xfId="0" applyFont="1" applyFill="1" applyAlignment="1">
      <alignment/>
    </xf>
    <xf numFmtId="0" fontId="11" fillId="0" borderId="0" xfId="0" applyFont="1" applyFill="1" applyAlignment="1">
      <alignment horizontal="left"/>
    </xf>
    <xf numFmtId="4" fontId="0" fillId="0" borderId="0" xfId="0" applyNumberFormat="1" applyFont="1" applyFill="1" applyAlignment="1">
      <alignment/>
    </xf>
    <xf numFmtId="0" fontId="9" fillId="0" borderId="0" xfId="0" applyFont="1" applyFill="1" applyBorder="1" applyAlignment="1">
      <alignment vertical="center" wrapText="1"/>
    </xf>
    <xf numFmtId="0" fontId="5" fillId="0" borderId="10" xfId="0" applyFont="1" applyFill="1" applyBorder="1" applyAlignment="1">
      <alignment horizontal="center" vertical="center"/>
    </xf>
    <xf numFmtId="4" fontId="9" fillId="0" borderId="10"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49" fontId="4" fillId="0" borderId="10" xfId="0" applyNumberFormat="1" applyFont="1" applyFill="1" applyBorder="1" applyAlignment="1">
      <alignment horizontal="center"/>
    </xf>
    <xf numFmtId="4" fontId="5" fillId="0" borderId="10" xfId="0" applyNumberFormat="1" applyFont="1" applyFill="1" applyBorder="1" applyAlignment="1">
      <alignment/>
    </xf>
    <xf numFmtId="4" fontId="5" fillId="0" borderId="0" xfId="0" applyNumberFormat="1" applyFont="1" applyFill="1" applyBorder="1" applyAlignment="1">
      <alignment/>
    </xf>
    <xf numFmtId="1" fontId="5" fillId="0" borderId="1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1" fontId="6" fillId="0" borderId="10" xfId="0" applyNumberFormat="1" applyFont="1" applyFill="1" applyBorder="1" applyAlignment="1">
      <alignment horizontal="left" wrapText="1"/>
    </xf>
    <xf numFmtId="4" fontId="8" fillId="0" borderId="10" xfId="0" applyNumberFormat="1" applyFont="1" applyFill="1" applyBorder="1" applyAlignment="1">
      <alignment/>
    </xf>
    <xf numFmtId="0" fontId="5" fillId="0" borderId="10" xfId="0" applyFont="1" applyFill="1" applyBorder="1" applyAlignment="1">
      <alignment horizontal="left" vertical="center" wrapText="1" shrinkToFit="1"/>
    </xf>
    <xf numFmtId="218" fontId="8" fillId="0" borderId="1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 fontId="5" fillId="0" borderId="10" xfId="0" applyNumberFormat="1" applyFont="1" applyFill="1" applyBorder="1" applyAlignment="1">
      <alignment horizontal="justify" vertical="center" wrapText="1"/>
    </xf>
    <xf numFmtId="4" fontId="5"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6" fillId="0" borderId="10" xfId="0" applyFont="1" applyFill="1" applyBorder="1" applyAlignment="1">
      <alignment/>
    </xf>
    <xf numFmtId="0" fontId="5" fillId="0" borderId="10" xfId="0" applyFont="1" applyFill="1" applyBorder="1" applyAlignment="1">
      <alignment wrapText="1"/>
    </xf>
    <xf numFmtId="49" fontId="6" fillId="0" borderId="10" xfId="0" applyNumberFormat="1" applyFont="1" applyFill="1" applyBorder="1" applyAlignment="1">
      <alignment horizontal="justify" vertical="center" wrapText="1"/>
    </xf>
    <xf numFmtId="0" fontId="8"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10" xfId="0" applyFont="1" applyFill="1" applyBorder="1" applyAlignment="1">
      <alignment/>
    </xf>
    <xf numFmtId="2" fontId="5" fillId="0" borderId="0"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216" fontId="8" fillId="0" borderId="10" xfId="0" applyNumberFormat="1" applyFont="1" applyFill="1" applyBorder="1" applyAlignment="1">
      <alignment horizontal="center" vertical="center"/>
    </xf>
    <xf numFmtId="0" fontId="15" fillId="0" borderId="0" xfId="0" applyFont="1" applyFill="1" applyAlignment="1">
      <alignment horizontal="center" textRotation="180"/>
    </xf>
    <xf numFmtId="4" fontId="6" fillId="0" borderId="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4" fontId="5" fillId="0" borderId="0" xfId="0" applyNumberFormat="1" applyFont="1" applyFill="1" applyBorder="1" applyAlignment="1">
      <alignment horizontal="center" vertical="top" wrapText="1"/>
    </xf>
    <xf numFmtId="0" fontId="9" fillId="0" borderId="0" xfId="0" applyFont="1" applyFill="1" applyAlignment="1">
      <alignment horizontal="left" wrapText="1"/>
    </xf>
    <xf numFmtId="0" fontId="9" fillId="0" borderId="0" xfId="0" applyFont="1" applyFill="1" applyAlignment="1">
      <alignment horizontal="left"/>
    </xf>
    <xf numFmtId="0" fontId="12" fillId="0" borderId="0" xfId="0" applyFont="1" applyFill="1" applyAlignment="1">
      <alignment horizontal="center"/>
    </xf>
    <xf numFmtId="1" fontId="7" fillId="0" borderId="0" xfId="0" applyNumberFormat="1" applyFont="1" applyFill="1" applyBorder="1" applyAlignment="1">
      <alignment horizontal="left" wrapText="1"/>
    </xf>
    <xf numFmtId="1" fontId="9" fillId="0" borderId="0" xfId="0" applyNumberFormat="1" applyFont="1" applyFill="1" applyBorder="1" applyAlignment="1">
      <alignment horizontal="left" wrapText="1"/>
    </xf>
    <xf numFmtId="4" fontId="3" fillId="0" borderId="0" xfId="0" applyNumberFormat="1" applyFont="1" applyFill="1" applyBorder="1" applyAlignment="1">
      <alignment horizontal="center" vertical="center" wrapText="1"/>
    </xf>
    <xf numFmtId="0" fontId="14" fillId="0" borderId="0" xfId="0" applyFont="1" applyFill="1" applyAlignment="1">
      <alignment/>
    </xf>
    <xf numFmtId="0" fontId="13" fillId="0" borderId="0" xfId="0" applyFont="1" applyFill="1" applyAlignment="1">
      <alignment horizontal="center" vertical="center" textRotation="180"/>
    </xf>
    <xf numFmtId="0" fontId="7" fillId="0" borderId="0" xfId="0" applyFont="1" applyFill="1" applyBorder="1" applyAlignment="1">
      <alignment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9" fillId="0" borderId="0" xfId="0" applyFont="1" applyFill="1" applyBorder="1" applyAlignment="1">
      <alignment horizontal="left" wrapText="1"/>
    </xf>
    <xf numFmtId="0" fontId="5" fillId="0" borderId="0" xfId="0" applyFont="1" applyFill="1" applyBorder="1" applyAlignment="1">
      <alignment horizontal="justify" vertical="center" wrapText="1" shrinkToFit="1"/>
    </xf>
    <xf numFmtId="0" fontId="5" fillId="0" borderId="0" xfId="0" applyFont="1" applyFill="1" applyAlignment="1">
      <alignment vertical="center" wrapText="1"/>
    </xf>
    <xf numFmtId="3" fontId="0" fillId="0" borderId="0" xfId="0" applyNumberFormat="1" applyFont="1" applyFill="1" applyAlignment="1">
      <alignment/>
    </xf>
    <xf numFmtId="49" fontId="5" fillId="0" borderId="10"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shrinkToFit="1"/>
    </xf>
    <xf numFmtId="0" fontId="6" fillId="0" borderId="10" xfId="0" applyFont="1" applyFill="1" applyBorder="1" applyAlignment="1">
      <alignment horizontal="left" vertical="top" wrapText="1"/>
    </xf>
    <xf numFmtId="0" fontId="7" fillId="0" borderId="0" xfId="0" applyFont="1" applyFill="1" applyBorder="1" applyAlignment="1">
      <alignment horizontal="left"/>
    </xf>
    <xf numFmtId="0" fontId="9" fillId="0" borderId="0" xfId="0" applyFont="1" applyFill="1" applyBorder="1" applyAlignment="1">
      <alignment horizontal="left" vertical="center"/>
    </xf>
    <xf numFmtId="0" fontId="0" fillId="0" borderId="10" xfId="0" applyFont="1" applyFill="1" applyBorder="1" applyAlignment="1">
      <alignment horizontal="center"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49" fontId="6" fillId="0" borderId="10" xfId="0" applyNumberFormat="1" applyFont="1" applyFill="1" applyBorder="1" applyAlignment="1">
      <alignment horizontal="justify" vertical="center"/>
    </xf>
    <xf numFmtId="0" fontId="3" fillId="0" borderId="0" xfId="0" applyFont="1" applyFill="1" applyBorder="1" applyAlignment="1">
      <alignment vertical="center" wrapText="1"/>
    </xf>
    <xf numFmtId="0" fontId="5" fillId="0" borderId="10" xfId="0" applyFont="1" applyFill="1" applyBorder="1" applyAlignment="1">
      <alignment horizontal="left" vertical="center"/>
    </xf>
    <xf numFmtId="0" fontId="5" fillId="0" borderId="0" xfId="0" applyFont="1" applyFill="1" applyBorder="1" applyAlignment="1">
      <alignment vertical="center"/>
    </xf>
    <xf numFmtId="0" fontId="7" fillId="0" borderId="10" xfId="0" applyFont="1" applyFill="1" applyBorder="1" applyAlignment="1">
      <alignment horizontal="center" vertical="top" wrapText="1"/>
    </xf>
    <xf numFmtId="218" fontId="7" fillId="0" borderId="10" xfId="0" applyNumberFormat="1" applyFont="1" applyFill="1" applyBorder="1" applyAlignment="1">
      <alignment horizontal="center" vertical="center"/>
    </xf>
    <xf numFmtId="0" fontId="5" fillId="0" borderId="10" xfId="0" applyFont="1" applyFill="1" applyBorder="1" applyAlignment="1">
      <alignment vertical="top" wrapText="1"/>
    </xf>
    <xf numFmtId="4" fontId="9"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xf>
    <xf numFmtId="0" fontId="12" fillId="0" borderId="10" xfId="0" applyFont="1" applyFill="1" applyBorder="1" applyAlignment="1">
      <alignment horizontal="center" vertical="center" wrapText="1"/>
    </xf>
    <xf numFmtId="4" fontId="6" fillId="0" borderId="10" xfId="0" applyNumberFormat="1" applyFont="1" applyFill="1" applyBorder="1" applyAlignment="1">
      <alignment/>
    </xf>
    <xf numFmtId="0" fontId="7" fillId="0" borderId="10" xfId="0" applyFont="1" applyFill="1" applyBorder="1" applyAlignment="1">
      <alignment vertical="top" wrapText="1"/>
    </xf>
    <xf numFmtId="4" fontId="7" fillId="0" borderId="10" xfId="0" applyNumberFormat="1" applyFont="1" applyFill="1" applyBorder="1" applyAlignment="1">
      <alignment/>
    </xf>
    <xf numFmtId="49" fontId="3" fillId="0" borderId="10" xfId="0" applyNumberFormat="1" applyFont="1" applyFill="1" applyBorder="1" applyAlignment="1">
      <alignment horizontal="center" vertical="top" wrapText="1"/>
    </xf>
    <xf numFmtId="0" fontId="9" fillId="0" borderId="10" xfId="0" applyFont="1" applyFill="1" applyBorder="1" applyAlignment="1">
      <alignment/>
    </xf>
    <xf numFmtId="3"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wrapText="1"/>
    </xf>
    <xf numFmtId="4" fontId="12" fillId="0" borderId="10" xfId="0" applyNumberFormat="1" applyFont="1" applyFill="1" applyBorder="1" applyAlignment="1">
      <alignment horizontal="center" vertical="center"/>
    </xf>
    <xf numFmtId="0" fontId="6" fillId="0" borderId="10" xfId="0" applyFont="1" applyFill="1" applyBorder="1" applyAlignment="1">
      <alignment wrapText="1"/>
    </xf>
    <xf numFmtId="0" fontId="6" fillId="0" borderId="10" xfId="0" applyFont="1" applyFill="1" applyBorder="1" applyAlignment="1">
      <alignment vertical="top" wrapText="1"/>
    </xf>
    <xf numFmtId="0" fontId="10" fillId="0" borderId="10" xfId="0" applyFont="1" applyFill="1" applyBorder="1" applyAlignment="1">
      <alignment horizontal="justify" vertical="center" wrapText="1"/>
    </xf>
    <xf numFmtId="4" fontId="10"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textRotation="180"/>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center" wrapText="1" shrinkToFit="1"/>
    </xf>
    <xf numFmtId="0" fontId="7" fillId="0" borderId="0" xfId="0" applyFont="1" applyFill="1" applyBorder="1" applyAlignment="1">
      <alignment vertical="top" wrapText="1"/>
    </xf>
    <xf numFmtId="0" fontId="3" fillId="0" borderId="10" xfId="0" applyFont="1" applyFill="1" applyBorder="1" applyAlignment="1">
      <alignment horizontal="left" vertical="center"/>
    </xf>
    <xf numFmtId="0" fontId="9" fillId="0" borderId="1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8" fillId="0" borderId="10" xfId="0" applyFont="1" applyFill="1" applyBorder="1" applyAlignment="1">
      <alignment/>
    </xf>
    <xf numFmtId="216" fontId="8" fillId="0" borderId="10" xfId="0" applyNumberFormat="1" applyFont="1" applyFill="1" applyBorder="1" applyAlignment="1">
      <alignment horizontal="center"/>
    </xf>
    <xf numFmtId="0" fontId="9" fillId="0" borderId="10" xfId="0" applyFont="1" applyFill="1" applyBorder="1" applyAlignment="1">
      <alignment horizontal="left"/>
    </xf>
    <xf numFmtId="0" fontId="9" fillId="0" borderId="0" xfId="0" applyFont="1" applyFill="1" applyBorder="1" applyAlignment="1">
      <alignment horizontal="left"/>
    </xf>
    <xf numFmtId="0" fontId="3" fillId="0" borderId="10" xfId="0" applyFont="1" applyFill="1" applyBorder="1" applyAlignment="1">
      <alignment horizontal="left"/>
    </xf>
    <xf numFmtId="4" fontId="7"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2" fontId="0" fillId="0" borderId="0" xfId="0" applyNumberFormat="1" applyFont="1" applyFill="1" applyAlignment="1">
      <alignment/>
    </xf>
    <xf numFmtId="0" fontId="10" fillId="0" borderId="10" xfId="0" applyFont="1" applyFill="1" applyBorder="1" applyAlignment="1">
      <alignment vertical="top" wrapText="1"/>
    </xf>
    <xf numFmtId="49" fontId="3"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5" fillId="0" borderId="0" xfId="0" applyFont="1" applyFill="1" applyBorder="1" applyAlignment="1">
      <alignment horizontal="justify" vertical="center"/>
    </xf>
    <xf numFmtId="4" fontId="6"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 fontId="9" fillId="33" borderId="10"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5" fillId="0" borderId="10" xfId="0" applyFont="1" applyFill="1" applyBorder="1" applyAlignment="1">
      <alignment vertical="center" wrapText="1"/>
    </xf>
    <xf numFmtId="0" fontId="15" fillId="0" borderId="0" xfId="0" applyFont="1" applyFill="1" applyAlignment="1">
      <alignment/>
    </xf>
    <xf numFmtId="3" fontId="8" fillId="33" borderId="10" xfId="0" applyNumberFormat="1" applyFont="1" applyFill="1" applyBorder="1" applyAlignment="1">
      <alignment horizontal="center" vertical="center"/>
    </xf>
    <xf numFmtId="4" fontId="8" fillId="33" borderId="10" xfId="0" applyNumberFormat="1" applyFont="1" applyFill="1" applyBorder="1" applyAlignment="1">
      <alignment horizontal="center" vertical="center"/>
    </xf>
    <xf numFmtId="2" fontId="8" fillId="33" borderId="10" xfId="0" applyNumberFormat="1" applyFont="1" applyFill="1" applyBorder="1" applyAlignment="1">
      <alignment horizontal="center" vertical="center"/>
    </xf>
    <xf numFmtId="0" fontId="9" fillId="0" borderId="10" xfId="0" applyFont="1" applyFill="1" applyBorder="1" applyAlignment="1">
      <alignment vertical="center" wrapText="1"/>
    </xf>
    <xf numFmtId="0" fontId="9" fillId="33" borderId="10" xfId="0" applyFont="1" applyFill="1" applyBorder="1" applyAlignment="1">
      <alignment wrapText="1"/>
    </xf>
    <xf numFmtId="0" fontId="11" fillId="0" borderId="0" xfId="0" applyFont="1" applyFill="1" applyAlignment="1">
      <alignment horizontal="left" vertical="center" wrapText="1"/>
    </xf>
    <xf numFmtId="1" fontId="6" fillId="0" borderId="10" xfId="0" applyNumberFormat="1" applyFont="1" applyFill="1" applyBorder="1" applyAlignment="1">
      <alignment horizontal="justify" vertical="center" wrapText="1"/>
    </xf>
    <xf numFmtId="0" fontId="9" fillId="0" borderId="0" xfId="0" applyFont="1" applyFill="1" applyAlignment="1">
      <alignment horizontal="center"/>
    </xf>
    <xf numFmtId="0" fontId="13" fillId="0" borderId="0" xfId="0" applyFont="1" applyFill="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vertical="center" wrapText="1"/>
    </xf>
    <xf numFmtId="0" fontId="9" fillId="0" borderId="0" xfId="0" applyFont="1" applyFill="1" applyAlignment="1">
      <alignment horizontal="justify" vertical="top" wrapText="1"/>
    </xf>
    <xf numFmtId="0" fontId="15" fillId="0" borderId="0" xfId="0" applyFont="1" applyFill="1" applyAlignment="1">
      <alignment horizontal="center" textRotation="180"/>
    </xf>
    <xf numFmtId="0" fontId="7" fillId="0" borderId="10" xfId="0" applyFont="1" applyFill="1" applyBorder="1" applyAlignment="1">
      <alignment horizontal="left" vertical="center" wrapText="1"/>
    </xf>
    <xf numFmtId="216" fontId="5" fillId="0" borderId="0" xfId="0" applyNumberFormat="1" applyFont="1" applyFill="1" applyBorder="1" applyAlignment="1">
      <alignment horizontal="right" vertical="center"/>
    </xf>
    <xf numFmtId="1" fontId="7" fillId="0" borderId="10" xfId="0" applyNumberFormat="1" applyFont="1" applyFill="1" applyBorder="1" applyAlignment="1">
      <alignment horizontal="left"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xf>
    <xf numFmtId="0" fontId="9" fillId="0" borderId="0" xfId="0" applyFont="1" applyFill="1" applyAlignment="1">
      <alignment horizontal="left"/>
    </xf>
    <xf numFmtId="1" fontId="9" fillId="0" borderId="10" xfId="0" applyNumberFormat="1" applyFont="1" applyFill="1" applyBorder="1" applyAlignment="1">
      <alignment horizontal="left" wrapText="1"/>
    </xf>
    <xf numFmtId="0" fontId="9"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6" fillId="0" borderId="10" xfId="0" applyNumberFormat="1" applyFont="1" applyFill="1" applyBorder="1" applyAlignment="1">
      <alignment horizontal="justify" vertical="center" wrapText="1"/>
    </xf>
    <xf numFmtId="0" fontId="5" fillId="0" borderId="10" xfId="0" applyFont="1" applyFill="1" applyBorder="1" applyAlignment="1">
      <alignment horizontal="left" vertical="center"/>
    </xf>
    <xf numFmtId="0" fontId="9" fillId="0" borderId="10" xfId="0" applyFont="1" applyFill="1" applyBorder="1" applyAlignment="1">
      <alignment horizontal="left"/>
    </xf>
    <xf numFmtId="0" fontId="9"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9"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2"/>
  <sheetViews>
    <sheetView tabSelected="1" zoomScale="90" zoomScaleNormal="90" zoomScaleSheetLayoutView="80" zoomScalePageLayoutView="0" workbookViewId="0" topLeftCell="A1">
      <selection activeCell="H3" sqref="H3:K3"/>
    </sheetView>
  </sheetViews>
  <sheetFormatPr defaultColWidth="9.140625" defaultRowHeight="12.75"/>
  <cols>
    <col min="1" max="1" width="62.7109375" style="19" customWidth="1"/>
    <col min="2" max="2" width="14.7109375" style="19" customWidth="1"/>
    <col min="3" max="3" width="16.140625" style="19" customWidth="1"/>
    <col min="4" max="4" width="16.57421875" style="19" customWidth="1"/>
    <col min="5" max="5" width="14.140625" style="19" customWidth="1"/>
    <col min="6" max="7" width="17.421875" style="19" customWidth="1"/>
    <col min="8" max="8" width="13.7109375" style="19" customWidth="1"/>
    <col min="9" max="9" width="17.421875" style="19" customWidth="1"/>
    <col min="10" max="10" width="17.28125" style="19" customWidth="1"/>
    <col min="11" max="11" width="14.421875" style="19" customWidth="1"/>
    <col min="12" max="12" width="7.140625" style="19" customWidth="1"/>
    <col min="13" max="13" width="4.00390625" style="19" customWidth="1"/>
    <col min="14" max="14" width="36.00390625" style="20" customWidth="1"/>
    <col min="15" max="15" width="12.7109375" style="19" bestFit="1" customWidth="1"/>
    <col min="16" max="16384" width="9.140625" style="19" customWidth="1"/>
  </cols>
  <sheetData>
    <row r="1" spans="8:11" ht="20.25" customHeight="1">
      <c r="H1" s="159" t="s">
        <v>190</v>
      </c>
      <c r="I1" s="159"/>
      <c r="J1" s="159"/>
      <c r="K1" s="151"/>
    </row>
    <row r="2" spans="1:12" ht="99" customHeight="1">
      <c r="A2" s="12"/>
      <c r="H2" s="163" t="s">
        <v>254</v>
      </c>
      <c r="I2" s="163"/>
      <c r="J2" s="163"/>
      <c r="K2" s="163"/>
      <c r="L2" s="72"/>
    </row>
    <row r="3" spans="1:11" ht="15.75">
      <c r="A3" s="11"/>
      <c r="H3" s="170"/>
      <c r="I3" s="170"/>
      <c r="J3" s="170"/>
      <c r="K3" s="170"/>
    </row>
    <row r="4" spans="8:10" ht="15.75">
      <c r="H4" s="73"/>
      <c r="I4" s="73"/>
      <c r="J4" s="73"/>
    </row>
    <row r="5" spans="1:12" ht="41.25" customHeight="1">
      <c r="A5" s="160" t="s">
        <v>226</v>
      </c>
      <c r="B5" s="160"/>
      <c r="C5" s="160"/>
      <c r="D5" s="160"/>
      <c r="E5" s="160"/>
      <c r="F5" s="160"/>
      <c r="G5" s="160"/>
      <c r="H5" s="160"/>
      <c r="I5" s="160"/>
      <c r="J5" s="160"/>
      <c r="K5" s="160"/>
      <c r="L5" s="38"/>
    </row>
    <row r="6" ht="12.75">
      <c r="A6" s="74"/>
    </row>
    <row r="7" spans="1:12" ht="32.25" customHeight="1">
      <c r="A7" s="162" t="s">
        <v>70</v>
      </c>
      <c r="B7" s="162" t="s">
        <v>21</v>
      </c>
      <c r="C7" s="162" t="s">
        <v>176</v>
      </c>
      <c r="D7" s="162"/>
      <c r="E7" s="162"/>
      <c r="F7" s="162" t="s">
        <v>198</v>
      </c>
      <c r="G7" s="162"/>
      <c r="H7" s="162"/>
      <c r="I7" s="162" t="s">
        <v>199</v>
      </c>
      <c r="J7" s="162"/>
      <c r="K7" s="162"/>
      <c r="L7" s="39"/>
    </row>
    <row r="8" spans="1:12" ht="15" customHeight="1">
      <c r="A8" s="162"/>
      <c r="B8" s="162"/>
      <c r="C8" s="162"/>
      <c r="D8" s="162"/>
      <c r="E8" s="162"/>
      <c r="F8" s="162"/>
      <c r="G8" s="162"/>
      <c r="H8" s="162"/>
      <c r="I8" s="162"/>
      <c r="J8" s="162"/>
      <c r="K8" s="162"/>
      <c r="L8" s="39"/>
    </row>
    <row r="9" spans="1:12" ht="18.75" customHeight="1">
      <c r="A9" s="162"/>
      <c r="B9" s="162"/>
      <c r="C9" s="162" t="s">
        <v>184</v>
      </c>
      <c r="D9" s="161" t="s">
        <v>0</v>
      </c>
      <c r="E9" s="161"/>
      <c r="F9" s="162" t="s">
        <v>183</v>
      </c>
      <c r="G9" s="161" t="s">
        <v>0</v>
      </c>
      <c r="H9" s="161"/>
      <c r="I9" s="161" t="s">
        <v>222</v>
      </c>
      <c r="J9" s="161" t="s">
        <v>0</v>
      </c>
      <c r="K9" s="161"/>
      <c r="L9" s="23"/>
    </row>
    <row r="10" spans="1:12" ht="28.5">
      <c r="A10" s="162"/>
      <c r="B10" s="162"/>
      <c r="C10" s="162"/>
      <c r="D10" s="16" t="s">
        <v>1</v>
      </c>
      <c r="E10" s="16" t="s">
        <v>2</v>
      </c>
      <c r="F10" s="162"/>
      <c r="G10" s="16" t="s">
        <v>1</v>
      </c>
      <c r="H10" s="16" t="s">
        <v>2</v>
      </c>
      <c r="I10" s="161"/>
      <c r="J10" s="16" t="s">
        <v>1</v>
      </c>
      <c r="K10" s="16" t="s">
        <v>2</v>
      </c>
      <c r="L10" s="23"/>
    </row>
    <row r="11" spans="1:12" ht="15.75" customHeight="1">
      <c r="A11" s="14">
        <v>1</v>
      </c>
      <c r="B11" s="15">
        <v>2</v>
      </c>
      <c r="C11" s="16">
        <v>3</v>
      </c>
      <c r="D11" s="16">
        <v>4</v>
      </c>
      <c r="E11" s="16">
        <v>5</v>
      </c>
      <c r="F11" s="16">
        <v>6</v>
      </c>
      <c r="G11" s="16">
        <v>7</v>
      </c>
      <c r="H11" s="16">
        <v>8</v>
      </c>
      <c r="I11" s="16">
        <v>9</v>
      </c>
      <c r="J11" s="16">
        <v>10</v>
      </c>
      <c r="K11" s="16">
        <v>11</v>
      </c>
      <c r="L11" s="23"/>
    </row>
    <row r="12" spans="1:15" ht="21.75" customHeight="1">
      <c r="A12" s="70" t="s">
        <v>3</v>
      </c>
      <c r="B12" s="1"/>
      <c r="C12" s="10">
        <f>D12+E12</f>
        <v>86264097</v>
      </c>
      <c r="D12" s="10">
        <f>+D17+D121+D141+D167+D198+D211+D223+D239+D363+D399+D329+D357+D88</f>
        <v>86222097</v>
      </c>
      <c r="E12" s="10">
        <f>+E17+E121+E141+E167+E198+E211+E223+E239+E345+E363+E399+E329</f>
        <v>42000</v>
      </c>
      <c r="F12" s="10">
        <f>G12+H12</f>
        <v>88059013</v>
      </c>
      <c r="G12" s="10">
        <f>+G17++G88+G121+G141+G167+G198+G211+G223+G239+G363+G399+G329+G357</f>
        <v>88018433</v>
      </c>
      <c r="H12" s="10">
        <f>+H17+H121+H141+H167+H198+H211+H223+H239+H345+H363+H399+H329</f>
        <v>40580</v>
      </c>
      <c r="I12" s="10">
        <f>J12+K12</f>
        <v>91686675</v>
      </c>
      <c r="J12" s="10">
        <f>+J17+J88+J121+J141+J167+J198+J211+J223+J239+J363+J399+J329+J357</f>
        <v>91641675</v>
      </c>
      <c r="K12" s="10">
        <f>+K17+K121+K141+K167+K198+K211+K223+K239+K345+K363+K399+K329</f>
        <v>45000</v>
      </c>
      <c r="L12" s="71"/>
      <c r="O12" s="34"/>
    </row>
    <row r="13" spans="1:12" ht="17.25" customHeight="1">
      <c r="A13" s="26" t="s">
        <v>105</v>
      </c>
      <c r="B13" s="27"/>
      <c r="C13" s="36"/>
      <c r="D13" s="36"/>
      <c r="E13" s="36"/>
      <c r="F13" s="36"/>
      <c r="G13" s="36"/>
      <c r="H13" s="36"/>
      <c r="I13" s="36"/>
      <c r="J13" s="36"/>
      <c r="K13" s="36"/>
      <c r="L13" s="61"/>
    </row>
    <row r="14" spans="1:12" ht="33" customHeight="1">
      <c r="A14" s="2" t="s">
        <v>64</v>
      </c>
      <c r="B14" s="27"/>
      <c r="C14" s="36"/>
      <c r="D14" s="36"/>
      <c r="E14" s="36"/>
      <c r="F14" s="36"/>
      <c r="G14" s="36"/>
      <c r="H14" s="36"/>
      <c r="I14" s="36"/>
      <c r="J14" s="36"/>
      <c r="K14" s="36"/>
      <c r="L14" s="61"/>
    </row>
    <row r="15" spans="1:12" ht="15.75" customHeight="1">
      <c r="A15" s="167" t="s">
        <v>177</v>
      </c>
      <c r="B15" s="167"/>
      <c r="C15" s="167"/>
      <c r="D15" s="167"/>
      <c r="E15" s="167"/>
      <c r="F15" s="167"/>
      <c r="G15" s="167"/>
      <c r="H15" s="167"/>
      <c r="I15" s="167"/>
      <c r="J15" s="167"/>
      <c r="K15" s="167"/>
      <c r="L15" s="75"/>
    </row>
    <row r="16" spans="1:12" ht="17.25" customHeight="1">
      <c r="A16" s="171" t="s">
        <v>19</v>
      </c>
      <c r="B16" s="171"/>
      <c r="C16" s="171"/>
      <c r="D16" s="171"/>
      <c r="E16" s="171"/>
      <c r="F16" s="171"/>
      <c r="G16" s="171"/>
      <c r="H16" s="171"/>
      <c r="I16" s="171"/>
      <c r="J16" s="171"/>
      <c r="K16" s="171"/>
      <c r="L16" s="76"/>
    </row>
    <row r="17" spans="1:14" s="78" customFormat="1" ht="23.25" customHeight="1">
      <c r="A17" s="162" t="s">
        <v>6</v>
      </c>
      <c r="B17" s="27" t="s">
        <v>15</v>
      </c>
      <c r="C17" s="4">
        <f>+D17+E17</f>
        <v>14261471</v>
      </c>
      <c r="D17" s="4">
        <f>+D18+D19</f>
        <v>14219471</v>
      </c>
      <c r="E17" s="4">
        <f>+E18+E19</f>
        <v>42000</v>
      </c>
      <c r="F17" s="4">
        <f>+G17+H17</f>
        <v>11993717</v>
      </c>
      <c r="G17" s="4">
        <f>+G18+G19</f>
        <v>11953137</v>
      </c>
      <c r="H17" s="4">
        <f>+H18+H19</f>
        <v>40580</v>
      </c>
      <c r="I17" s="4">
        <f>J17+K17</f>
        <v>11019597</v>
      </c>
      <c r="J17" s="4">
        <f>+J18+J19</f>
        <v>10974597</v>
      </c>
      <c r="K17" s="4">
        <f>+K18+K19</f>
        <v>45000</v>
      </c>
      <c r="L17" s="77"/>
      <c r="N17" s="79"/>
    </row>
    <row r="18" spans="1:14" s="78" customFormat="1" ht="23.25" customHeight="1">
      <c r="A18" s="162"/>
      <c r="B18" s="52" t="s">
        <v>106</v>
      </c>
      <c r="C18" s="4">
        <f>+D18+E18</f>
        <v>14088801</v>
      </c>
      <c r="D18" s="4">
        <f>+D29+D43+D20+D55++D63+D77</f>
        <v>14046801</v>
      </c>
      <c r="E18" s="4">
        <f>+E29+E43+E20+E55+E103+E63+E77</f>
        <v>42000</v>
      </c>
      <c r="F18" s="4">
        <f>+G18+H18</f>
        <v>11801307</v>
      </c>
      <c r="G18" s="4">
        <f>+G29+G43+G20+G55++G63+G77</f>
        <v>11760727</v>
      </c>
      <c r="H18" s="4">
        <f>+H29+H43+H20+H55+H103+H63+H77</f>
        <v>40580</v>
      </c>
      <c r="I18" s="4">
        <f>J18+K18</f>
        <v>10817097</v>
      </c>
      <c r="J18" s="4">
        <f>+J29+J43+J20+J55++J63+J77</f>
        <v>10772097</v>
      </c>
      <c r="K18" s="4">
        <f>+K29+K43+K20+K55+K103+K63+K77</f>
        <v>45000</v>
      </c>
      <c r="L18" s="77"/>
      <c r="N18" s="79"/>
    </row>
    <row r="19" spans="1:14" s="78" customFormat="1" ht="23.25" customHeight="1">
      <c r="A19" s="162"/>
      <c r="B19" s="52" t="s">
        <v>107</v>
      </c>
      <c r="C19" s="4">
        <f>D19</f>
        <v>172670</v>
      </c>
      <c r="D19" s="4">
        <f>D30</f>
        <v>172670</v>
      </c>
      <c r="E19" s="4">
        <v>0</v>
      </c>
      <c r="F19" s="4">
        <f>G19</f>
        <v>192410</v>
      </c>
      <c r="G19" s="4">
        <f>G30</f>
        <v>192410</v>
      </c>
      <c r="H19" s="4">
        <v>0</v>
      </c>
      <c r="I19" s="4">
        <f>J19</f>
        <v>202500</v>
      </c>
      <c r="J19" s="4">
        <f>J30</f>
        <v>202500</v>
      </c>
      <c r="K19" s="4">
        <v>0</v>
      </c>
      <c r="L19" s="77"/>
      <c r="N19" s="79"/>
    </row>
    <row r="20" spans="1:12" ht="31.5" customHeight="1">
      <c r="A20" s="24" t="s">
        <v>17</v>
      </c>
      <c r="B20" s="52" t="s">
        <v>106</v>
      </c>
      <c r="C20" s="28">
        <f>D20</f>
        <v>12639251</v>
      </c>
      <c r="D20" s="28">
        <f>-115461+12826568-71856</f>
        <v>12639251</v>
      </c>
      <c r="E20" s="28">
        <v>0</v>
      </c>
      <c r="F20" s="4">
        <f>G20</f>
        <v>10054998</v>
      </c>
      <c r="G20" s="4">
        <v>10054998</v>
      </c>
      <c r="H20" s="4">
        <v>0</v>
      </c>
      <c r="I20" s="4">
        <f>J20</f>
        <v>8561675</v>
      </c>
      <c r="J20" s="4">
        <f>250000+8311675</f>
        <v>8561675</v>
      </c>
      <c r="K20" s="4">
        <v>0</v>
      </c>
      <c r="L20" s="18"/>
    </row>
    <row r="21" spans="1:12" ht="18" customHeight="1">
      <c r="A21" s="1" t="s">
        <v>4</v>
      </c>
      <c r="B21" s="27"/>
      <c r="C21" s="41"/>
      <c r="D21" s="41"/>
      <c r="E21" s="41"/>
      <c r="F21" s="41"/>
      <c r="G21" s="41"/>
      <c r="H21" s="41"/>
      <c r="I21" s="41"/>
      <c r="J21" s="41"/>
      <c r="K21" s="41"/>
      <c r="L21" s="42"/>
    </row>
    <row r="22" spans="1:12" ht="15">
      <c r="A22" s="24" t="s">
        <v>5</v>
      </c>
      <c r="B22" s="27"/>
      <c r="C22" s="41"/>
      <c r="D22" s="41"/>
      <c r="E22" s="41"/>
      <c r="F22" s="41"/>
      <c r="G22" s="41"/>
      <c r="H22" s="41"/>
      <c r="I22" s="41"/>
      <c r="J22" s="41"/>
      <c r="K22" s="41"/>
      <c r="L22" s="42"/>
    </row>
    <row r="23" spans="1:15" ht="18" customHeight="1">
      <c r="A23" s="43" t="s">
        <v>9</v>
      </c>
      <c r="B23" s="27"/>
      <c r="C23" s="29">
        <f>D23+E23</f>
        <v>3472</v>
      </c>
      <c r="D23" s="29">
        <v>3472</v>
      </c>
      <c r="E23" s="29">
        <v>0</v>
      </c>
      <c r="F23" s="29">
        <f>G23+H23</f>
        <v>3725</v>
      </c>
      <c r="G23" s="29">
        <v>3725</v>
      </c>
      <c r="H23" s="29">
        <v>0</v>
      </c>
      <c r="I23" s="29">
        <f>J23+K23</f>
        <v>3706</v>
      </c>
      <c r="J23" s="29">
        <f>1+3705</f>
        <v>3706</v>
      </c>
      <c r="K23" s="29">
        <v>0</v>
      </c>
      <c r="L23" s="44"/>
      <c r="M23" s="164"/>
      <c r="O23" s="86" t="e">
        <f>D23+D33+D46+D109+D144+D171+D184+D202+D214+D247+D248+#REF!+D249+D265+D276+D333+D367+D368+D377+D378+D390+D391+#REF!+D404+D405+D414+D415+#REF!+D427+D428</f>
        <v>#REF!</v>
      </c>
    </row>
    <row r="24" spans="1:13" ht="17.25" customHeight="1">
      <c r="A24" s="45" t="s">
        <v>13</v>
      </c>
      <c r="B24" s="27"/>
      <c r="C24" s="46"/>
      <c r="D24" s="46"/>
      <c r="E24" s="46"/>
      <c r="F24" s="46"/>
      <c r="G24" s="46"/>
      <c r="H24" s="46"/>
      <c r="I24" s="46"/>
      <c r="J24" s="46"/>
      <c r="K24" s="46"/>
      <c r="L24" s="42"/>
      <c r="M24" s="164"/>
    </row>
    <row r="25" spans="1:12" ht="16.5">
      <c r="A25" s="47" t="s">
        <v>10</v>
      </c>
      <c r="B25" s="27"/>
      <c r="C25" s="30">
        <f>D25+E25</f>
        <v>3640.3372695852536</v>
      </c>
      <c r="D25" s="30">
        <f>D20/D23</f>
        <v>3640.3372695852536</v>
      </c>
      <c r="E25" s="30">
        <v>0</v>
      </c>
      <c r="F25" s="30">
        <f>G25+H25</f>
        <v>2699.328322147651</v>
      </c>
      <c r="G25" s="8">
        <f>G20/G23</f>
        <v>2699.328322147651</v>
      </c>
      <c r="H25" s="30">
        <v>0</v>
      </c>
      <c r="I25" s="30">
        <f>J25+K25</f>
        <v>2310.2199136535346</v>
      </c>
      <c r="J25" s="8">
        <f>J20/J23</f>
        <v>2310.2199136535346</v>
      </c>
      <c r="K25" s="30">
        <v>0</v>
      </c>
      <c r="L25" s="22"/>
    </row>
    <row r="26" spans="1:12" ht="16.5">
      <c r="A26" s="2" t="s">
        <v>12</v>
      </c>
      <c r="B26" s="27"/>
      <c r="C26" s="30"/>
      <c r="D26" s="30"/>
      <c r="E26" s="30"/>
      <c r="F26" s="30"/>
      <c r="G26" s="8"/>
      <c r="H26" s="30"/>
      <c r="I26" s="30"/>
      <c r="J26" s="8"/>
      <c r="K26" s="30"/>
      <c r="L26" s="22"/>
    </row>
    <row r="27" spans="1:12" ht="38.25" customHeight="1">
      <c r="A27" s="47" t="s">
        <v>22</v>
      </c>
      <c r="B27" s="27"/>
      <c r="C27" s="48">
        <f>D27+E27</f>
        <v>112.57704391326031</v>
      </c>
      <c r="D27" s="48">
        <f>D20/(11370553-19222-52274-71856)*100</f>
        <v>112.57704391326031</v>
      </c>
      <c r="E27" s="48">
        <v>0</v>
      </c>
      <c r="F27" s="48">
        <f>G27+H27</f>
        <v>79.55374887325206</v>
      </c>
      <c r="G27" s="9">
        <f>G20/D20*100</f>
        <v>79.55374887325206</v>
      </c>
      <c r="H27" s="48">
        <v>0</v>
      </c>
      <c r="I27" s="48">
        <f>J27+K27</f>
        <v>85.14845055165601</v>
      </c>
      <c r="J27" s="9">
        <f>J20/G20*100</f>
        <v>85.14845055165601</v>
      </c>
      <c r="K27" s="48">
        <v>0</v>
      </c>
      <c r="L27" s="22"/>
    </row>
    <row r="28" spans="1:12" ht="22.5" customHeight="1">
      <c r="A28" s="173" t="s">
        <v>20</v>
      </c>
      <c r="B28" s="27" t="s">
        <v>15</v>
      </c>
      <c r="C28" s="28">
        <f>C29+C30</f>
        <v>906468</v>
      </c>
      <c r="D28" s="28">
        <f>D29+D30</f>
        <v>906468</v>
      </c>
      <c r="E28" s="28">
        <f>E29+E30</f>
        <v>0</v>
      </c>
      <c r="F28" s="28">
        <f aca="true" t="shared" si="0" ref="F28:K28">F29+F30</f>
        <v>1304148</v>
      </c>
      <c r="G28" s="28">
        <f t="shared" si="0"/>
        <v>1304148</v>
      </c>
      <c r="H28" s="28">
        <f t="shared" si="0"/>
        <v>0</v>
      </c>
      <c r="I28" s="28">
        <f>I29+I30</f>
        <v>1667258</v>
      </c>
      <c r="J28" s="28">
        <f>J29+J30</f>
        <v>1667258</v>
      </c>
      <c r="K28" s="28">
        <f t="shared" si="0"/>
        <v>0</v>
      </c>
      <c r="L28" s="49"/>
    </row>
    <row r="29" spans="1:13" ht="22.5" customHeight="1">
      <c r="A29" s="173"/>
      <c r="B29" s="40" t="s">
        <v>106</v>
      </c>
      <c r="C29" s="28">
        <f>D29+E29</f>
        <v>733798</v>
      </c>
      <c r="D29" s="28">
        <f>71856+661942</f>
        <v>733798</v>
      </c>
      <c r="E29" s="28">
        <v>0</v>
      </c>
      <c r="F29" s="28">
        <f>G29+H29</f>
        <v>1111738</v>
      </c>
      <c r="G29" s="4">
        <f>660962+526829-72914-3139</f>
        <v>1111738</v>
      </c>
      <c r="H29" s="4">
        <v>0</v>
      </c>
      <c r="I29" s="28">
        <f>J29+K29</f>
        <v>1464758</v>
      </c>
      <c r="J29" s="4">
        <f>-90000+1435350+119408</f>
        <v>1464758</v>
      </c>
      <c r="K29" s="4">
        <v>0</v>
      </c>
      <c r="L29" s="18"/>
      <c r="M29" s="164"/>
    </row>
    <row r="30" spans="1:13" ht="22.5" customHeight="1">
      <c r="A30" s="173"/>
      <c r="B30" s="40" t="s">
        <v>107</v>
      </c>
      <c r="C30" s="28">
        <f>D30+E30</f>
        <v>172670</v>
      </c>
      <c r="D30" s="28">
        <f>172670</f>
        <v>172670</v>
      </c>
      <c r="E30" s="28">
        <v>0</v>
      </c>
      <c r="F30" s="28">
        <f>G30+H30</f>
        <v>192410</v>
      </c>
      <c r="G30" s="4">
        <f>192410</f>
        <v>192410</v>
      </c>
      <c r="H30" s="28">
        <v>0</v>
      </c>
      <c r="I30" s="28">
        <f>J30+K30</f>
        <v>202500</v>
      </c>
      <c r="J30" s="4">
        <v>202500</v>
      </c>
      <c r="K30" s="28">
        <v>0</v>
      </c>
      <c r="L30" s="49"/>
      <c r="M30" s="164"/>
    </row>
    <row r="31" spans="1:12" ht="16.5">
      <c r="A31" s="1" t="s">
        <v>4</v>
      </c>
      <c r="B31" s="27"/>
      <c r="C31" s="46"/>
      <c r="D31" s="46"/>
      <c r="E31" s="46"/>
      <c r="F31" s="46"/>
      <c r="G31" s="46"/>
      <c r="H31" s="46"/>
      <c r="I31" s="46"/>
      <c r="J31" s="46"/>
      <c r="K31" s="46"/>
      <c r="L31" s="42"/>
    </row>
    <row r="32" spans="1:12" ht="16.5">
      <c r="A32" s="24" t="s">
        <v>5</v>
      </c>
      <c r="B32" s="27"/>
      <c r="C32" s="46"/>
      <c r="D32" s="46"/>
      <c r="E32" s="46"/>
      <c r="F32" s="46"/>
      <c r="G32" s="46"/>
      <c r="H32" s="46"/>
      <c r="I32" s="46"/>
      <c r="J32" s="46"/>
      <c r="K32" s="46"/>
      <c r="L32" s="42"/>
    </row>
    <row r="33" spans="1:12" ht="17.25" customHeight="1">
      <c r="A33" s="43" t="s">
        <v>155</v>
      </c>
      <c r="B33" s="27"/>
      <c r="C33" s="50">
        <f>D33+E33</f>
        <v>38</v>
      </c>
      <c r="D33" s="50">
        <v>38</v>
      </c>
      <c r="E33" s="50">
        <v>0</v>
      </c>
      <c r="F33" s="50">
        <f>G33+H33</f>
        <v>11</v>
      </c>
      <c r="G33" s="50">
        <v>11</v>
      </c>
      <c r="H33" s="50">
        <v>0</v>
      </c>
      <c r="I33" s="50">
        <f>J33+K33</f>
        <v>50</v>
      </c>
      <c r="J33" s="50">
        <v>50</v>
      </c>
      <c r="K33" s="50">
        <v>0</v>
      </c>
      <c r="L33" s="44"/>
    </row>
    <row r="34" spans="1:12" ht="17.25" customHeight="1">
      <c r="A34" s="43" t="s">
        <v>156</v>
      </c>
      <c r="B34" s="27"/>
      <c r="C34" s="50">
        <f>D34+E34</f>
        <v>319</v>
      </c>
      <c r="D34" s="50">
        <v>319</v>
      </c>
      <c r="E34" s="50">
        <v>0</v>
      </c>
      <c r="F34" s="50">
        <f>G34+H34</f>
        <v>188</v>
      </c>
      <c r="G34" s="50">
        <f>188+2-2</f>
        <v>188</v>
      </c>
      <c r="H34" s="50">
        <v>0</v>
      </c>
      <c r="I34" s="50">
        <f>J34+K34</f>
        <v>196</v>
      </c>
      <c r="J34" s="50">
        <v>196</v>
      </c>
      <c r="K34" s="50">
        <v>0</v>
      </c>
      <c r="L34" s="44"/>
    </row>
    <row r="35" spans="1:12" ht="7.5" customHeight="1">
      <c r="A35" s="21"/>
      <c r="B35" s="12"/>
      <c r="C35" s="22"/>
      <c r="D35" s="22"/>
      <c r="E35" s="22"/>
      <c r="F35" s="22"/>
      <c r="G35" s="22"/>
      <c r="H35" s="22"/>
      <c r="I35" s="22"/>
      <c r="J35" s="22"/>
      <c r="K35" s="22"/>
      <c r="L35" s="22"/>
    </row>
    <row r="36" spans="1:12" ht="26.25" customHeight="1">
      <c r="A36" s="11"/>
      <c r="B36" s="12"/>
      <c r="C36" s="13"/>
      <c r="D36" s="13"/>
      <c r="E36" s="13"/>
      <c r="F36" s="13"/>
      <c r="G36" s="13"/>
      <c r="H36" s="13"/>
      <c r="I36" s="166" t="s">
        <v>191</v>
      </c>
      <c r="J36" s="166"/>
      <c r="K36" s="166"/>
      <c r="L36" s="13"/>
    </row>
    <row r="37" spans="1:12" ht="14.25">
      <c r="A37" s="14">
        <v>1</v>
      </c>
      <c r="B37" s="15">
        <v>2</v>
      </c>
      <c r="C37" s="16">
        <v>3</v>
      </c>
      <c r="D37" s="16">
        <v>4</v>
      </c>
      <c r="E37" s="16">
        <v>5</v>
      </c>
      <c r="F37" s="16">
        <v>6</v>
      </c>
      <c r="G37" s="16">
        <v>7</v>
      </c>
      <c r="H37" s="16">
        <v>8</v>
      </c>
      <c r="I37" s="16">
        <v>9</v>
      </c>
      <c r="J37" s="16">
        <v>10</v>
      </c>
      <c r="K37" s="16">
        <v>11</v>
      </c>
      <c r="L37" s="23"/>
    </row>
    <row r="38" spans="1:12" ht="18.75" customHeight="1">
      <c r="A38" s="45" t="s">
        <v>13</v>
      </c>
      <c r="B38" s="27"/>
      <c r="C38" s="46"/>
      <c r="D38" s="46"/>
      <c r="E38" s="46"/>
      <c r="F38" s="46"/>
      <c r="G38" s="46"/>
      <c r="H38" s="46"/>
      <c r="I38" s="46"/>
      <c r="J38" s="46"/>
      <c r="K38" s="46"/>
      <c r="L38" s="42"/>
    </row>
    <row r="39" spans="1:12" ht="36" customHeight="1">
      <c r="A39" s="25" t="s">
        <v>170</v>
      </c>
      <c r="B39" s="27"/>
      <c r="C39" s="30">
        <f>D39+E39</f>
        <v>3867.657894736842</v>
      </c>
      <c r="D39" s="30">
        <f>146971/D33</f>
        <v>3867.657894736842</v>
      </c>
      <c r="E39" s="30">
        <v>0</v>
      </c>
      <c r="F39" s="30">
        <f>G39+H39</f>
        <v>8490.09090909091</v>
      </c>
      <c r="G39" s="8">
        <f>93391/G33</f>
        <v>8490.09090909091</v>
      </c>
      <c r="H39" s="8">
        <v>0</v>
      </c>
      <c r="I39" s="30">
        <f>J39+K39</f>
        <v>3861.56</v>
      </c>
      <c r="J39" s="8">
        <f>193078/J33</f>
        <v>3861.56</v>
      </c>
      <c r="K39" s="8">
        <v>0</v>
      </c>
      <c r="L39" s="51"/>
    </row>
    <row r="40" spans="1:12" ht="36.75" customHeight="1">
      <c r="A40" s="25" t="s">
        <v>169</v>
      </c>
      <c r="B40" s="27"/>
      <c r="C40" s="30">
        <f>D40+E40</f>
        <v>198.40569487983282</v>
      </c>
      <c r="D40" s="30">
        <f>759497/D34/12</f>
        <v>198.40569487983282</v>
      </c>
      <c r="E40" s="30">
        <v>0</v>
      </c>
      <c r="F40" s="30">
        <f>G40+H40</f>
        <v>536.6830673758865</v>
      </c>
      <c r="G40" s="8">
        <f>1210757/G34/12</f>
        <v>536.6830673758865</v>
      </c>
      <c r="H40" s="8">
        <v>0</v>
      </c>
      <c r="I40" s="30">
        <f>J40+K40</f>
        <v>626.7772108843537</v>
      </c>
      <c r="J40" s="8">
        <f>1474180/J34/12</f>
        <v>626.7772108843537</v>
      </c>
      <c r="K40" s="8"/>
      <c r="L40" s="51"/>
    </row>
    <row r="41" spans="1:12" ht="16.5">
      <c r="A41" s="2" t="s">
        <v>12</v>
      </c>
      <c r="B41" s="27"/>
      <c r="C41" s="30"/>
      <c r="D41" s="30"/>
      <c r="E41" s="30"/>
      <c r="F41" s="30"/>
      <c r="G41" s="8"/>
      <c r="H41" s="8"/>
      <c r="I41" s="30"/>
      <c r="J41" s="8"/>
      <c r="K41" s="8"/>
      <c r="L41" s="51"/>
    </row>
    <row r="42" spans="1:12" ht="31.5" customHeight="1">
      <c r="A42" s="47" t="s">
        <v>22</v>
      </c>
      <c r="B42" s="27"/>
      <c r="C42" s="48">
        <f>C28/568628*100</f>
        <v>159.41318401485682</v>
      </c>
      <c r="D42" s="48">
        <f>D28/568628*100</f>
        <v>159.41318401485682</v>
      </c>
      <c r="E42" s="48">
        <v>0</v>
      </c>
      <c r="F42" s="48">
        <f>F28/C28*100</f>
        <v>143.87137769893695</v>
      </c>
      <c r="G42" s="9">
        <f>G28/D28*100</f>
        <v>143.87137769893695</v>
      </c>
      <c r="H42" s="9">
        <v>0</v>
      </c>
      <c r="I42" s="48">
        <f>I28/F28*100</f>
        <v>127.84269883479482</v>
      </c>
      <c r="J42" s="9">
        <f>J28/G28*100</f>
        <v>127.84269883479482</v>
      </c>
      <c r="K42" s="9">
        <v>0</v>
      </c>
      <c r="L42" s="51"/>
    </row>
    <row r="43" spans="1:12" ht="76.5" customHeight="1">
      <c r="A43" s="7" t="s">
        <v>253</v>
      </c>
      <c r="B43" s="52" t="s">
        <v>106</v>
      </c>
      <c r="C43" s="28">
        <f>D43+E43</f>
        <v>414600</v>
      </c>
      <c r="D43" s="28">
        <v>414600</v>
      </c>
      <c r="E43" s="28">
        <v>0</v>
      </c>
      <c r="F43" s="28">
        <f>G43+H43</f>
        <v>309000</v>
      </c>
      <c r="G43" s="4">
        <v>309000</v>
      </c>
      <c r="H43" s="28">
        <v>0</v>
      </c>
      <c r="I43" s="28">
        <f>J43+K43</f>
        <v>336200</v>
      </c>
      <c r="J43" s="4">
        <v>336200</v>
      </c>
      <c r="K43" s="28">
        <v>0</v>
      </c>
      <c r="L43" s="49"/>
    </row>
    <row r="44" spans="1:12" ht="15">
      <c r="A44" s="1" t="s">
        <v>4</v>
      </c>
      <c r="B44" s="27"/>
      <c r="C44" s="41"/>
      <c r="D44" s="41"/>
      <c r="E44" s="41"/>
      <c r="F44" s="41"/>
      <c r="G44" s="41"/>
      <c r="H44" s="41"/>
      <c r="I44" s="41"/>
      <c r="J44" s="41"/>
      <c r="K44" s="41"/>
      <c r="L44" s="42"/>
    </row>
    <row r="45" spans="1:12" ht="15">
      <c r="A45" s="24" t="s">
        <v>5</v>
      </c>
      <c r="B45" s="27"/>
      <c r="C45" s="41"/>
      <c r="D45" s="41"/>
      <c r="E45" s="41"/>
      <c r="F45" s="41"/>
      <c r="G45" s="41"/>
      <c r="H45" s="41"/>
      <c r="I45" s="41"/>
      <c r="J45" s="41"/>
      <c r="K45" s="41"/>
      <c r="L45" s="42"/>
    </row>
    <row r="46" spans="1:12" ht="41.25" customHeight="1">
      <c r="A46" s="53" t="s">
        <v>197</v>
      </c>
      <c r="B46" s="27"/>
      <c r="C46" s="50">
        <f>D46+E46</f>
        <v>762</v>
      </c>
      <c r="D46" s="50">
        <v>762</v>
      </c>
      <c r="E46" s="50">
        <v>0</v>
      </c>
      <c r="F46" s="50">
        <f>G46+H46</f>
        <v>744</v>
      </c>
      <c r="G46" s="50">
        <v>744</v>
      </c>
      <c r="H46" s="50">
        <v>0</v>
      </c>
      <c r="I46" s="29">
        <f>J46+K46</f>
        <v>851</v>
      </c>
      <c r="J46" s="29">
        <v>851</v>
      </c>
      <c r="K46" s="50">
        <v>0</v>
      </c>
      <c r="L46" s="44"/>
    </row>
    <row r="47" spans="1:12" ht="30" customHeight="1">
      <c r="A47" s="87" t="s">
        <v>168</v>
      </c>
      <c r="B47" s="27"/>
      <c r="C47" s="50">
        <f>D47+E47</f>
        <v>0</v>
      </c>
      <c r="D47" s="50">
        <v>0</v>
      </c>
      <c r="E47" s="50">
        <v>0</v>
      </c>
      <c r="F47" s="50">
        <f>G47+H47</f>
        <v>140</v>
      </c>
      <c r="G47" s="50">
        <v>140</v>
      </c>
      <c r="H47" s="50">
        <v>0</v>
      </c>
      <c r="I47" s="50">
        <f>J47+K47</f>
        <v>140</v>
      </c>
      <c r="J47" s="50">
        <v>140</v>
      </c>
      <c r="K47" s="50">
        <v>0</v>
      </c>
      <c r="L47" s="44"/>
    </row>
    <row r="48" spans="1:12" ht="36" customHeight="1">
      <c r="A48" s="53" t="s">
        <v>157</v>
      </c>
      <c r="B48" s="27"/>
      <c r="C48" s="50">
        <f>+D48</f>
        <v>241</v>
      </c>
      <c r="D48" s="50">
        <v>241</v>
      </c>
      <c r="E48" s="50">
        <v>0</v>
      </c>
      <c r="F48" s="50">
        <v>0</v>
      </c>
      <c r="G48" s="50">
        <v>0</v>
      </c>
      <c r="H48" s="50">
        <v>0</v>
      </c>
      <c r="I48" s="50">
        <v>0</v>
      </c>
      <c r="J48" s="50">
        <v>0</v>
      </c>
      <c r="K48" s="50">
        <v>0</v>
      </c>
      <c r="L48" s="44"/>
    </row>
    <row r="49" spans="1:12" ht="15">
      <c r="A49" s="45" t="s">
        <v>13</v>
      </c>
      <c r="B49" s="27"/>
      <c r="C49" s="54"/>
      <c r="D49" s="54"/>
      <c r="E49" s="54"/>
      <c r="F49" s="54"/>
      <c r="G49" s="54"/>
      <c r="H49" s="54"/>
      <c r="I49" s="54"/>
      <c r="J49" s="54"/>
      <c r="K49" s="54"/>
      <c r="L49" s="22"/>
    </row>
    <row r="50" spans="1:12" ht="33.75" customHeight="1">
      <c r="A50" s="47" t="s">
        <v>196</v>
      </c>
      <c r="B50" s="27"/>
      <c r="C50" s="30">
        <f>D50+E50</f>
        <v>412.6719160104987</v>
      </c>
      <c r="D50" s="30">
        <f>314456/D46</f>
        <v>412.6719160104987</v>
      </c>
      <c r="E50" s="30">
        <v>0</v>
      </c>
      <c r="F50" s="30">
        <f>G50+H50</f>
        <v>397.4462365591398</v>
      </c>
      <c r="G50" s="8">
        <f>295700/G46</f>
        <v>397.4462365591398</v>
      </c>
      <c r="H50" s="30">
        <v>0</v>
      </c>
      <c r="I50" s="30">
        <f>J50+K50</f>
        <v>378.61339600470035</v>
      </c>
      <c r="J50" s="8">
        <f>322200/J46</f>
        <v>378.61339600470035</v>
      </c>
      <c r="K50" s="30">
        <v>0</v>
      </c>
      <c r="L50" s="22"/>
    </row>
    <row r="51" spans="1:12" ht="36.75" customHeight="1">
      <c r="A51" s="47" t="s">
        <v>195</v>
      </c>
      <c r="B51" s="27"/>
      <c r="C51" s="30">
        <f>D51+E51</f>
        <v>0</v>
      </c>
      <c r="D51" s="30">
        <v>0</v>
      </c>
      <c r="E51" s="30">
        <v>0</v>
      </c>
      <c r="F51" s="30">
        <f>G51+H51</f>
        <v>95</v>
      </c>
      <c r="G51" s="8">
        <f>13300/G47</f>
        <v>95</v>
      </c>
      <c r="H51" s="30">
        <v>0</v>
      </c>
      <c r="I51" s="30">
        <f>J51+K51</f>
        <v>100</v>
      </c>
      <c r="J51" s="8">
        <f>14000/J47</f>
        <v>100</v>
      </c>
      <c r="K51" s="30"/>
      <c r="L51" s="22"/>
    </row>
    <row r="52" spans="1:12" ht="32.25" customHeight="1">
      <c r="A52" s="47" t="s">
        <v>158</v>
      </c>
      <c r="B52" s="27"/>
      <c r="C52" s="30">
        <f>+D52</f>
        <v>415.53526970954357</v>
      </c>
      <c r="D52" s="30">
        <f>100144/D48</f>
        <v>415.53526970954357</v>
      </c>
      <c r="E52" s="30">
        <v>0</v>
      </c>
      <c r="F52" s="30">
        <v>0</v>
      </c>
      <c r="G52" s="8">
        <v>0</v>
      </c>
      <c r="H52" s="30">
        <v>0</v>
      </c>
      <c r="I52" s="30">
        <v>0</v>
      </c>
      <c r="J52" s="8">
        <v>0</v>
      </c>
      <c r="K52" s="30">
        <v>0</v>
      </c>
      <c r="L52" s="22"/>
    </row>
    <row r="53" spans="1:12" ht="18" customHeight="1">
      <c r="A53" s="2" t="s">
        <v>12</v>
      </c>
      <c r="B53" s="27"/>
      <c r="C53" s="30"/>
      <c r="D53" s="30"/>
      <c r="E53" s="30"/>
      <c r="F53" s="30"/>
      <c r="G53" s="8"/>
      <c r="H53" s="30"/>
      <c r="I53" s="30"/>
      <c r="J53" s="8"/>
      <c r="K53" s="30"/>
      <c r="L53" s="22"/>
    </row>
    <row r="54" spans="1:12" ht="33" customHeight="1">
      <c r="A54" s="25" t="s">
        <v>22</v>
      </c>
      <c r="B54" s="27"/>
      <c r="C54" s="48">
        <f>D54+E54</f>
        <v>238.27586206896552</v>
      </c>
      <c r="D54" s="48">
        <f>D43/174000*100</f>
        <v>238.27586206896552</v>
      </c>
      <c r="E54" s="48">
        <v>0</v>
      </c>
      <c r="F54" s="48">
        <f>F43/C43*100</f>
        <v>74.52966714905934</v>
      </c>
      <c r="G54" s="9">
        <f>G43/D43*100</f>
        <v>74.52966714905934</v>
      </c>
      <c r="H54" s="48">
        <v>0</v>
      </c>
      <c r="I54" s="48">
        <f>I43/F43*100</f>
        <v>108.80258899676376</v>
      </c>
      <c r="J54" s="9">
        <f>J43/G43*100</f>
        <v>108.80258899676376</v>
      </c>
      <c r="K54" s="48">
        <v>0</v>
      </c>
      <c r="L54" s="22"/>
    </row>
    <row r="55" spans="1:12" ht="57.75" customHeight="1">
      <c r="A55" s="55" t="s">
        <v>243</v>
      </c>
      <c r="B55" s="52" t="s">
        <v>106</v>
      </c>
      <c r="C55" s="28">
        <f>D55+E55</f>
        <v>68552</v>
      </c>
      <c r="D55" s="28">
        <v>68552</v>
      </c>
      <c r="E55" s="28">
        <v>0</v>
      </c>
      <c r="F55" s="28">
        <f>G55+H55</f>
        <v>69929</v>
      </c>
      <c r="G55" s="4">
        <f>62000+7032+897</f>
        <v>69929</v>
      </c>
      <c r="H55" s="28">
        <v>0</v>
      </c>
      <c r="I55" s="28">
        <f>J55+K55</f>
        <v>64464</v>
      </c>
      <c r="J55" s="4">
        <v>64464</v>
      </c>
      <c r="K55" s="28">
        <v>0</v>
      </c>
      <c r="L55" s="49"/>
    </row>
    <row r="56" spans="1:12" ht="19.5" customHeight="1">
      <c r="A56" s="1" t="s">
        <v>4</v>
      </c>
      <c r="B56" s="27"/>
      <c r="C56" s="54"/>
      <c r="D56" s="54"/>
      <c r="E56" s="54"/>
      <c r="F56" s="54"/>
      <c r="G56" s="54"/>
      <c r="H56" s="54"/>
      <c r="I56" s="54"/>
      <c r="J56" s="54"/>
      <c r="K56" s="54"/>
      <c r="L56" s="22"/>
    </row>
    <row r="57" spans="1:12" ht="16.5">
      <c r="A57" s="2" t="s">
        <v>25</v>
      </c>
      <c r="B57" s="27"/>
      <c r="C57" s="46"/>
      <c r="D57" s="46"/>
      <c r="E57" s="46"/>
      <c r="F57" s="46"/>
      <c r="G57" s="46"/>
      <c r="H57" s="46"/>
      <c r="I57" s="46"/>
      <c r="J57" s="46"/>
      <c r="K57" s="46"/>
      <c r="L57" s="42"/>
    </row>
    <row r="58" spans="1:12" ht="45.75" customHeight="1">
      <c r="A58" s="47" t="s">
        <v>178</v>
      </c>
      <c r="B58" s="27"/>
      <c r="C58" s="50">
        <f>+D58+E58</f>
        <v>2</v>
      </c>
      <c r="D58" s="50">
        <v>2</v>
      </c>
      <c r="E58" s="50">
        <v>0</v>
      </c>
      <c r="F58" s="50">
        <f>G58+H58</f>
        <v>4</v>
      </c>
      <c r="G58" s="50">
        <v>4</v>
      </c>
      <c r="H58" s="50">
        <v>0</v>
      </c>
      <c r="I58" s="50">
        <f>J58+K58</f>
        <v>4</v>
      </c>
      <c r="J58" s="50">
        <v>4</v>
      </c>
      <c r="K58" s="50">
        <v>0</v>
      </c>
      <c r="L58" s="42"/>
    </row>
    <row r="59" spans="1:12" ht="16.5" customHeight="1">
      <c r="A59" s="45" t="s">
        <v>13</v>
      </c>
      <c r="B59" s="27"/>
      <c r="C59" s="54"/>
      <c r="D59" s="54"/>
      <c r="E59" s="54"/>
      <c r="F59" s="54"/>
      <c r="G59" s="54"/>
      <c r="H59" s="54"/>
      <c r="I59" s="54"/>
      <c r="J59" s="54"/>
      <c r="K59" s="54"/>
      <c r="L59" s="22"/>
    </row>
    <row r="60" spans="1:12" ht="45" customHeight="1">
      <c r="A60" s="47" t="s">
        <v>179</v>
      </c>
      <c r="B60" s="27"/>
      <c r="C60" s="30">
        <f>D60+E60</f>
        <v>34276</v>
      </c>
      <c r="D60" s="8">
        <f>+D55/D58</f>
        <v>34276</v>
      </c>
      <c r="E60" s="30">
        <v>0</v>
      </c>
      <c r="F60" s="30">
        <f>G60+H60</f>
        <v>17482.25</v>
      </c>
      <c r="G60" s="8">
        <f>+G55/G58</f>
        <v>17482.25</v>
      </c>
      <c r="H60" s="30">
        <v>0</v>
      </c>
      <c r="I60" s="30">
        <f>J60+K60</f>
        <v>16116</v>
      </c>
      <c r="J60" s="8">
        <f>+J55/J58</f>
        <v>16116</v>
      </c>
      <c r="K60" s="30">
        <v>0</v>
      </c>
      <c r="L60" s="22"/>
    </row>
    <row r="61" spans="1:12" ht="19.5" customHeight="1">
      <c r="A61" s="2" t="s">
        <v>12</v>
      </c>
      <c r="B61" s="27"/>
      <c r="C61" s="30"/>
      <c r="D61" s="30"/>
      <c r="E61" s="30"/>
      <c r="F61" s="30"/>
      <c r="G61" s="30"/>
      <c r="H61" s="30"/>
      <c r="I61" s="30"/>
      <c r="J61" s="30"/>
      <c r="K61" s="30"/>
      <c r="L61" s="22"/>
    </row>
    <row r="62" spans="1:12" ht="29.25" customHeight="1">
      <c r="A62" s="47" t="s">
        <v>22</v>
      </c>
      <c r="B62" s="27"/>
      <c r="C62" s="9">
        <f>C55/16124*100</f>
        <v>425.155048375093</v>
      </c>
      <c r="D62" s="9">
        <f>D55/16124*100</f>
        <v>425.155048375093</v>
      </c>
      <c r="E62" s="48">
        <v>0</v>
      </c>
      <c r="F62" s="9">
        <f>F55/C55*100</f>
        <v>102.0086941300035</v>
      </c>
      <c r="G62" s="9">
        <f>G55/D55*100</f>
        <v>102.0086941300035</v>
      </c>
      <c r="H62" s="48">
        <v>0</v>
      </c>
      <c r="I62" s="48">
        <f>+J62+K62</f>
        <v>92.18493042943557</v>
      </c>
      <c r="J62" s="9">
        <f>J55/G55*100</f>
        <v>92.18493042943557</v>
      </c>
      <c r="K62" s="48">
        <v>0</v>
      </c>
      <c r="L62" s="22"/>
    </row>
    <row r="63" spans="1:14" ht="74.25" customHeight="1">
      <c r="A63" s="3" t="s">
        <v>211</v>
      </c>
      <c r="B63" s="52" t="s">
        <v>106</v>
      </c>
      <c r="C63" s="68">
        <f>D63+E63</f>
        <v>232600</v>
      </c>
      <c r="D63" s="68">
        <f>+D68+D69</f>
        <v>190600</v>
      </c>
      <c r="E63" s="68">
        <f>+E68+E69</f>
        <v>42000</v>
      </c>
      <c r="F63" s="69">
        <f>+G63+H63</f>
        <v>218142</v>
      </c>
      <c r="G63" s="68">
        <f>+G68+G69</f>
        <v>177562</v>
      </c>
      <c r="H63" s="68">
        <f>+H68+H69</f>
        <v>40580</v>
      </c>
      <c r="I63" s="68">
        <f>J63+K63</f>
        <v>240000</v>
      </c>
      <c r="J63" s="68">
        <f>+J68+J69</f>
        <v>195000</v>
      </c>
      <c r="K63" s="68">
        <f>+K68+K69</f>
        <v>45000</v>
      </c>
      <c r="N63" s="19"/>
    </row>
    <row r="64" spans="1:12" ht="7.5" customHeight="1">
      <c r="A64" s="21"/>
      <c r="B64" s="12"/>
      <c r="C64" s="22"/>
      <c r="D64" s="22"/>
      <c r="E64" s="22"/>
      <c r="F64" s="22"/>
      <c r="G64" s="22"/>
      <c r="H64" s="22"/>
      <c r="I64" s="22"/>
      <c r="J64" s="22"/>
      <c r="K64" s="22"/>
      <c r="L64" s="22"/>
    </row>
    <row r="65" spans="1:12" ht="26.25" customHeight="1">
      <c r="A65" s="11"/>
      <c r="B65" s="12"/>
      <c r="C65" s="13"/>
      <c r="D65" s="13"/>
      <c r="E65" s="13"/>
      <c r="F65" s="13"/>
      <c r="G65" s="13"/>
      <c r="H65" s="13"/>
      <c r="I65" s="166" t="s">
        <v>191</v>
      </c>
      <c r="J65" s="166"/>
      <c r="K65" s="166"/>
      <c r="L65" s="13"/>
    </row>
    <row r="66" spans="1:12" ht="14.25">
      <c r="A66" s="14">
        <v>1</v>
      </c>
      <c r="B66" s="15">
        <v>2</v>
      </c>
      <c r="C66" s="16">
        <v>3</v>
      </c>
      <c r="D66" s="16">
        <v>4</v>
      </c>
      <c r="E66" s="16">
        <v>5</v>
      </c>
      <c r="F66" s="16">
        <v>6</v>
      </c>
      <c r="G66" s="16">
        <v>7</v>
      </c>
      <c r="H66" s="16">
        <v>8</v>
      </c>
      <c r="I66" s="16">
        <v>9</v>
      </c>
      <c r="J66" s="16">
        <v>10</v>
      </c>
      <c r="K66" s="16">
        <v>11</v>
      </c>
      <c r="L66" s="23"/>
    </row>
    <row r="67" spans="1:14" ht="21" customHeight="1">
      <c r="A67" s="2" t="s">
        <v>25</v>
      </c>
      <c r="B67" s="27"/>
      <c r="C67" s="68"/>
      <c r="D67" s="68"/>
      <c r="E67" s="68"/>
      <c r="F67" s="69"/>
      <c r="G67" s="68"/>
      <c r="H67" s="68"/>
      <c r="I67" s="68"/>
      <c r="J67" s="68"/>
      <c r="K67" s="68"/>
      <c r="N67" s="19"/>
    </row>
    <row r="68" spans="1:14" ht="21" customHeight="1">
      <c r="A68" s="58" t="s">
        <v>164</v>
      </c>
      <c r="B68" s="27"/>
      <c r="C68" s="37">
        <f>+D68+E68</f>
        <v>190600</v>
      </c>
      <c r="D68" s="37">
        <v>190600</v>
      </c>
      <c r="E68" s="37">
        <v>0</v>
      </c>
      <c r="F68" s="37">
        <f>+G68+H68</f>
        <v>177562</v>
      </c>
      <c r="G68" s="37">
        <v>177562</v>
      </c>
      <c r="H68" s="37">
        <v>0</v>
      </c>
      <c r="I68" s="37">
        <f>+J68+K68</f>
        <v>195000</v>
      </c>
      <c r="J68" s="37">
        <v>195000</v>
      </c>
      <c r="K68" s="37">
        <v>0</v>
      </c>
      <c r="N68" s="19"/>
    </row>
    <row r="69" spans="1:14" ht="34.5" customHeight="1">
      <c r="A69" s="25" t="s">
        <v>165</v>
      </c>
      <c r="B69" s="27"/>
      <c r="C69" s="37">
        <f>+D69+E69</f>
        <v>42000</v>
      </c>
      <c r="D69" s="37">
        <v>0</v>
      </c>
      <c r="E69" s="37">
        <v>42000</v>
      </c>
      <c r="F69" s="37">
        <f>+G69+H69</f>
        <v>40580</v>
      </c>
      <c r="G69" s="37">
        <v>0</v>
      </c>
      <c r="H69" s="37">
        <f>4940+35640</f>
        <v>40580</v>
      </c>
      <c r="I69" s="37">
        <f>+J69+K69</f>
        <v>45000</v>
      </c>
      <c r="J69" s="37">
        <v>0</v>
      </c>
      <c r="K69" s="37">
        <v>45000</v>
      </c>
      <c r="N69" s="19"/>
    </row>
    <row r="70" spans="1:14" ht="21.75" customHeight="1">
      <c r="A70" s="2" t="s">
        <v>54</v>
      </c>
      <c r="B70" s="27"/>
      <c r="C70" s="48"/>
      <c r="D70" s="48"/>
      <c r="E70" s="48"/>
      <c r="F70" s="48"/>
      <c r="G70" s="9"/>
      <c r="H70" s="48"/>
      <c r="I70" s="48"/>
      <c r="J70" s="9"/>
      <c r="K70" s="48"/>
      <c r="N70" s="19"/>
    </row>
    <row r="71" spans="1:14" ht="25.5" customHeight="1">
      <c r="A71" s="58" t="s">
        <v>163</v>
      </c>
      <c r="B71" s="27"/>
      <c r="C71" s="29">
        <f>+D71</f>
        <v>4</v>
      </c>
      <c r="D71" s="29">
        <v>4</v>
      </c>
      <c r="E71" s="29">
        <v>0</v>
      </c>
      <c r="F71" s="29">
        <f>+G71</f>
        <v>4</v>
      </c>
      <c r="G71" s="17">
        <v>4</v>
      </c>
      <c r="H71" s="29">
        <v>0</v>
      </c>
      <c r="I71" s="29">
        <f>J71+K71</f>
        <v>4</v>
      </c>
      <c r="J71" s="17">
        <v>4</v>
      </c>
      <c r="K71" s="29">
        <v>0</v>
      </c>
      <c r="N71" s="19"/>
    </row>
    <row r="72" spans="1:14" ht="20.25" customHeight="1">
      <c r="A72" s="2" t="s">
        <v>57</v>
      </c>
      <c r="B72" s="27"/>
      <c r="C72" s="48"/>
      <c r="D72" s="48"/>
      <c r="E72" s="48"/>
      <c r="F72" s="48"/>
      <c r="G72" s="9"/>
      <c r="H72" s="48"/>
      <c r="I72" s="48"/>
      <c r="J72" s="9"/>
      <c r="K72" s="48"/>
      <c r="N72" s="19"/>
    </row>
    <row r="73" spans="1:14" ht="38.25" customHeight="1">
      <c r="A73" s="58" t="s">
        <v>166</v>
      </c>
      <c r="B73" s="27"/>
      <c r="C73" s="30">
        <f>+D73+E73</f>
        <v>47650</v>
      </c>
      <c r="D73" s="30">
        <f>+D68/D71</f>
        <v>47650</v>
      </c>
      <c r="E73" s="30">
        <v>0</v>
      </c>
      <c r="F73" s="30">
        <f>+G73+H73</f>
        <v>44390.5</v>
      </c>
      <c r="G73" s="30">
        <f>+G68/G71</f>
        <v>44390.5</v>
      </c>
      <c r="H73" s="30">
        <v>0</v>
      </c>
      <c r="I73" s="30">
        <f>+J73+K73</f>
        <v>48750</v>
      </c>
      <c r="J73" s="30">
        <f>+J68/J71</f>
        <v>48750</v>
      </c>
      <c r="K73" s="30">
        <v>0</v>
      </c>
      <c r="N73" s="19"/>
    </row>
    <row r="74" spans="1:14" ht="51.75" customHeight="1">
      <c r="A74" s="5" t="s">
        <v>167</v>
      </c>
      <c r="B74" s="27"/>
      <c r="C74" s="48">
        <f>+D74+E74</f>
        <v>10500</v>
      </c>
      <c r="D74" s="48">
        <v>0</v>
      </c>
      <c r="E74" s="48">
        <f>+E69/D71</f>
        <v>10500</v>
      </c>
      <c r="F74" s="48">
        <f>+G74+H74</f>
        <v>10145</v>
      </c>
      <c r="G74" s="48">
        <v>0</v>
      </c>
      <c r="H74" s="48">
        <f>+H69/G71</f>
        <v>10145</v>
      </c>
      <c r="I74" s="48">
        <f>+J74+K74</f>
        <v>11250</v>
      </c>
      <c r="J74" s="48">
        <v>0</v>
      </c>
      <c r="K74" s="48">
        <f>+K69/J71</f>
        <v>11250</v>
      </c>
      <c r="N74" s="19"/>
    </row>
    <row r="75" spans="1:14" ht="18.75" customHeight="1">
      <c r="A75" s="2" t="s">
        <v>60</v>
      </c>
      <c r="B75" s="27"/>
      <c r="C75" s="48"/>
      <c r="D75" s="48"/>
      <c r="E75" s="48"/>
      <c r="F75" s="48"/>
      <c r="G75" s="9"/>
      <c r="H75" s="48"/>
      <c r="I75" s="48"/>
      <c r="J75" s="9"/>
      <c r="K75" s="48"/>
      <c r="N75" s="19"/>
    </row>
    <row r="76" spans="1:14" ht="23.25" customHeight="1">
      <c r="A76" s="25" t="s">
        <v>35</v>
      </c>
      <c r="B76" s="27"/>
      <c r="C76" s="48">
        <f>+E76</f>
        <v>0</v>
      </c>
      <c r="D76" s="48">
        <v>0</v>
      </c>
      <c r="E76" s="48">
        <v>0</v>
      </c>
      <c r="F76" s="9">
        <f aca="true" t="shared" si="1" ref="F76:K76">F63/C63*100</f>
        <v>93.7841788478074</v>
      </c>
      <c r="G76" s="9">
        <f t="shared" si="1"/>
        <v>93.1594963273872</v>
      </c>
      <c r="H76" s="9">
        <f t="shared" si="1"/>
        <v>96.61904761904762</v>
      </c>
      <c r="I76" s="9">
        <f t="shared" si="1"/>
        <v>110.02007866435623</v>
      </c>
      <c r="J76" s="9">
        <f t="shared" si="1"/>
        <v>109.82079498991901</v>
      </c>
      <c r="K76" s="9">
        <f t="shared" si="1"/>
        <v>110.89206505667816</v>
      </c>
      <c r="N76" s="19"/>
    </row>
    <row r="77" spans="1:14" ht="118.5" customHeight="1">
      <c r="A77" s="3" t="s">
        <v>212</v>
      </c>
      <c r="B77" s="52" t="s">
        <v>106</v>
      </c>
      <c r="C77" s="68">
        <f>D77+E77</f>
        <v>0</v>
      </c>
      <c r="D77" s="68">
        <v>0</v>
      </c>
      <c r="E77" s="68">
        <v>0</v>
      </c>
      <c r="F77" s="69">
        <f>+G77+H77</f>
        <v>37500</v>
      </c>
      <c r="G77" s="68">
        <v>37500</v>
      </c>
      <c r="H77" s="68">
        <v>0</v>
      </c>
      <c r="I77" s="68">
        <f>J77+K77</f>
        <v>150000</v>
      </c>
      <c r="J77" s="68">
        <f>54000+96000</f>
        <v>150000</v>
      </c>
      <c r="K77" s="68">
        <v>0</v>
      </c>
      <c r="N77" s="19"/>
    </row>
    <row r="78" spans="1:14" ht="21.75" customHeight="1">
      <c r="A78" s="2" t="s">
        <v>54</v>
      </c>
      <c r="B78" s="27"/>
      <c r="C78" s="48"/>
      <c r="D78" s="48"/>
      <c r="E78" s="48"/>
      <c r="F78" s="48"/>
      <c r="G78" s="9"/>
      <c r="H78" s="48"/>
      <c r="I78" s="48"/>
      <c r="J78" s="9"/>
      <c r="K78" s="48"/>
      <c r="N78" s="19"/>
    </row>
    <row r="79" spans="1:14" ht="18.75" customHeight="1">
      <c r="A79" s="150" t="s">
        <v>192</v>
      </c>
      <c r="B79" s="27"/>
      <c r="C79" s="29">
        <f>+D79</f>
        <v>0</v>
      </c>
      <c r="D79" s="29">
        <v>0</v>
      </c>
      <c r="E79" s="29">
        <v>0</v>
      </c>
      <c r="F79" s="29">
        <f>+G79</f>
        <v>14</v>
      </c>
      <c r="G79" s="17">
        <v>14</v>
      </c>
      <c r="H79" s="29">
        <v>0</v>
      </c>
      <c r="I79" s="29">
        <f>J79+K79</f>
        <v>28</v>
      </c>
      <c r="J79" s="17">
        <f>10+18</f>
        <v>28</v>
      </c>
      <c r="K79" s="29">
        <v>0</v>
      </c>
      <c r="N79" s="19"/>
    </row>
    <row r="80" spans="1:14" ht="18.75" customHeight="1">
      <c r="A80" s="2" t="s">
        <v>57</v>
      </c>
      <c r="B80" s="27"/>
      <c r="C80" s="48"/>
      <c r="D80" s="48"/>
      <c r="E80" s="48"/>
      <c r="F80" s="48"/>
      <c r="G80" s="9"/>
      <c r="H80" s="48"/>
      <c r="I80" s="48"/>
      <c r="J80" s="9"/>
      <c r="K80" s="48"/>
      <c r="N80" s="19"/>
    </row>
    <row r="81" spans="1:14" ht="18.75" customHeight="1">
      <c r="A81" s="150" t="s">
        <v>193</v>
      </c>
      <c r="B81" s="27"/>
      <c r="C81" s="30">
        <f>+D81+E81</f>
        <v>0</v>
      </c>
      <c r="D81" s="30">
        <v>0</v>
      </c>
      <c r="E81" s="30">
        <v>0</v>
      </c>
      <c r="F81" s="30">
        <f>+G81+H81</f>
        <v>446</v>
      </c>
      <c r="G81" s="30">
        <f>ROUND(G77/G79/6,0)</f>
        <v>446</v>
      </c>
      <c r="H81" s="30">
        <v>0</v>
      </c>
      <c r="I81" s="30">
        <f>+J81+K81</f>
        <v>446</v>
      </c>
      <c r="J81" s="30">
        <f>ROUND(J77/J79/12,0)</f>
        <v>446</v>
      </c>
      <c r="K81" s="30">
        <v>0</v>
      </c>
      <c r="N81" s="19"/>
    </row>
    <row r="82" spans="1:14" ht="18.75" customHeight="1">
      <c r="A82" s="2" t="s">
        <v>60</v>
      </c>
      <c r="B82" s="27"/>
      <c r="C82" s="48"/>
      <c r="D82" s="48"/>
      <c r="E82" s="48"/>
      <c r="F82" s="48"/>
      <c r="G82" s="9"/>
      <c r="H82" s="48"/>
      <c r="I82" s="48"/>
      <c r="J82" s="9"/>
      <c r="K82" s="48"/>
      <c r="N82" s="19"/>
    </row>
    <row r="83" spans="1:14" ht="18.75" customHeight="1">
      <c r="A83" s="25" t="s">
        <v>194</v>
      </c>
      <c r="B83" s="27"/>
      <c r="C83" s="48">
        <f>+E83</f>
        <v>0</v>
      </c>
      <c r="D83" s="48">
        <v>0</v>
      </c>
      <c r="E83" s="48">
        <v>0</v>
      </c>
      <c r="F83" s="9">
        <f>G83+H83</f>
        <v>100</v>
      </c>
      <c r="G83" s="9">
        <v>100</v>
      </c>
      <c r="H83" s="9">
        <v>0</v>
      </c>
      <c r="I83" s="9">
        <v>100</v>
      </c>
      <c r="J83" s="9">
        <v>100</v>
      </c>
      <c r="K83" s="9">
        <v>0</v>
      </c>
      <c r="N83" s="19"/>
    </row>
    <row r="84" spans="1:12" ht="17.25" customHeight="1">
      <c r="A84" s="26" t="s">
        <v>200</v>
      </c>
      <c r="B84" s="27"/>
      <c r="C84" s="36"/>
      <c r="D84" s="36"/>
      <c r="E84" s="36"/>
      <c r="F84" s="36"/>
      <c r="G84" s="36"/>
      <c r="H84" s="36"/>
      <c r="I84" s="36"/>
      <c r="J84" s="36"/>
      <c r="K84" s="36"/>
      <c r="L84" s="61"/>
    </row>
    <row r="85" spans="1:12" ht="33" customHeight="1">
      <c r="A85" s="2" t="s">
        <v>201</v>
      </c>
      <c r="B85" s="27"/>
      <c r="C85" s="36"/>
      <c r="D85" s="36"/>
      <c r="E85" s="36"/>
      <c r="F85" s="36"/>
      <c r="G85" s="36"/>
      <c r="H85" s="36"/>
      <c r="I85" s="36"/>
      <c r="J85" s="36"/>
      <c r="K85" s="36"/>
      <c r="L85" s="61"/>
    </row>
    <row r="86" spans="1:12" ht="24" customHeight="1">
      <c r="A86" s="167" t="s">
        <v>202</v>
      </c>
      <c r="B86" s="167"/>
      <c r="C86" s="167"/>
      <c r="D86" s="167"/>
      <c r="E86" s="167"/>
      <c r="F86" s="167"/>
      <c r="G86" s="167"/>
      <c r="H86" s="167"/>
      <c r="I86" s="167"/>
      <c r="J86" s="167"/>
      <c r="K86" s="167"/>
      <c r="L86" s="75"/>
    </row>
    <row r="87" spans="1:12" ht="32.25" customHeight="1">
      <c r="A87" s="171" t="s">
        <v>203</v>
      </c>
      <c r="B87" s="171"/>
      <c r="C87" s="171"/>
      <c r="D87" s="171"/>
      <c r="E87" s="171"/>
      <c r="F87" s="171"/>
      <c r="G87" s="171"/>
      <c r="H87" s="171"/>
      <c r="I87" s="171"/>
      <c r="J87" s="171"/>
      <c r="K87" s="171"/>
      <c r="L87" s="76"/>
    </row>
    <row r="88" spans="1:14" s="78" customFormat="1" ht="23.25" customHeight="1">
      <c r="A88" s="162" t="s">
        <v>6</v>
      </c>
      <c r="B88" s="27" t="s">
        <v>15</v>
      </c>
      <c r="C88" s="4">
        <f>+D88+E88</f>
        <v>158581</v>
      </c>
      <c r="D88" s="4">
        <f>+D89+D90+D91</f>
        <v>158581</v>
      </c>
      <c r="E88" s="4">
        <f>+E89+E90+E91</f>
        <v>0</v>
      </c>
      <c r="F88" s="4">
        <f>+G88+H88</f>
        <v>176557</v>
      </c>
      <c r="G88" s="4">
        <f>+G89+G90+G91</f>
        <v>176557</v>
      </c>
      <c r="H88" s="4">
        <f>+H89+H90+H91</f>
        <v>0</v>
      </c>
      <c r="I88" s="4">
        <f>+J88+K88</f>
        <v>178139</v>
      </c>
      <c r="J88" s="4">
        <f>+J89+J90+J91</f>
        <v>178139</v>
      </c>
      <c r="K88" s="4">
        <f>+K89+K90+K91</f>
        <v>0</v>
      </c>
      <c r="L88" s="77"/>
      <c r="N88" s="79"/>
    </row>
    <row r="89" spans="1:14" s="78" customFormat="1" ht="23.25" customHeight="1">
      <c r="A89" s="162"/>
      <c r="B89" s="52" t="s">
        <v>106</v>
      </c>
      <c r="C89" s="4">
        <f>+D89+E89</f>
        <v>134021</v>
      </c>
      <c r="D89" s="4">
        <f>+D92+D104</f>
        <v>134021</v>
      </c>
      <c r="E89" s="4">
        <v>0</v>
      </c>
      <c r="F89" s="4">
        <f>+G89+H89</f>
        <v>147572</v>
      </c>
      <c r="G89" s="4">
        <f>+G92+G104</f>
        <v>147572</v>
      </c>
      <c r="H89" s="4">
        <v>0</v>
      </c>
      <c r="I89" s="4">
        <f>+J89+K89</f>
        <v>148689</v>
      </c>
      <c r="J89" s="4">
        <f>+J92+J104</f>
        <v>148689</v>
      </c>
      <c r="K89" s="4">
        <v>0</v>
      </c>
      <c r="L89" s="77"/>
      <c r="N89" s="79"/>
    </row>
    <row r="90" spans="1:14" s="78" customFormat="1" ht="23.25" customHeight="1">
      <c r="A90" s="162"/>
      <c r="B90" s="52" t="s">
        <v>85</v>
      </c>
      <c r="C90" s="4">
        <f>D90</f>
        <v>7760</v>
      </c>
      <c r="D90" s="4">
        <f>+D105</f>
        <v>7760</v>
      </c>
      <c r="E90" s="4">
        <v>0</v>
      </c>
      <c r="F90" s="4">
        <f>G90</f>
        <v>6375</v>
      </c>
      <c r="G90" s="4">
        <f>+G105</f>
        <v>6375</v>
      </c>
      <c r="H90" s="4">
        <v>0</v>
      </c>
      <c r="I90" s="4">
        <f>J90</f>
        <v>9500</v>
      </c>
      <c r="J90" s="4">
        <f>+J105</f>
        <v>9500</v>
      </c>
      <c r="K90" s="4">
        <v>0</v>
      </c>
      <c r="L90" s="77"/>
      <c r="N90" s="79"/>
    </row>
    <row r="91" spans="1:14" s="78" customFormat="1" ht="23.25" customHeight="1">
      <c r="A91" s="162"/>
      <c r="B91" s="52" t="s">
        <v>89</v>
      </c>
      <c r="C91" s="4">
        <f>D91</f>
        <v>16800</v>
      </c>
      <c r="D91" s="4">
        <f>+D106</f>
        <v>16800</v>
      </c>
      <c r="E91" s="4">
        <v>0</v>
      </c>
      <c r="F91" s="4">
        <f>G91</f>
        <v>22610</v>
      </c>
      <c r="G91" s="4">
        <f>+G106</f>
        <v>22610</v>
      </c>
      <c r="H91" s="4">
        <v>0</v>
      </c>
      <c r="I91" s="4">
        <f>J91</f>
        <v>19950</v>
      </c>
      <c r="J91" s="4">
        <f>+J106</f>
        <v>19950</v>
      </c>
      <c r="K91" s="4">
        <v>0</v>
      </c>
      <c r="L91" s="77"/>
      <c r="N91" s="79"/>
    </row>
    <row r="92" spans="1:12" ht="31.5" customHeight="1">
      <c r="A92" s="24" t="s">
        <v>204</v>
      </c>
      <c r="B92" s="52" t="s">
        <v>106</v>
      </c>
      <c r="C92" s="28">
        <f>D92</f>
        <v>115461</v>
      </c>
      <c r="D92" s="28">
        <v>115461</v>
      </c>
      <c r="E92" s="28">
        <v>0</v>
      </c>
      <c r="F92" s="4">
        <f>G92</f>
        <v>128957</v>
      </c>
      <c r="G92" s="4">
        <v>128957</v>
      </c>
      <c r="H92" s="4">
        <v>0</v>
      </c>
      <c r="I92" s="4">
        <f>J92</f>
        <v>127269</v>
      </c>
      <c r="J92" s="4">
        <v>127269</v>
      </c>
      <c r="K92" s="4">
        <v>0</v>
      </c>
      <c r="L92" s="18"/>
    </row>
    <row r="93" spans="1:12" ht="18" customHeight="1">
      <c r="A93" s="1" t="s">
        <v>4</v>
      </c>
      <c r="B93" s="27"/>
      <c r="C93" s="41"/>
      <c r="D93" s="41"/>
      <c r="E93" s="41"/>
      <c r="F93" s="41"/>
      <c r="G93" s="41"/>
      <c r="H93" s="41"/>
      <c r="I93" s="41"/>
      <c r="J93" s="41"/>
      <c r="K93" s="41"/>
      <c r="L93" s="42"/>
    </row>
    <row r="94" spans="1:12" ht="15">
      <c r="A94" s="24" t="s">
        <v>5</v>
      </c>
      <c r="B94" s="27"/>
      <c r="C94" s="41"/>
      <c r="D94" s="41"/>
      <c r="E94" s="41"/>
      <c r="F94" s="41"/>
      <c r="G94" s="41"/>
      <c r="H94" s="41"/>
      <c r="I94" s="41"/>
      <c r="J94" s="41"/>
      <c r="K94" s="41"/>
      <c r="L94" s="42"/>
    </row>
    <row r="95" spans="1:15" ht="18" customHeight="1">
      <c r="A95" s="43" t="s">
        <v>9</v>
      </c>
      <c r="B95" s="27"/>
      <c r="C95" s="29">
        <f>D95+E95</f>
        <v>55</v>
      </c>
      <c r="D95" s="29">
        <f>7+38+10</f>
        <v>55</v>
      </c>
      <c r="E95" s="29">
        <v>0</v>
      </c>
      <c r="F95" s="29">
        <f>G95+H95</f>
        <v>57</v>
      </c>
      <c r="G95" s="29">
        <v>57</v>
      </c>
      <c r="H95" s="29">
        <v>0</v>
      </c>
      <c r="I95" s="29">
        <f>J95+K95</f>
        <v>50</v>
      </c>
      <c r="J95" s="29">
        <v>50</v>
      </c>
      <c r="K95" s="29">
        <v>0</v>
      </c>
      <c r="L95" s="44"/>
      <c r="M95" s="164"/>
      <c r="O95" s="86" t="e">
        <f>D95+D109+D123+D181+D212+D241+D253+D271+D283+D329+D330+#REF!+D331+D345+D360+D403+D434+D435+D444+D445+D457+D458+D459+D472+D473+D482+D486+D487+D496+D497</f>
        <v>#REF!</v>
      </c>
    </row>
    <row r="96" spans="1:13" ht="7.5" customHeight="1">
      <c r="A96" s="21"/>
      <c r="B96" s="12"/>
      <c r="C96" s="22"/>
      <c r="D96" s="22"/>
      <c r="E96" s="22"/>
      <c r="F96" s="22"/>
      <c r="G96" s="22"/>
      <c r="H96" s="22"/>
      <c r="I96" s="22"/>
      <c r="J96" s="22"/>
      <c r="K96" s="22"/>
      <c r="L96" s="22"/>
      <c r="M96" s="164"/>
    </row>
    <row r="97" spans="1:13" ht="26.25" customHeight="1">
      <c r="A97" s="11"/>
      <c r="B97" s="12"/>
      <c r="C97" s="13"/>
      <c r="D97" s="13"/>
      <c r="E97" s="13"/>
      <c r="F97" s="13"/>
      <c r="G97" s="13"/>
      <c r="H97" s="13"/>
      <c r="I97" s="166" t="s">
        <v>191</v>
      </c>
      <c r="J97" s="166"/>
      <c r="K97" s="166"/>
      <c r="L97" s="13"/>
      <c r="M97" s="164"/>
    </row>
    <row r="98" spans="1:13" ht="14.25">
      <c r="A98" s="14">
        <v>1</v>
      </c>
      <c r="B98" s="15">
        <v>2</v>
      </c>
      <c r="C98" s="16">
        <v>3</v>
      </c>
      <c r="D98" s="16">
        <v>4</v>
      </c>
      <c r="E98" s="16">
        <v>5</v>
      </c>
      <c r="F98" s="16">
        <v>6</v>
      </c>
      <c r="G98" s="16">
        <v>7</v>
      </c>
      <c r="H98" s="16">
        <v>8</v>
      </c>
      <c r="I98" s="16">
        <v>9</v>
      </c>
      <c r="J98" s="16">
        <v>10</v>
      </c>
      <c r="K98" s="16">
        <v>11</v>
      </c>
      <c r="L98" s="23"/>
      <c r="M98" s="164"/>
    </row>
    <row r="99" spans="1:13" ht="17.25" customHeight="1">
      <c r="A99" s="45" t="s">
        <v>13</v>
      </c>
      <c r="B99" s="27"/>
      <c r="C99" s="46"/>
      <c r="D99" s="46"/>
      <c r="E99" s="46"/>
      <c r="F99" s="46"/>
      <c r="G99" s="46"/>
      <c r="H99" s="46"/>
      <c r="I99" s="46"/>
      <c r="J99" s="46"/>
      <c r="K99" s="46"/>
      <c r="L99" s="42"/>
      <c r="M99" s="164"/>
    </row>
    <row r="100" spans="1:12" ht="16.5">
      <c r="A100" s="47" t="s">
        <v>10</v>
      </c>
      <c r="B100" s="27"/>
      <c r="C100" s="30">
        <f>D100+E100</f>
        <v>2099.2909090909093</v>
      </c>
      <c r="D100" s="30">
        <f>D92/D95</f>
        <v>2099.2909090909093</v>
      </c>
      <c r="E100" s="30">
        <v>0</v>
      </c>
      <c r="F100" s="30">
        <f>G100+H100</f>
        <v>2262.40350877193</v>
      </c>
      <c r="G100" s="8">
        <f>G92/G95</f>
        <v>2262.40350877193</v>
      </c>
      <c r="H100" s="30">
        <v>0</v>
      </c>
      <c r="I100" s="30">
        <f>J100+K100</f>
        <v>2545.38</v>
      </c>
      <c r="J100" s="8">
        <f>J92/J95</f>
        <v>2545.38</v>
      </c>
      <c r="K100" s="30">
        <v>0</v>
      </c>
      <c r="L100" s="22"/>
    </row>
    <row r="101" spans="1:12" ht="16.5">
      <c r="A101" s="2" t="s">
        <v>12</v>
      </c>
      <c r="B101" s="27"/>
      <c r="C101" s="30"/>
      <c r="D101" s="30"/>
      <c r="E101" s="30"/>
      <c r="F101" s="30"/>
      <c r="G101" s="8"/>
      <c r="H101" s="30"/>
      <c r="I101" s="30"/>
      <c r="J101" s="8"/>
      <c r="K101" s="30"/>
      <c r="L101" s="22"/>
    </row>
    <row r="102" spans="1:12" ht="38.25" customHeight="1">
      <c r="A102" s="47" t="s">
        <v>22</v>
      </c>
      <c r="B102" s="27"/>
      <c r="C102" s="48">
        <f>D102+E102</f>
        <v>161.49295065458207</v>
      </c>
      <c r="D102" s="48">
        <f>D92/(19222+52274)*100</f>
        <v>161.49295065458207</v>
      </c>
      <c r="E102" s="48">
        <v>0</v>
      </c>
      <c r="F102" s="48">
        <f>G102+H102</f>
        <v>111.68879535081109</v>
      </c>
      <c r="G102" s="9">
        <f>G92/D92*100</f>
        <v>111.68879535081109</v>
      </c>
      <c r="H102" s="48">
        <v>0</v>
      </c>
      <c r="I102" s="48">
        <f>J102+K102</f>
        <v>98.69103654706608</v>
      </c>
      <c r="J102" s="9">
        <f>J92/G92*100</f>
        <v>98.69103654706608</v>
      </c>
      <c r="K102" s="48">
        <v>0</v>
      </c>
      <c r="L102" s="22"/>
    </row>
    <row r="103" spans="1:12" ht="21.75" customHeight="1">
      <c r="A103" s="174" t="s">
        <v>205</v>
      </c>
      <c r="B103" s="27" t="s">
        <v>15</v>
      </c>
      <c r="C103" s="28">
        <f>D103+E103</f>
        <v>43120</v>
      </c>
      <c r="D103" s="28">
        <f>+D104+D105+D106</f>
        <v>43120</v>
      </c>
      <c r="E103" s="28">
        <v>0</v>
      </c>
      <c r="F103" s="28">
        <f>G103+H103</f>
        <v>47600</v>
      </c>
      <c r="G103" s="4">
        <f>+G104+G105+G106</f>
        <v>47600</v>
      </c>
      <c r="H103" s="28">
        <v>0</v>
      </c>
      <c r="I103" s="28">
        <f>J103+K103</f>
        <v>50870</v>
      </c>
      <c r="J103" s="4">
        <f>+J104+J105+J106</f>
        <v>50870</v>
      </c>
      <c r="K103" s="28">
        <v>0</v>
      </c>
      <c r="L103" s="49"/>
    </row>
    <row r="104" spans="1:12" ht="21.75" customHeight="1">
      <c r="A104" s="174"/>
      <c r="B104" s="52" t="s">
        <v>106</v>
      </c>
      <c r="C104" s="30">
        <f>+D104</f>
        <v>18560</v>
      </c>
      <c r="D104" s="30">
        <v>18560</v>
      </c>
      <c r="E104" s="30">
        <v>0</v>
      </c>
      <c r="F104" s="30">
        <f>+G104</f>
        <v>18615</v>
      </c>
      <c r="G104" s="8">
        <v>18615</v>
      </c>
      <c r="H104" s="30">
        <v>0</v>
      </c>
      <c r="I104" s="30">
        <f>+J104</f>
        <v>21420</v>
      </c>
      <c r="J104" s="8">
        <v>21420</v>
      </c>
      <c r="K104" s="30">
        <v>0</v>
      </c>
      <c r="L104" s="49"/>
    </row>
    <row r="105" spans="1:12" ht="21.75" customHeight="1">
      <c r="A105" s="174"/>
      <c r="B105" s="52" t="s">
        <v>85</v>
      </c>
      <c r="C105" s="30">
        <f>+D105</f>
        <v>7760</v>
      </c>
      <c r="D105" s="30">
        <v>7760</v>
      </c>
      <c r="E105" s="30">
        <v>0</v>
      </c>
      <c r="F105" s="30">
        <f>+G105</f>
        <v>6375</v>
      </c>
      <c r="G105" s="8">
        <v>6375</v>
      </c>
      <c r="H105" s="30">
        <v>0</v>
      </c>
      <c r="I105" s="30">
        <f>+J105</f>
        <v>9500</v>
      </c>
      <c r="J105" s="8">
        <v>9500</v>
      </c>
      <c r="K105" s="30">
        <v>0</v>
      </c>
      <c r="L105" s="49"/>
    </row>
    <row r="106" spans="1:12" ht="21.75" customHeight="1">
      <c r="A106" s="174"/>
      <c r="B106" s="52" t="s">
        <v>89</v>
      </c>
      <c r="C106" s="30">
        <f>+D106</f>
        <v>16800</v>
      </c>
      <c r="D106" s="30">
        <v>16800</v>
      </c>
      <c r="E106" s="30">
        <v>0</v>
      </c>
      <c r="F106" s="30">
        <f>+G106</f>
        <v>22610</v>
      </c>
      <c r="G106" s="8">
        <v>22610</v>
      </c>
      <c r="H106" s="30">
        <v>0</v>
      </c>
      <c r="I106" s="30">
        <f>+J106</f>
        <v>19950</v>
      </c>
      <c r="J106" s="8">
        <v>19950</v>
      </c>
      <c r="K106" s="30">
        <v>0</v>
      </c>
      <c r="L106" s="49"/>
    </row>
    <row r="107" spans="1:12" ht="18" customHeight="1">
      <c r="A107" s="1" t="s">
        <v>4</v>
      </c>
      <c r="B107" s="27"/>
      <c r="C107" s="41"/>
      <c r="D107" s="41"/>
      <c r="E107" s="41"/>
      <c r="F107" s="41"/>
      <c r="G107" s="41"/>
      <c r="H107" s="41"/>
      <c r="I107" s="41"/>
      <c r="J107" s="41"/>
      <c r="K107" s="41"/>
      <c r="L107" s="42"/>
    </row>
    <row r="108" spans="1:12" ht="20.25" customHeight="1">
      <c r="A108" s="24" t="s">
        <v>5</v>
      </c>
      <c r="B108" s="27"/>
      <c r="C108" s="41"/>
      <c r="D108" s="41"/>
      <c r="E108" s="41"/>
      <c r="F108" s="41"/>
      <c r="G108" s="41"/>
      <c r="H108" s="41"/>
      <c r="I108" s="41"/>
      <c r="J108" s="41"/>
      <c r="K108" s="41"/>
      <c r="L108" s="42"/>
    </row>
    <row r="109" spans="1:12" ht="18.75" customHeight="1">
      <c r="A109" s="53" t="s">
        <v>208</v>
      </c>
      <c r="B109" s="27"/>
      <c r="C109" s="50">
        <f>D109+E109</f>
        <v>232</v>
      </c>
      <c r="D109" s="50">
        <v>232</v>
      </c>
      <c r="E109" s="50">
        <v>0</v>
      </c>
      <c r="F109" s="50">
        <f>G109+H109</f>
        <v>219</v>
      </c>
      <c r="G109" s="50">
        <v>219</v>
      </c>
      <c r="H109" s="50">
        <v>0</v>
      </c>
      <c r="I109" s="50">
        <f>J109+K109</f>
        <v>238</v>
      </c>
      <c r="J109" s="50">
        <v>238</v>
      </c>
      <c r="K109" s="50">
        <v>0</v>
      </c>
      <c r="L109" s="44"/>
    </row>
    <row r="110" spans="1:12" ht="19.5" customHeight="1">
      <c r="A110" s="88" t="s">
        <v>206</v>
      </c>
      <c r="B110" s="1"/>
      <c r="C110" s="128">
        <f>+D110</f>
        <v>97</v>
      </c>
      <c r="D110" s="128">
        <v>97</v>
      </c>
      <c r="E110" s="128">
        <v>0</v>
      </c>
      <c r="F110" s="128">
        <f>+G110</f>
        <v>75</v>
      </c>
      <c r="G110" s="128">
        <v>75</v>
      </c>
      <c r="H110" s="128">
        <v>0</v>
      </c>
      <c r="I110" s="128">
        <f>+J110</f>
        <v>100</v>
      </c>
      <c r="J110" s="128">
        <v>100</v>
      </c>
      <c r="K110" s="128">
        <v>0</v>
      </c>
      <c r="L110" s="127"/>
    </row>
    <row r="111" spans="1:12" ht="33" customHeight="1">
      <c r="A111" s="25" t="s">
        <v>207</v>
      </c>
      <c r="B111" s="1"/>
      <c r="C111" s="17">
        <f>+D111</f>
        <v>210</v>
      </c>
      <c r="D111" s="17">
        <v>210</v>
      </c>
      <c r="E111" s="17">
        <v>0</v>
      </c>
      <c r="F111" s="17">
        <f>+G111</f>
        <v>266</v>
      </c>
      <c r="G111" s="17">
        <v>266</v>
      </c>
      <c r="H111" s="17">
        <v>0</v>
      </c>
      <c r="I111" s="17">
        <f>+J111</f>
        <v>210</v>
      </c>
      <c r="J111" s="17">
        <v>210</v>
      </c>
      <c r="K111" s="17">
        <v>0</v>
      </c>
      <c r="L111" s="18"/>
    </row>
    <row r="112" spans="1:12" ht="15">
      <c r="A112" s="45" t="s">
        <v>13</v>
      </c>
      <c r="B112" s="27"/>
      <c r="C112" s="54"/>
      <c r="D112" s="54"/>
      <c r="E112" s="54"/>
      <c r="F112" s="54"/>
      <c r="G112" s="54"/>
      <c r="H112" s="54"/>
      <c r="I112" s="54"/>
      <c r="J112" s="54"/>
      <c r="K112" s="54"/>
      <c r="L112" s="22"/>
    </row>
    <row r="113" spans="1:12" ht="27.75" customHeight="1">
      <c r="A113" s="47" t="s">
        <v>209</v>
      </c>
      <c r="B113" s="27"/>
      <c r="C113" s="30">
        <f>D113+E113</f>
        <v>80</v>
      </c>
      <c r="D113" s="8">
        <f>D104/D109</f>
        <v>80</v>
      </c>
      <c r="E113" s="30">
        <v>0</v>
      </c>
      <c r="F113" s="30">
        <f>G113+H113</f>
        <v>85</v>
      </c>
      <c r="G113" s="8">
        <f>G104/G109</f>
        <v>85</v>
      </c>
      <c r="H113" s="30">
        <v>0</v>
      </c>
      <c r="I113" s="30">
        <f>J113+K113</f>
        <v>90</v>
      </c>
      <c r="J113" s="8">
        <f>J104/J109</f>
        <v>90</v>
      </c>
      <c r="K113" s="30">
        <v>0</v>
      </c>
      <c r="L113" s="22"/>
    </row>
    <row r="114" spans="1:12" ht="36" customHeight="1">
      <c r="A114" s="47" t="s">
        <v>210</v>
      </c>
      <c r="B114" s="27"/>
      <c r="C114" s="30">
        <f>D114+E114</f>
        <v>80</v>
      </c>
      <c r="D114" s="8">
        <f>(D105+D106)/(D110+D111)</f>
        <v>80</v>
      </c>
      <c r="E114" s="30">
        <v>0</v>
      </c>
      <c r="F114" s="30">
        <f>G114+H114</f>
        <v>85</v>
      </c>
      <c r="G114" s="8">
        <f>(G105+G106)/(G110+G111)</f>
        <v>85</v>
      </c>
      <c r="H114" s="30">
        <v>0</v>
      </c>
      <c r="I114" s="30">
        <f>J114+K114</f>
        <v>95</v>
      </c>
      <c r="J114" s="8">
        <f>(J105+J106)/(J110+J111)</f>
        <v>95</v>
      </c>
      <c r="K114" s="30">
        <v>0</v>
      </c>
      <c r="L114" s="22"/>
    </row>
    <row r="115" spans="1:12" ht="18" customHeight="1">
      <c r="A115" s="2" t="s">
        <v>12</v>
      </c>
      <c r="B115" s="27"/>
      <c r="C115" s="30"/>
      <c r="D115" s="30"/>
      <c r="E115" s="30"/>
      <c r="F115" s="30"/>
      <c r="G115" s="8"/>
      <c r="H115" s="30"/>
      <c r="I115" s="30"/>
      <c r="J115" s="8"/>
      <c r="K115" s="30"/>
      <c r="L115" s="22"/>
    </row>
    <row r="116" spans="1:12" ht="24.75" customHeight="1">
      <c r="A116" s="25" t="s">
        <v>35</v>
      </c>
      <c r="B116" s="27"/>
      <c r="C116" s="48">
        <f>D116+E116</f>
        <v>110.3942652329749</v>
      </c>
      <c r="D116" s="48">
        <f>D103/(20300+4060+14700)*100</f>
        <v>110.3942652329749</v>
      </c>
      <c r="E116" s="48">
        <v>0</v>
      </c>
      <c r="F116" s="48">
        <f>F103/C103*100</f>
        <v>110.3896103896104</v>
      </c>
      <c r="G116" s="9">
        <f>G103/D103*100</f>
        <v>110.3896103896104</v>
      </c>
      <c r="H116" s="48">
        <v>0</v>
      </c>
      <c r="I116" s="48">
        <f>I103/F103*100</f>
        <v>106.86974789915966</v>
      </c>
      <c r="J116" s="9">
        <f>J103/G103*100</f>
        <v>106.86974789915966</v>
      </c>
      <c r="K116" s="48">
        <v>0</v>
      </c>
      <c r="L116" s="22"/>
    </row>
    <row r="117" spans="1:12" ht="21.75" customHeight="1">
      <c r="A117" s="56" t="s">
        <v>108</v>
      </c>
      <c r="B117" s="52" t="s">
        <v>109</v>
      </c>
      <c r="C117" s="54"/>
      <c r="D117" s="54"/>
      <c r="E117" s="54"/>
      <c r="F117" s="54"/>
      <c r="G117" s="54"/>
      <c r="H117" s="54"/>
      <c r="I117" s="54"/>
      <c r="J117" s="54"/>
      <c r="K117" s="54"/>
      <c r="L117" s="22"/>
    </row>
    <row r="118" spans="1:12" ht="25.5" customHeight="1">
      <c r="A118" s="2" t="s">
        <v>65</v>
      </c>
      <c r="B118" s="27"/>
      <c r="C118" s="54"/>
      <c r="D118" s="54"/>
      <c r="E118" s="54"/>
      <c r="F118" s="54"/>
      <c r="G118" s="54"/>
      <c r="H118" s="54"/>
      <c r="I118" s="54"/>
      <c r="J118" s="54"/>
      <c r="K118" s="54"/>
      <c r="L118" s="22"/>
    </row>
    <row r="119" spans="1:12" ht="24.75" customHeight="1">
      <c r="A119" s="165" t="s">
        <v>251</v>
      </c>
      <c r="B119" s="165"/>
      <c r="C119" s="165"/>
      <c r="D119" s="165"/>
      <c r="E119" s="165"/>
      <c r="F119" s="165"/>
      <c r="G119" s="165"/>
      <c r="H119" s="165"/>
      <c r="I119" s="165"/>
      <c r="J119" s="165"/>
      <c r="K119" s="165"/>
      <c r="L119" s="80"/>
    </row>
    <row r="120" spans="1:12" ht="27.75" customHeight="1">
      <c r="A120" s="172" t="s">
        <v>237</v>
      </c>
      <c r="B120" s="172"/>
      <c r="C120" s="172"/>
      <c r="D120" s="172"/>
      <c r="E120" s="172"/>
      <c r="F120" s="172"/>
      <c r="G120" s="172"/>
      <c r="H120" s="172"/>
      <c r="I120" s="172"/>
      <c r="J120" s="172"/>
      <c r="K120" s="172"/>
      <c r="L120" s="35"/>
    </row>
    <row r="121" spans="1:12" ht="57" customHeight="1">
      <c r="A121" s="24" t="s">
        <v>238</v>
      </c>
      <c r="B121" s="27"/>
      <c r="C121" s="28">
        <f>E121+D121</f>
        <v>1385920</v>
      </c>
      <c r="D121" s="28">
        <v>1385920</v>
      </c>
      <c r="E121" s="28">
        <v>0</v>
      </c>
      <c r="F121" s="28">
        <f>H121+G121</f>
        <v>1892237</v>
      </c>
      <c r="G121" s="4">
        <v>1892237</v>
      </c>
      <c r="H121" s="4">
        <f>E121*1.05</f>
        <v>0</v>
      </c>
      <c r="I121" s="28">
        <f>K121+J121</f>
        <v>2250688</v>
      </c>
      <c r="J121" s="4">
        <f>2050688+200000</f>
        <v>2250688</v>
      </c>
      <c r="K121" s="4">
        <f>H121*1.043</f>
        <v>0</v>
      </c>
      <c r="L121" s="67"/>
    </row>
    <row r="122" spans="1:12" ht="19.5" customHeight="1">
      <c r="A122" s="47" t="s">
        <v>4</v>
      </c>
      <c r="B122" s="27"/>
      <c r="C122" s="46"/>
      <c r="D122" s="46"/>
      <c r="E122" s="46"/>
      <c r="F122" s="46"/>
      <c r="G122" s="46"/>
      <c r="H122" s="46"/>
      <c r="I122" s="46"/>
      <c r="J122" s="46"/>
      <c r="K122" s="46"/>
      <c r="L122" s="42"/>
    </row>
    <row r="123" spans="1:12" ht="21.75" customHeight="1">
      <c r="A123" s="2" t="s">
        <v>25</v>
      </c>
      <c r="B123" s="27"/>
      <c r="C123" s="46"/>
      <c r="D123" s="46"/>
      <c r="E123" s="46"/>
      <c r="F123" s="46"/>
      <c r="G123" s="46"/>
      <c r="H123" s="46"/>
      <c r="I123" s="46"/>
      <c r="J123" s="46"/>
      <c r="K123" s="46"/>
      <c r="L123" s="42"/>
    </row>
    <row r="124" spans="1:12" ht="35.25" customHeight="1">
      <c r="A124" s="25" t="s">
        <v>236</v>
      </c>
      <c r="B124" s="27"/>
      <c r="C124" s="50">
        <f>D124+E124</f>
        <v>3</v>
      </c>
      <c r="D124" s="50">
        <v>3</v>
      </c>
      <c r="E124" s="50">
        <v>0</v>
      </c>
      <c r="F124" s="50">
        <f>G124+H124</f>
        <v>3</v>
      </c>
      <c r="G124" s="50">
        <v>3</v>
      </c>
      <c r="H124" s="50">
        <v>0</v>
      </c>
      <c r="I124" s="50">
        <f>J124+K124</f>
        <v>2</v>
      </c>
      <c r="J124" s="50">
        <v>2</v>
      </c>
      <c r="K124" s="50">
        <v>0</v>
      </c>
      <c r="L124" s="42"/>
    </row>
    <row r="125" spans="1:12" ht="33" customHeight="1">
      <c r="A125" s="25" t="s">
        <v>239</v>
      </c>
      <c r="B125" s="27"/>
      <c r="C125" s="50">
        <f>+D125</f>
        <v>1</v>
      </c>
      <c r="D125" s="50">
        <v>1</v>
      </c>
      <c r="E125" s="50">
        <v>0</v>
      </c>
      <c r="F125" s="50">
        <f>+G125</f>
        <v>1</v>
      </c>
      <c r="G125" s="50">
        <v>1</v>
      </c>
      <c r="H125" s="50">
        <v>0</v>
      </c>
      <c r="I125" s="50">
        <f>+J125</f>
        <v>1</v>
      </c>
      <c r="J125" s="50">
        <v>1</v>
      </c>
      <c r="K125" s="50">
        <v>0</v>
      </c>
      <c r="L125" s="42"/>
    </row>
    <row r="126" spans="1:12" ht="22.5" customHeight="1">
      <c r="A126" s="25" t="s">
        <v>137</v>
      </c>
      <c r="B126" s="27"/>
      <c r="C126" s="29">
        <f>+D126+E126</f>
        <v>1176</v>
      </c>
      <c r="D126" s="29">
        <f>1143+33</f>
        <v>1176</v>
      </c>
      <c r="E126" s="29">
        <v>0</v>
      </c>
      <c r="F126" s="29">
        <f>+G126+H126</f>
        <v>1180</v>
      </c>
      <c r="G126" s="29">
        <v>1180</v>
      </c>
      <c r="H126" s="29">
        <v>0</v>
      </c>
      <c r="I126" s="152">
        <f>+J126+K126</f>
        <v>1180</v>
      </c>
      <c r="J126" s="152">
        <v>1180</v>
      </c>
      <c r="K126" s="152">
        <v>0</v>
      </c>
      <c r="L126" s="42"/>
    </row>
    <row r="127" spans="1:12" ht="24.75" customHeight="1">
      <c r="A127" s="57" t="s">
        <v>5</v>
      </c>
      <c r="B127" s="27"/>
      <c r="C127" s="46"/>
      <c r="D127" s="46"/>
      <c r="E127" s="46"/>
      <c r="F127" s="46"/>
      <c r="G127" s="46"/>
      <c r="H127" s="46"/>
      <c r="I127" s="46"/>
      <c r="J127" s="46"/>
      <c r="K127" s="46"/>
      <c r="L127" s="42"/>
    </row>
    <row r="128" spans="1:12" ht="33.75" customHeight="1">
      <c r="A128" s="58" t="s">
        <v>240</v>
      </c>
      <c r="B128" s="27"/>
      <c r="C128" s="29">
        <f>D128+E128</f>
        <v>73916</v>
      </c>
      <c r="D128" s="29">
        <f>886992/1/12</f>
        <v>73916</v>
      </c>
      <c r="E128" s="50">
        <v>0</v>
      </c>
      <c r="F128" s="29">
        <f>G128+H128</f>
        <v>113323.41666666667</v>
      </c>
      <c r="G128" s="29">
        <f>1359881/12</f>
        <v>113323.41666666667</v>
      </c>
      <c r="H128" s="29">
        <v>0</v>
      </c>
      <c r="I128" s="29">
        <f>J128+K128</f>
        <v>139955.83333333334</v>
      </c>
      <c r="J128" s="29">
        <f>1679470/12</f>
        <v>139955.83333333334</v>
      </c>
      <c r="K128" s="50">
        <v>0</v>
      </c>
      <c r="L128" s="44"/>
    </row>
    <row r="129" spans="1:12" ht="33" customHeight="1">
      <c r="A129" s="58" t="s">
        <v>241</v>
      </c>
      <c r="B129" s="27"/>
      <c r="C129" s="29">
        <f>+D129</f>
        <v>13859.111111111111</v>
      </c>
      <c r="D129" s="29">
        <f>498928/3/12</f>
        <v>13859.111111111111</v>
      </c>
      <c r="E129" s="29">
        <v>0</v>
      </c>
      <c r="F129" s="29">
        <f>+G129</f>
        <v>14787.666666666666</v>
      </c>
      <c r="G129" s="29">
        <f>532356/3/12</f>
        <v>14787.666666666666</v>
      </c>
      <c r="H129" s="29">
        <v>0</v>
      </c>
      <c r="I129" s="29">
        <f>+J129</f>
        <v>23800.75</v>
      </c>
      <c r="J129" s="29">
        <f>571218/2/12</f>
        <v>23800.75</v>
      </c>
      <c r="K129" s="29">
        <v>0</v>
      </c>
      <c r="L129" s="42"/>
    </row>
    <row r="130" spans="1:12" ht="7.5" customHeight="1">
      <c r="A130" s="21"/>
      <c r="B130" s="12"/>
      <c r="C130" s="22"/>
      <c r="D130" s="22"/>
      <c r="E130" s="22"/>
      <c r="F130" s="22"/>
      <c r="G130" s="22"/>
      <c r="H130" s="22"/>
      <c r="I130" s="22"/>
      <c r="J130" s="22"/>
      <c r="K130" s="22"/>
      <c r="L130" s="22"/>
    </row>
    <row r="131" spans="1:12" ht="26.25" customHeight="1">
      <c r="A131" s="11"/>
      <c r="B131" s="12"/>
      <c r="C131" s="13"/>
      <c r="D131" s="13"/>
      <c r="E131" s="13"/>
      <c r="F131" s="13"/>
      <c r="G131" s="13"/>
      <c r="H131" s="13"/>
      <c r="I131" s="166" t="s">
        <v>191</v>
      </c>
      <c r="J131" s="166"/>
      <c r="K131" s="166"/>
      <c r="L131" s="13"/>
    </row>
    <row r="132" spans="1:12" ht="14.25">
      <c r="A132" s="14">
        <v>1</v>
      </c>
      <c r="B132" s="15">
        <v>2</v>
      </c>
      <c r="C132" s="16">
        <v>3</v>
      </c>
      <c r="D132" s="16">
        <v>4</v>
      </c>
      <c r="E132" s="16">
        <v>5</v>
      </c>
      <c r="F132" s="16">
        <v>6</v>
      </c>
      <c r="G132" s="16">
        <v>7</v>
      </c>
      <c r="H132" s="16">
        <v>8</v>
      </c>
      <c r="I132" s="16">
        <v>9</v>
      </c>
      <c r="J132" s="16">
        <v>10</v>
      </c>
      <c r="K132" s="16">
        <v>11</v>
      </c>
      <c r="L132" s="23"/>
    </row>
    <row r="133" spans="1:12" ht="16.5">
      <c r="A133" s="2" t="s">
        <v>13</v>
      </c>
      <c r="B133" s="27"/>
      <c r="C133" s="46"/>
      <c r="D133" s="46"/>
      <c r="E133" s="46"/>
      <c r="F133" s="46"/>
      <c r="G133" s="46"/>
      <c r="H133" s="46"/>
      <c r="I133" s="46"/>
      <c r="J133" s="46"/>
      <c r="K133" s="46"/>
      <c r="L133" s="42"/>
    </row>
    <row r="134" spans="1:12" ht="64.5" customHeight="1">
      <c r="A134" s="5" t="s">
        <v>242</v>
      </c>
      <c r="B134" s="27"/>
      <c r="C134" s="30">
        <f>D134+E134</f>
        <v>100</v>
      </c>
      <c r="D134" s="30">
        <v>100</v>
      </c>
      <c r="E134" s="30">
        <v>0</v>
      </c>
      <c r="F134" s="30">
        <f>G134+H134</f>
        <v>100</v>
      </c>
      <c r="G134" s="8">
        <v>100</v>
      </c>
      <c r="H134" s="30">
        <v>0</v>
      </c>
      <c r="I134" s="30">
        <f>J134+K134</f>
        <v>100</v>
      </c>
      <c r="J134" s="8">
        <v>100</v>
      </c>
      <c r="K134" s="30">
        <v>0</v>
      </c>
      <c r="L134" s="18"/>
    </row>
    <row r="135" spans="1:12" ht="17.25" customHeight="1">
      <c r="A135" s="2" t="s">
        <v>12</v>
      </c>
      <c r="B135" s="27"/>
      <c r="C135" s="46"/>
      <c r="D135" s="46"/>
      <c r="E135" s="46"/>
      <c r="F135" s="46"/>
      <c r="G135" s="46"/>
      <c r="H135" s="46"/>
      <c r="I135" s="46"/>
      <c r="J135" s="46"/>
      <c r="K135" s="46"/>
      <c r="L135" s="42"/>
    </row>
    <row r="136" spans="1:13" ht="49.5" customHeight="1">
      <c r="A136" s="25" t="s">
        <v>116</v>
      </c>
      <c r="B136" s="27"/>
      <c r="C136" s="48">
        <f>D136+E136</f>
        <v>100</v>
      </c>
      <c r="D136" s="48">
        <v>100</v>
      </c>
      <c r="E136" s="48">
        <v>0</v>
      </c>
      <c r="F136" s="48">
        <f>G136+H136</f>
        <v>100</v>
      </c>
      <c r="G136" s="48">
        <v>100</v>
      </c>
      <c r="H136" s="48">
        <v>0</v>
      </c>
      <c r="I136" s="48">
        <f>J136+K136</f>
        <v>100</v>
      </c>
      <c r="J136" s="48">
        <v>100</v>
      </c>
      <c r="K136" s="48">
        <v>0</v>
      </c>
      <c r="L136" s="22"/>
      <c r="M136" s="66"/>
    </row>
    <row r="137" spans="1:12" ht="24" customHeight="1">
      <c r="A137" s="26" t="s">
        <v>110</v>
      </c>
      <c r="B137" s="40" t="s">
        <v>111</v>
      </c>
      <c r="C137" s="41"/>
      <c r="D137" s="41"/>
      <c r="E137" s="41"/>
      <c r="F137" s="41"/>
      <c r="G137" s="41"/>
      <c r="H137" s="41"/>
      <c r="I137" s="41"/>
      <c r="J137" s="41"/>
      <c r="K137" s="41"/>
      <c r="L137" s="42"/>
    </row>
    <row r="138" spans="1:12" ht="24.75" customHeight="1">
      <c r="A138" s="2" t="s">
        <v>66</v>
      </c>
      <c r="B138" s="27"/>
      <c r="C138" s="41"/>
      <c r="D138" s="41"/>
      <c r="E138" s="41"/>
      <c r="F138" s="41"/>
      <c r="G138" s="41"/>
      <c r="H138" s="41"/>
      <c r="I138" s="41"/>
      <c r="J138" s="41"/>
      <c r="K138" s="41"/>
      <c r="L138" s="42"/>
    </row>
    <row r="139" spans="1:15" ht="39.75" customHeight="1">
      <c r="A139" s="165" t="s">
        <v>230</v>
      </c>
      <c r="B139" s="165"/>
      <c r="C139" s="165"/>
      <c r="D139" s="165"/>
      <c r="E139" s="165"/>
      <c r="F139" s="165"/>
      <c r="G139" s="165"/>
      <c r="H139" s="165"/>
      <c r="I139" s="165"/>
      <c r="J139" s="165"/>
      <c r="K139" s="165"/>
      <c r="L139" s="18"/>
      <c r="M139" s="81"/>
      <c r="N139" s="82"/>
      <c r="O139" s="20"/>
    </row>
    <row r="140" spans="1:12" ht="30.75" customHeight="1">
      <c r="A140" s="172" t="s">
        <v>231</v>
      </c>
      <c r="B140" s="172"/>
      <c r="C140" s="172"/>
      <c r="D140" s="172"/>
      <c r="E140" s="172"/>
      <c r="F140" s="172"/>
      <c r="G140" s="172"/>
      <c r="H140" s="172"/>
      <c r="I140" s="172"/>
      <c r="J140" s="172"/>
      <c r="K140" s="172"/>
      <c r="L140" s="83"/>
    </row>
    <row r="141" spans="1:12" ht="46.5" customHeight="1">
      <c r="A141" s="59" t="s">
        <v>232</v>
      </c>
      <c r="B141" s="27"/>
      <c r="C141" s="28">
        <f>E141+D141</f>
        <v>1704214</v>
      </c>
      <c r="D141" s="28">
        <v>1704214</v>
      </c>
      <c r="E141" s="28">
        <v>0</v>
      </c>
      <c r="F141" s="28">
        <f>H141+G141</f>
        <v>1959300</v>
      </c>
      <c r="G141" s="4">
        <v>1959300</v>
      </c>
      <c r="H141" s="4">
        <f>E141*1.05</f>
        <v>0</v>
      </c>
      <c r="I141" s="28">
        <f>K141+J141</f>
        <v>2096790</v>
      </c>
      <c r="J141" s="4">
        <v>2096790</v>
      </c>
      <c r="K141" s="4">
        <f>H141*1.043</f>
        <v>0</v>
      </c>
      <c r="L141" s="67"/>
    </row>
    <row r="142" spans="1:12" ht="22.5" customHeight="1">
      <c r="A142" s="47" t="s">
        <v>4</v>
      </c>
      <c r="B142" s="27"/>
      <c r="C142" s="46"/>
      <c r="D142" s="46"/>
      <c r="E142" s="46"/>
      <c r="F142" s="46"/>
      <c r="G142" s="46"/>
      <c r="H142" s="46"/>
      <c r="I142" s="46"/>
      <c r="J142" s="46"/>
      <c r="K142" s="46"/>
      <c r="L142" s="42"/>
    </row>
    <row r="143" spans="1:12" ht="19.5" customHeight="1">
      <c r="A143" s="2" t="s">
        <v>5</v>
      </c>
      <c r="B143" s="27"/>
      <c r="C143" s="46"/>
      <c r="D143" s="46"/>
      <c r="E143" s="46"/>
      <c r="F143" s="46"/>
      <c r="G143" s="46"/>
      <c r="H143" s="46"/>
      <c r="I143" s="46"/>
      <c r="J143" s="46"/>
      <c r="K143" s="46"/>
      <c r="L143" s="42"/>
    </row>
    <row r="144" spans="1:12" ht="22.5" customHeight="1">
      <c r="A144" s="47" t="s">
        <v>14</v>
      </c>
      <c r="B144" s="62"/>
      <c r="C144" s="29">
        <f aca="true" t="shared" si="2" ref="C144:C149">D144+E144</f>
        <v>1014</v>
      </c>
      <c r="D144" s="29">
        <v>1014</v>
      </c>
      <c r="E144" s="29">
        <v>0</v>
      </c>
      <c r="F144" s="29">
        <f aca="true" t="shared" si="3" ref="F144:F149">G144+H144</f>
        <v>1033</v>
      </c>
      <c r="G144" s="29">
        <f>G145+G146+G147+G148+G149</f>
        <v>1033</v>
      </c>
      <c r="H144" s="29">
        <v>0</v>
      </c>
      <c r="I144" s="29">
        <f aca="true" t="shared" si="4" ref="I144:I149">J144+K144</f>
        <v>1005</v>
      </c>
      <c r="J144" s="29">
        <f>J145+J146+J147+J148+J149</f>
        <v>1005</v>
      </c>
      <c r="K144" s="29">
        <v>0</v>
      </c>
      <c r="L144" s="44"/>
    </row>
    <row r="145" spans="1:12" ht="22.5" customHeight="1">
      <c r="A145" s="47" t="s">
        <v>16</v>
      </c>
      <c r="B145" s="27"/>
      <c r="C145" s="60">
        <f t="shared" si="2"/>
        <v>1</v>
      </c>
      <c r="D145" s="60">
        <v>1</v>
      </c>
      <c r="E145" s="60">
        <v>0</v>
      </c>
      <c r="F145" s="60">
        <f t="shared" si="3"/>
        <v>1</v>
      </c>
      <c r="G145" s="60">
        <f>D145</f>
        <v>1</v>
      </c>
      <c r="H145" s="60">
        <v>0</v>
      </c>
      <c r="I145" s="60">
        <f t="shared" si="4"/>
        <v>1</v>
      </c>
      <c r="J145" s="60">
        <f>G145</f>
        <v>1</v>
      </c>
      <c r="K145" s="60">
        <v>0</v>
      </c>
      <c r="L145" s="61"/>
    </row>
    <row r="146" spans="1:12" ht="20.25" customHeight="1">
      <c r="A146" s="47" t="s">
        <v>213</v>
      </c>
      <c r="B146" s="27"/>
      <c r="C146" s="60">
        <f t="shared" si="2"/>
        <v>620</v>
      </c>
      <c r="D146" s="60">
        <v>620</v>
      </c>
      <c r="E146" s="60">
        <v>0</v>
      </c>
      <c r="F146" s="60">
        <f t="shared" si="3"/>
        <v>635</v>
      </c>
      <c r="G146" s="60">
        <v>635</v>
      </c>
      <c r="H146" s="60">
        <v>0</v>
      </c>
      <c r="I146" s="60">
        <f t="shared" si="4"/>
        <v>589</v>
      </c>
      <c r="J146" s="60">
        <v>589</v>
      </c>
      <c r="K146" s="60">
        <v>0</v>
      </c>
      <c r="L146" s="61"/>
    </row>
    <row r="147" spans="1:12" ht="30.75" customHeight="1">
      <c r="A147" s="25" t="s">
        <v>79</v>
      </c>
      <c r="B147" s="27"/>
      <c r="C147" s="60">
        <f t="shared" si="2"/>
        <v>90</v>
      </c>
      <c r="D147" s="60">
        <v>90</v>
      </c>
      <c r="E147" s="60">
        <v>0</v>
      </c>
      <c r="F147" s="60">
        <f t="shared" si="3"/>
        <v>76</v>
      </c>
      <c r="G147" s="60">
        <v>76</v>
      </c>
      <c r="H147" s="60">
        <v>0</v>
      </c>
      <c r="I147" s="60">
        <f t="shared" si="4"/>
        <v>100</v>
      </c>
      <c r="J147" s="60">
        <v>100</v>
      </c>
      <c r="K147" s="60">
        <v>0</v>
      </c>
      <c r="L147" s="61"/>
    </row>
    <row r="148" spans="1:12" ht="48.75" customHeight="1">
      <c r="A148" s="25" t="s">
        <v>214</v>
      </c>
      <c r="B148" s="27"/>
      <c r="C148" s="60">
        <f t="shared" si="2"/>
        <v>100</v>
      </c>
      <c r="D148" s="60">
        <v>100</v>
      </c>
      <c r="E148" s="60">
        <v>0</v>
      </c>
      <c r="F148" s="60">
        <f t="shared" si="3"/>
        <v>103</v>
      </c>
      <c r="G148" s="60">
        <f>84+19</f>
        <v>103</v>
      </c>
      <c r="H148" s="60">
        <v>0</v>
      </c>
      <c r="I148" s="60">
        <f t="shared" si="4"/>
        <v>107</v>
      </c>
      <c r="J148" s="60">
        <v>107</v>
      </c>
      <c r="K148" s="60">
        <v>0</v>
      </c>
      <c r="L148" s="61"/>
    </row>
    <row r="149" spans="1:14" ht="81" customHeight="1">
      <c r="A149" s="25" t="s">
        <v>104</v>
      </c>
      <c r="B149" s="27"/>
      <c r="C149" s="60">
        <f t="shared" si="2"/>
        <v>203</v>
      </c>
      <c r="D149" s="60">
        <v>203</v>
      </c>
      <c r="E149" s="60">
        <v>0</v>
      </c>
      <c r="F149" s="60">
        <f t="shared" si="3"/>
        <v>218</v>
      </c>
      <c r="G149" s="60">
        <v>218</v>
      </c>
      <c r="H149" s="60">
        <v>0</v>
      </c>
      <c r="I149" s="60">
        <f t="shared" si="4"/>
        <v>208</v>
      </c>
      <c r="J149" s="60">
        <v>208</v>
      </c>
      <c r="K149" s="60">
        <v>0</v>
      </c>
      <c r="L149" s="61"/>
      <c r="N149" s="84"/>
    </row>
    <row r="150" spans="1:12" ht="15">
      <c r="A150" s="2" t="s">
        <v>13</v>
      </c>
      <c r="B150" s="27"/>
      <c r="C150" s="54"/>
      <c r="D150" s="54"/>
      <c r="E150" s="54"/>
      <c r="F150" s="54"/>
      <c r="G150" s="54"/>
      <c r="H150" s="54"/>
      <c r="I150" s="54"/>
      <c r="J150" s="54"/>
      <c r="K150" s="54"/>
      <c r="L150" s="22"/>
    </row>
    <row r="151" spans="1:12" ht="36.75" customHeight="1">
      <c r="A151" s="25" t="s">
        <v>81</v>
      </c>
      <c r="B151" s="27"/>
      <c r="C151" s="30">
        <f aca="true" t="shared" si="5" ref="C151:C156">D151+E151</f>
        <v>1680.6844181459567</v>
      </c>
      <c r="D151" s="30">
        <f>D141/D144</f>
        <v>1680.6844181459567</v>
      </c>
      <c r="E151" s="30">
        <v>0</v>
      </c>
      <c r="F151" s="30">
        <f aca="true" t="shared" si="6" ref="F151:F156">G151+H151</f>
        <v>1896.7086156824782</v>
      </c>
      <c r="G151" s="30">
        <f>G141/G144</f>
        <v>1896.7086156824782</v>
      </c>
      <c r="H151" s="30">
        <v>0</v>
      </c>
      <c r="I151" s="30">
        <f aca="true" t="shared" si="7" ref="I151:I156">J151+K151</f>
        <v>2086.3582089552237</v>
      </c>
      <c r="J151" s="30">
        <f>J141/J144</f>
        <v>2086.3582089552237</v>
      </c>
      <c r="K151" s="30">
        <v>0</v>
      </c>
      <c r="L151" s="22"/>
    </row>
    <row r="152" spans="1:12" ht="20.25" customHeight="1">
      <c r="A152" s="25" t="s">
        <v>36</v>
      </c>
      <c r="B152" s="27"/>
      <c r="C152" s="30">
        <f t="shared" si="5"/>
        <v>15824</v>
      </c>
      <c r="D152" s="30">
        <f>15824/D145</f>
        <v>15824</v>
      </c>
      <c r="E152" s="30">
        <v>0</v>
      </c>
      <c r="F152" s="30">
        <f t="shared" si="6"/>
        <v>14820</v>
      </c>
      <c r="G152" s="30">
        <f>14820/G145</f>
        <v>14820</v>
      </c>
      <c r="H152" s="30">
        <v>0</v>
      </c>
      <c r="I152" s="30">
        <f t="shared" si="7"/>
        <v>16800</v>
      </c>
      <c r="J152" s="30">
        <f>16800/J145</f>
        <v>16800</v>
      </c>
      <c r="K152" s="30">
        <v>0</v>
      </c>
      <c r="L152" s="63"/>
    </row>
    <row r="153" spans="1:12" ht="18.75" customHeight="1">
      <c r="A153" s="25" t="s">
        <v>37</v>
      </c>
      <c r="B153" s="27"/>
      <c r="C153" s="30">
        <f t="shared" si="5"/>
        <v>1163.1935483870968</v>
      </c>
      <c r="D153" s="30">
        <f>721180/D146</f>
        <v>1163.1935483870968</v>
      </c>
      <c r="E153" s="30">
        <v>0</v>
      </c>
      <c r="F153" s="30">
        <f t="shared" si="6"/>
        <v>1292.5984251968505</v>
      </c>
      <c r="G153" s="30">
        <f>820800/G146</f>
        <v>1292.5984251968505</v>
      </c>
      <c r="H153" s="30">
        <v>0</v>
      </c>
      <c r="I153" s="30">
        <f t="shared" si="7"/>
        <v>1397.623089983022</v>
      </c>
      <c r="J153" s="30">
        <f>823200/J146</f>
        <v>1397.623089983022</v>
      </c>
      <c r="K153" s="30">
        <v>0</v>
      </c>
      <c r="L153" s="63"/>
    </row>
    <row r="154" spans="1:12" ht="39" customHeight="1">
      <c r="A154" s="47" t="s">
        <v>80</v>
      </c>
      <c r="B154" s="27"/>
      <c r="C154" s="30">
        <f t="shared" si="5"/>
        <v>2729.2555555555555</v>
      </c>
      <c r="D154" s="30">
        <f>245633/D147</f>
        <v>2729.2555555555555</v>
      </c>
      <c r="E154" s="30">
        <v>0</v>
      </c>
      <c r="F154" s="30">
        <f t="shared" si="6"/>
        <v>3179.342105263158</v>
      </c>
      <c r="G154" s="30">
        <f>241630/G147</f>
        <v>3179.342105263158</v>
      </c>
      <c r="H154" s="30">
        <v>0</v>
      </c>
      <c r="I154" s="30">
        <f t="shared" si="7"/>
        <v>3254.4</v>
      </c>
      <c r="J154" s="30">
        <f>325440/J147</f>
        <v>3254.4</v>
      </c>
      <c r="K154" s="30">
        <v>0</v>
      </c>
      <c r="L154" s="63"/>
    </row>
    <row r="155" spans="1:12" ht="33.75" customHeight="1">
      <c r="A155" s="25" t="s">
        <v>215</v>
      </c>
      <c r="B155" s="27"/>
      <c r="C155" s="30">
        <f t="shared" si="5"/>
        <v>2197.42</v>
      </c>
      <c r="D155" s="30">
        <f>219742/D148</f>
        <v>2197.42</v>
      </c>
      <c r="E155" s="30">
        <v>0</v>
      </c>
      <c r="F155" s="30">
        <f t="shared" si="6"/>
        <v>2554.854368932039</v>
      </c>
      <c r="G155" s="30">
        <f>263150/G148</f>
        <v>2554.854368932039</v>
      </c>
      <c r="H155" s="30">
        <v>0</v>
      </c>
      <c r="I155" s="30">
        <f t="shared" si="7"/>
        <v>2690.467289719626</v>
      </c>
      <c r="J155" s="30">
        <f>287880/J148</f>
        <v>2690.467289719626</v>
      </c>
      <c r="K155" s="30">
        <v>0</v>
      </c>
      <c r="L155" s="63"/>
    </row>
    <row r="156" spans="1:12" ht="42.75" customHeight="1">
      <c r="A156" s="25" t="s">
        <v>82</v>
      </c>
      <c r="B156" s="27"/>
      <c r="C156" s="30">
        <f t="shared" si="5"/>
        <v>2472.093596059113</v>
      </c>
      <c r="D156" s="30">
        <f>501835/D149</f>
        <v>2472.093596059113</v>
      </c>
      <c r="E156" s="30">
        <v>0</v>
      </c>
      <c r="F156" s="30">
        <f t="shared" si="6"/>
        <v>2838.9908256880735</v>
      </c>
      <c r="G156" s="30">
        <f>618900/G149</f>
        <v>2838.9908256880735</v>
      </c>
      <c r="H156" s="30">
        <v>0</v>
      </c>
      <c r="I156" s="30">
        <f t="shared" si="7"/>
        <v>3093.605769230769</v>
      </c>
      <c r="J156" s="30">
        <f>643470/J149</f>
        <v>3093.605769230769</v>
      </c>
      <c r="K156" s="30">
        <v>0</v>
      </c>
      <c r="L156" s="63"/>
    </row>
    <row r="157" spans="1:12" ht="24" customHeight="1">
      <c r="A157" s="2" t="s">
        <v>148</v>
      </c>
      <c r="B157" s="27"/>
      <c r="C157" s="30"/>
      <c r="D157" s="30"/>
      <c r="E157" s="30"/>
      <c r="F157" s="30"/>
      <c r="G157" s="30"/>
      <c r="H157" s="30"/>
      <c r="I157" s="30"/>
      <c r="J157" s="30"/>
      <c r="K157" s="30"/>
      <c r="L157" s="22"/>
    </row>
    <row r="158" spans="1:12" ht="19.5" customHeight="1">
      <c r="A158" s="64" t="s">
        <v>18</v>
      </c>
      <c r="B158" s="27"/>
      <c r="C158" s="30">
        <f>D158+E158</f>
        <v>100</v>
      </c>
      <c r="D158" s="30">
        <v>100</v>
      </c>
      <c r="E158" s="30">
        <v>0</v>
      </c>
      <c r="F158" s="30">
        <f>G158+H158</f>
        <v>100</v>
      </c>
      <c r="G158" s="30">
        <v>100</v>
      </c>
      <c r="H158" s="30">
        <v>0</v>
      </c>
      <c r="I158" s="30">
        <f>J158+K158</f>
        <v>100</v>
      </c>
      <c r="J158" s="30">
        <v>100</v>
      </c>
      <c r="K158" s="30">
        <v>0</v>
      </c>
      <c r="L158" s="22"/>
    </row>
    <row r="159" spans="1:12" ht="33.75" customHeight="1">
      <c r="A159" s="58" t="s">
        <v>23</v>
      </c>
      <c r="B159" s="27"/>
      <c r="C159" s="65">
        <f>D159+E159</f>
        <v>123.89138764920166</v>
      </c>
      <c r="D159" s="6">
        <f>D141/1375571*100</f>
        <v>123.89138764920166</v>
      </c>
      <c r="E159" s="65">
        <v>0</v>
      </c>
      <c r="F159" s="9">
        <f>F141/C141*100</f>
        <v>114.9679559022517</v>
      </c>
      <c r="G159" s="9">
        <f>G141/D141*100</f>
        <v>114.9679559022517</v>
      </c>
      <c r="H159" s="48">
        <v>0</v>
      </c>
      <c r="I159" s="9">
        <f>+I141/F141*100</f>
        <v>107.01730209768796</v>
      </c>
      <c r="J159" s="9">
        <f>+J141/G141*100</f>
        <v>107.01730209768796</v>
      </c>
      <c r="K159" s="65">
        <v>0</v>
      </c>
      <c r="L159" s="63"/>
    </row>
    <row r="160" spans="1:12" ht="7.5" customHeight="1">
      <c r="A160" s="21"/>
      <c r="B160" s="12"/>
      <c r="C160" s="22"/>
      <c r="D160" s="22"/>
      <c r="E160" s="22"/>
      <c r="F160" s="22"/>
      <c r="G160" s="22"/>
      <c r="H160" s="22"/>
      <c r="I160" s="22"/>
      <c r="J160" s="22"/>
      <c r="K160" s="22"/>
      <c r="L160" s="22"/>
    </row>
    <row r="161" spans="1:12" ht="26.25" customHeight="1">
      <c r="A161" s="11"/>
      <c r="B161" s="12"/>
      <c r="C161" s="13"/>
      <c r="D161" s="13"/>
      <c r="E161" s="13"/>
      <c r="F161" s="13"/>
      <c r="G161" s="13"/>
      <c r="H161" s="13"/>
      <c r="I161" s="166" t="s">
        <v>191</v>
      </c>
      <c r="J161" s="166"/>
      <c r="K161" s="166"/>
      <c r="L161" s="13"/>
    </row>
    <row r="162" spans="1:12" ht="14.25">
      <c r="A162" s="14">
        <v>1</v>
      </c>
      <c r="B162" s="15">
        <v>2</v>
      </c>
      <c r="C162" s="16">
        <v>3</v>
      </c>
      <c r="D162" s="16">
        <v>4</v>
      </c>
      <c r="E162" s="16">
        <v>5</v>
      </c>
      <c r="F162" s="16">
        <v>6</v>
      </c>
      <c r="G162" s="16">
        <v>7</v>
      </c>
      <c r="H162" s="16">
        <v>8</v>
      </c>
      <c r="I162" s="16">
        <v>9</v>
      </c>
      <c r="J162" s="16">
        <v>10</v>
      </c>
      <c r="K162" s="16">
        <v>11</v>
      </c>
      <c r="L162" s="23"/>
    </row>
    <row r="163" spans="1:12" ht="18.75" customHeight="1">
      <c r="A163" s="26" t="s">
        <v>112</v>
      </c>
      <c r="B163" s="40" t="s">
        <v>113</v>
      </c>
      <c r="C163" s="41"/>
      <c r="D163" s="41"/>
      <c r="E163" s="41"/>
      <c r="F163" s="41"/>
      <c r="G163" s="41"/>
      <c r="H163" s="41"/>
      <c r="I163" s="41"/>
      <c r="J163" s="41"/>
      <c r="K163" s="41"/>
      <c r="L163" s="42"/>
    </row>
    <row r="164" spans="1:13" ht="22.5" customHeight="1">
      <c r="A164" s="2" t="s">
        <v>66</v>
      </c>
      <c r="B164" s="27"/>
      <c r="C164" s="41"/>
      <c r="D164" s="41"/>
      <c r="E164" s="41"/>
      <c r="F164" s="41"/>
      <c r="G164" s="41"/>
      <c r="H164" s="41"/>
      <c r="I164" s="41"/>
      <c r="J164" s="41"/>
      <c r="K164" s="41"/>
      <c r="L164" s="42"/>
      <c r="M164" s="66"/>
    </row>
    <row r="165" spans="1:12" ht="20.25" customHeight="1">
      <c r="A165" s="169" t="s">
        <v>216</v>
      </c>
      <c r="B165" s="169"/>
      <c r="C165" s="169"/>
      <c r="D165" s="169"/>
      <c r="E165" s="169"/>
      <c r="F165" s="169"/>
      <c r="G165" s="169"/>
      <c r="H165" s="169"/>
      <c r="I165" s="169"/>
      <c r="J165" s="169"/>
      <c r="K165" s="169"/>
      <c r="L165" s="18"/>
    </row>
    <row r="166" spans="1:12" ht="21" customHeight="1">
      <c r="A166" s="176" t="s">
        <v>180</v>
      </c>
      <c r="B166" s="176"/>
      <c r="C166" s="176"/>
      <c r="D166" s="176"/>
      <c r="E166" s="176"/>
      <c r="F166" s="176"/>
      <c r="G166" s="176"/>
      <c r="H166" s="176"/>
      <c r="I166" s="176"/>
      <c r="J166" s="176"/>
      <c r="K166" s="176"/>
      <c r="L166" s="137"/>
    </row>
    <row r="167" spans="1:12" ht="19.5" customHeight="1">
      <c r="A167" s="138" t="s">
        <v>6</v>
      </c>
      <c r="B167" s="136"/>
      <c r="C167" s="4">
        <f>D167+E167</f>
        <v>991969</v>
      </c>
      <c r="D167" s="4">
        <f>+D168+D181</f>
        <v>991969</v>
      </c>
      <c r="E167" s="4">
        <f>E168+0</f>
        <v>0</v>
      </c>
      <c r="F167" s="139">
        <f aca="true" t="shared" si="8" ref="F167:K167">F168+F181</f>
        <v>984466</v>
      </c>
      <c r="G167" s="139">
        <f t="shared" si="8"/>
        <v>984466</v>
      </c>
      <c r="H167" s="139">
        <f t="shared" si="8"/>
        <v>0</v>
      </c>
      <c r="I167" s="139">
        <f t="shared" si="8"/>
        <v>1091061</v>
      </c>
      <c r="J167" s="139">
        <f t="shared" si="8"/>
        <v>1091061</v>
      </c>
      <c r="K167" s="139">
        <f t="shared" si="8"/>
        <v>0</v>
      </c>
      <c r="L167" s="140"/>
    </row>
    <row r="168" spans="1:13" ht="36.75" customHeight="1">
      <c r="A168" s="3" t="s">
        <v>26</v>
      </c>
      <c r="B168" s="27"/>
      <c r="C168" s="28">
        <f>E168+D168</f>
        <v>124475</v>
      </c>
      <c r="D168" s="28">
        <v>124475</v>
      </c>
      <c r="E168" s="28">
        <v>0</v>
      </c>
      <c r="F168" s="28">
        <f>H168+G168</f>
        <v>106376</v>
      </c>
      <c r="G168" s="4">
        <v>106376</v>
      </c>
      <c r="H168" s="4">
        <f>E168*1.05</f>
        <v>0</v>
      </c>
      <c r="I168" s="28">
        <f>K168+J168</f>
        <v>114620</v>
      </c>
      <c r="J168" s="4">
        <v>114620</v>
      </c>
      <c r="K168" s="4">
        <f>H168*1.043</f>
        <v>0</v>
      </c>
      <c r="L168" s="67"/>
      <c r="M168" s="141"/>
    </row>
    <row r="169" spans="1:12" ht="23.25" customHeight="1">
      <c r="A169" s="47" t="s">
        <v>7</v>
      </c>
      <c r="B169" s="27"/>
      <c r="C169" s="46"/>
      <c r="D169" s="46"/>
      <c r="E169" s="46"/>
      <c r="F169" s="46"/>
      <c r="G169" s="46"/>
      <c r="H169" s="46"/>
      <c r="I169" s="46"/>
      <c r="J169" s="46"/>
      <c r="K169" s="46"/>
      <c r="L169" s="42"/>
    </row>
    <row r="170" spans="1:12" ht="24.75" customHeight="1">
      <c r="A170" s="2" t="s">
        <v>8</v>
      </c>
      <c r="B170" s="27"/>
      <c r="C170" s="46"/>
      <c r="D170" s="46"/>
      <c r="E170" s="46"/>
      <c r="F170" s="46"/>
      <c r="G170" s="46"/>
      <c r="H170" s="46"/>
      <c r="I170" s="46"/>
      <c r="J170" s="46"/>
      <c r="K170" s="46"/>
      <c r="L170" s="18"/>
    </row>
    <row r="171" spans="1:15" ht="28.5" customHeight="1">
      <c r="A171" s="47" t="s">
        <v>14</v>
      </c>
      <c r="B171" s="27"/>
      <c r="C171" s="50">
        <f>D171+E171</f>
        <v>19</v>
      </c>
      <c r="D171" s="29">
        <f>D172+D173</f>
        <v>19</v>
      </c>
      <c r="E171" s="50">
        <v>0</v>
      </c>
      <c r="F171" s="50">
        <f>G171+H171</f>
        <v>15</v>
      </c>
      <c r="G171" s="29">
        <f>G172+G173</f>
        <v>15</v>
      </c>
      <c r="H171" s="50">
        <v>0</v>
      </c>
      <c r="I171" s="50">
        <f>J171+K171</f>
        <v>14</v>
      </c>
      <c r="J171" s="29">
        <f>J172+J173</f>
        <v>14</v>
      </c>
      <c r="K171" s="50">
        <v>0</v>
      </c>
      <c r="L171" s="18"/>
      <c r="M171" s="44"/>
      <c r="N171" s="19"/>
      <c r="O171" s="20"/>
    </row>
    <row r="172" spans="1:12" ht="51" customHeight="1">
      <c r="A172" s="88" t="s">
        <v>78</v>
      </c>
      <c r="B172" s="27"/>
      <c r="C172" s="50">
        <f>D172+E172</f>
        <v>16</v>
      </c>
      <c r="D172" s="50">
        <v>16</v>
      </c>
      <c r="E172" s="50">
        <v>0</v>
      </c>
      <c r="F172" s="50">
        <f>G172+H172</f>
        <v>15</v>
      </c>
      <c r="G172" s="50">
        <v>15</v>
      </c>
      <c r="H172" s="50">
        <v>0</v>
      </c>
      <c r="I172" s="50">
        <f>J172+K172</f>
        <v>14</v>
      </c>
      <c r="J172" s="50">
        <v>14</v>
      </c>
      <c r="K172" s="50">
        <v>0</v>
      </c>
      <c r="L172" s="44"/>
    </row>
    <row r="173" spans="1:12" ht="34.5" customHeight="1">
      <c r="A173" s="88" t="s">
        <v>40</v>
      </c>
      <c r="B173" s="27"/>
      <c r="C173" s="50">
        <f>D173+E173</f>
        <v>3</v>
      </c>
      <c r="D173" s="50">
        <v>3</v>
      </c>
      <c r="E173" s="50">
        <v>0</v>
      </c>
      <c r="F173" s="50">
        <f>G173+H173</f>
        <v>0</v>
      </c>
      <c r="G173" s="50">
        <v>0</v>
      </c>
      <c r="H173" s="50">
        <v>0</v>
      </c>
      <c r="I173" s="50">
        <f>J173+K173</f>
        <v>0</v>
      </c>
      <c r="J173" s="50">
        <v>0</v>
      </c>
      <c r="K173" s="50">
        <v>0</v>
      </c>
      <c r="L173" s="44"/>
    </row>
    <row r="174" spans="1:12" ht="22.5" customHeight="1">
      <c r="A174" s="2" t="s">
        <v>13</v>
      </c>
      <c r="B174" s="27"/>
      <c r="C174" s="46"/>
      <c r="D174" s="46"/>
      <c r="E174" s="46"/>
      <c r="F174" s="46"/>
      <c r="G174" s="46"/>
      <c r="H174" s="46"/>
      <c r="I174" s="46"/>
      <c r="J174" s="46"/>
      <c r="K174" s="46"/>
      <c r="L174" s="42"/>
    </row>
    <row r="175" spans="1:12" ht="36.75" customHeight="1">
      <c r="A175" s="25" t="s">
        <v>31</v>
      </c>
      <c r="B175" s="27"/>
      <c r="C175" s="30">
        <f>D175+E175</f>
        <v>6551.315789473684</v>
      </c>
      <c r="D175" s="30">
        <f>D168/D171</f>
        <v>6551.315789473684</v>
      </c>
      <c r="E175" s="30">
        <v>0</v>
      </c>
      <c r="F175" s="30">
        <f>G175+H175</f>
        <v>7091.733333333334</v>
      </c>
      <c r="G175" s="8">
        <f>G168/G171</f>
        <v>7091.733333333334</v>
      </c>
      <c r="H175" s="30">
        <v>0</v>
      </c>
      <c r="I175" s="30">
        <f>J175+K175</f>
        <v>8187.142857142857</v>
      </c>
      <c r="J175" s="8">
        <f>J168/J171</f>
        <v>8187.142857142857</v>
      </c>
      <c r="K175" s="30">
        <v>0</v>
      </c>
      <c r="L175" s="18"/>
    </row>
    <row r="176" spans="1:12" ht="39.75" customHeight="1">
      <c r="A176" s="25" t="s">
        <v>32</v>
      </c>
      <c r="B176" s="27"/>
      <c r="C176" s="30">
        <f>D176+E176</f>
        <v>7033.75</v>
      </c>
      <c r="D176" s="30">
        <f>112540/D172</f>
        <v>7033.75</v>
      </c>
      <c r="E176" s="30">
        <v>0</v>
      </c>
      <c r="F176" s="30">
        <f>G176+H176</f>
        <v>7091.733333333334</v>
      </c>
      <c r="G176" s="8">
        <f>+G168/G172</f>
        <v>7091.733333333334</v>
      </c>
      <c r="H176" s="30">
        <v>0</v>
      </c>
      <c r="I176" s="30">
        <f>J176+K176</f>
        <v>8187.142857142857</v>
      </c>
      <c r="J176" s="8">
        <f>+J168/J172</f>
        <v>8187.142857142857</v>
      </c>
      <c r="K176" s="30">
        <v>0</v>
      </c>
      <c r="L176" s="22"/>
    </row>
    <row r="177" spans="1:12" ht="34.5" customHeight="1">
      <c r="A177" s="88" t="s">
        <v>41</v>
      </c>
      <c r="B177" s="27"/>
      <c r="C177" s="30">
        <f>D177+E177</f>
        <v>3978.3333333333335</v>
      </c>
      <c r="D177" s="30">
        <f>11935/D173</f>
        <v>3978.3333333333335</v>
      </c>
      <c r="E177" s="30">
        <v>0</v>
      </c>
      <c r="F177" s="30">
        <f>G177+H177</f>
        <v>0</v>
      </c>
      <c r="G177" s="8">
        <v>0</v>
      </c>
      <c r="H177" s="30">
        <v>0</v>
      </c>
      <c r="I177" s="30">
        <f>J177+K177</f>
        <v>0</v>
      </c>
      <c r="J177" s="8">
        <v>0</v>
      </c>
      <c r="K177" s="30">
        <v>0</v>
      </c>
      <c r="L177" s="22"/>
    </row>
    <row r="178" spans="1:12" ht="23.25" customHeight="1">
      <c r="A178" s="2" t="s">
        <v>12</v>
      </c>
      <c r="B178" s="27"/>
      <c r="C178" s="46"/>
      <c r="D178" s="46"/>
      <c r="E178" s="46"/>
      <c r="F178" s="46"/>
      <c r="G178" s="46"/>
      <c r="H178" s="46"/>
      <c r="I178" s="46"/>
      <c r="J178" s="46"/>
      <c r="K178" s="46"/>
      <c r="L178" s="42"/>
    </row>
    <row r="179" spans="1:12" ht="26.25" customHeight="1">
      <c r="A179" s="5" t="s">
        <v>18</v>
      </c>
      <c r="B179" s="27"/>
      <c r="C179" s="30">
        <f>D179+E179</f>
        <v>100</v>
      </c>
      <c r="D179" s="30">
        <v>100</v>
      </c>
      <c r="E179" s="30">
        <v>0</v>
      </c>
      <c r="F179" s="30">
        <f>G179+H179</f>
        <v>100</v>
      </c>
      <c r="G179" s="30">
        <v>100</v>
      </c>
      <c r="H179" s="30">
        <v>0</v>
      </c>
      <c r="I179" s="30">
        <f>J179+K179</f>
        <v>100</v>
      </c>
      <c r="J179" s="30">
        <v>100</v>
      </c>
      <c r="K179" s="30">
        <v>0</v>
      </c>
      <c r="L179" s="22"/>
    </row>
    <row r="180" spans="1:12" ht="37.5" customHeight="1">
      <c r="A180" s="5" t="s">
        <v>24</v>
      </c>
      <c r="B180" s="27"/>
      <c r="C180" s="30">
        <f>D180+E180</f>
        <v>87.42265579458221</v>
      </c>
      <c r="D180" s="30">
        <f>D168/142383*100</f>
        <v>87.42265579458221</v>
      </c>
      <c r="E180" s="30">
        <v>0</v>
      </c>
      <c r="F180" s="30">
        <f>G180+H180</f>
        <v>85.45973086965255</v>
      </c>
      <c r="G180" s="30">
        <f>G168/D168*100</f>
        <v>85.45973086965255</v>
      </c>
      <c r="H180" s="30">
        <v>0</v>
      </c>
      <c r="I180" s="30">
        <f>J180+K180</f>
        <v>107.74986839136646</v>
      </c>
      <c r="J180" s="30">
        <f>J168/G168*100</f>
        <v>107.74986839136646</v>
      </c>
      <c r="K180" s="30">
        <v>0</v>
      </c>
      <c r="L180" s="22"/>
    </row>
    <row r="181" spans="1:12" ht="39.75" customHeight="1">
      <c r="A181" s="3" t="s">
        <v>181</v>
      </c>
      <c r="B181" s="27"/>
      <c r="C181" s="28">
        <f>E181+D181</f>
        <v>867494</v>
      </c>
      <c r="D181" s="28">
        <v>867494</v>
      </c>
      <c r="E181" s="28">
        <v>0</v>
      </c>
      <c r="F181" s="28">
        <f>H181+G181</f>
        <v>878090</v>
      </c>
      <c r="G181" s="4">
        <v>878090</v>
      </c>
      <c r="H181" s="4">
        <f>E181*1.05</f>
        <v>0</v>
      </c>
      <c r="I181" s="28">
        <f>K181+J181</f>
        <v>976441</v>
      </c>
      <c r="J181" s="4">
        <v>976441</v>
      </c>
      <c r="K181" s="4">
        <f>H181*1.043</f>
        <v>0</v>
      </c>
      <c r="L181" s="67"/>
    </row>
    <row r="182" spans="1:12" ht="21.75" customHeight="1">
      <c r="A182" s="47" t="s">
        <v>7</v>
      </c>
      <c r="B182" s="27"/>
      <c r="C182" s="41"/>
      <c r="D182" s="41"/>
      <c r="E182" s="41"/>
      <c r="F182" s="41"/>
      <c r="G182" s="41"/>
      <c r="H182" s="41"/>
      <c r="I182" s="41"/>
      <c r="J182" s="41"/>
      <c r="K182" s="41"/>
      <c r="L182" s="42"/>
    </row>
    <row r="183" spans="1:12" ht="21.75" customHeight="1">
      <c r="A183" s="2" t="s">
        <v>8</v>
      </c>
      <c r="B183" s="27"/>
      <c r="C183" s="41"/>
      <c r="D183" s="41"/>
      <c r="E183" s="41"/>
      <c r="F183" s="41"/>
      <c r="G183" s="41"/>
      <c r="H183" s="41"/>
      <c r="I183" s="41"/>
      <c r="J183" s="41"/>
      <c r="K183" s="41"/>
      <c r="L183" s="42"/>
    </row>
    <row r="184" spans="1:12" ht="24" customHeight="1">
      <c r="A184" s="110" t="s">
        <v>172</v>
      </c>
      <c r="B184" s="27"/>
      <c r="C184" s="50">
        <f>D184+E184</f>
        <v>84</v>
      </c>
      <c r="D184" s="50">
        <v>84</v>
      </c>
      <c r="E184" s="50">
        <v>0</v>
      </c>
      <c r="F184" s="50">
        <f>G184+H184</f>
        <v>62</v>
      </c>
      <c r="G184" s="50">
        <v>62</v>
      </c>
      <c r="H184" s="50">
        <v>0</v>
      </c>
      <c r="I184" s="50">
        <f>J184+K184</f>
        <v>64</v>
      </c>
      <c r="J184" s="50">
        <v>64</v>
      </c>
      <c r="K184" s="50">
        <v>0</v>
      </c>
      <c r="L184" s="44"/>
    </row>
    <row r="185" spans="1:12" ht="24" customHeight="1">
      <c r="A185" s="47" t="s">
        <v>171</v>
      </c>
      <c r="B185" s="27"/>
      <c r="C185" s="50">
        <f>D185+E185</f>
        <v>52</v>
      </c>
      <c r="D185" s="50">
        <v>52</v>
      </c>
      <c r="E185" s="50">
        <v>0</v>
      </c>
      <c r="F185" s="50">
        <f>G185+H185</f>
        <v>55</v>
      </c>
      <c r="G185" s="50">
        <f>56-1</f>
        <v>55</v>
      </c>
      <c r="H185" s="50">
        <v>0</v>
      </c>
      <c r="I185" s="50">
        <f>J185+K185</f>
        <v>60</v>
      </c>
      <c r="J185" s="50">
        <v>60</v>
      </c>
      <c r="K185" s="50">
        <v>0</v>
      </c>
      <c r="L185" s="44"/>
    </row>
    <row r="186" spans="1:12" ht="23.25" customHeight="1">
      <c r="A186" s="2" t="s">
        <v>13</v>
      </c>
      <c r="B186" s="27"/>
      <c r="C186" s="46"/>
      <c r="D186" s="46"/>
      <c r="E186" s="46"/>
      <c r="F186" s="46"/>
      <c r="G186" s="46"/>
      <c r="H186" s="46"/>
      <c r="I186" s="46"/>
      <c r="J186" s="46"/>
      <c r="K186" s="46"/>
      <c r="L186" s="42"/>
    </row>
    <row r="187" spans="1:12" ht="28.5" customHeight="1">
      <c r="A187" s="25" t="s">
        <v>173</v>
      </c>
      <c r="B187" s="27"/>
      <c r="C187" s="30">
        <f>D187+E187</f>
        <v>1111.5714285714287</v>
      </c>
      <c r="D187" s="30">
        <f>93372/D184</f>
        <v>1111.5714285714287</v>
      </c>
      <c r="E187" s="30">
        <v>0</v>
      </c>
      <c r="F187" s="30">
        <f>G187+H187</f>
        <v>1005.9354838709677</v>
      </c>
      <c r="G187" s="8">
        <f>62368/G184</f>
        <v>1005.9354838709677</v>
      </c>
      <c r="H187" s="30">
        <v>0</v>
      </c>
      <c r="I187" s="30">
        <f>J187+K187</f>
        <v>1006.109375</v>
      </c>
      <c r="J187" s="8">
        <f>64391/J184</f>
        <v>1006.109375</v>
      </c>
      <c r="K187" s="30">
        <v>0</v>
      </c>
      <c r="L187" s="22"/>
    </row>
    <row r="188" spans="1:12" ht="30" customHeight="1">
      <c r="A188" s="25" t="s">
        <v>174</v>
      </c>
      <c r="B188" s="27"/>
      <c r="C188" s="30">
        <f>D188+E188</f>
        <v>1240.5801282051282</v>
      </c>
      <c r="D188" s="30">
        <f>774122/D185/12</f>
        <v>1240.5801282051282</v>
      </c>
      <c r="E188" s="30">
        <v>0</v>
      </c>
      <c r="F188" s="30">
        <f>G188+H188</f>
        <v>1235.9424242424243</v>
      </c>
      <c r="G188" s="8">
        <f>815722/G185/12</f>
        <v>1235.9424242424243</v>
      </c>
      <c r="H188" s="30">
        <v>0</v>
      </c>
      <c r="I188" s="30">
        <f>J188+K188</f>
        <v>1266.736111111111</v>
      </c>
      <c r="J188" s="8">
        <f>912050/J185/12</f>
        <v>1266.736111111111</v>
      </c>
      <c r="K188" s="30">
        <v>0</v>
      </c>
      <c r="L188" s="22"/>
    </row>
    <row r="189" spans="1:12" ht="25.5" customHeight="1">
      <c r="A189" s="2" t="s">
        <v>12</v>
      </c>
      <c r="B189" s="27"/>
      <c r="C189" s="41"/>
      <c r="D189" s="41"/>
      <c r="E189" s="41"/>
      <c r="F189" s="41"/>
      <c r="G189" s="41"/>
      <c r="H189" s="41"/>
      <c r="I189" s="41"/>
      <c r="J189" s="41"/>
      <c r="K189" s="41"/>
      <c r="L189" s="42"/>
    </row>
    <row r="190" spans="1:12" ht="33.75" customHeight="1">
      <c r="A190" s="58" t="s">
        <v>24</v>
      </c>
      <c r="B190" s="27"/>
      <c r="C190" s="48">
        <f>D190+E190</f>
        <v>115.85602502240344</v>
      </c>
      <c r="D190" s="48">
        <f>D181/748769*100</f>
        <v>115.85602502240344</v>
      </c>
      <c r="E190" s="48">
        <v>0</v>
      </c>
      <c r="F190" s="48">
        <f>G190+H190</f>
        <v>101.22144937025502</v>
      </c>
      <c r="G190" s="48">
        <f>G181/D181*100</f>
        <v>101.22144937025502</v>
      </c>
      <c r="H190" s="48">
        <v>0</v>
      </c>
      <c r="I190" s="48">
        <f>J190+K190</f>
        <v>111.20056030703003</v>
      </c>
      <c r="J190" s="48">
        <f>J181/G181*100</f>
        <v>111.20056030703003</v>
      </c>
      <c r="K190" s="48">
        <v>0</v>
      </c>
      <c r="L190" s="22"/>
    </row>
    <row r="191" spans="1:12" ht="7.5" customHeight="1">
      <c r="A191" s="21"/>
      <c r="B191" s="12"/>
      <c r="C191" s="22"/>
      <c r="D191" s="22"/>
      <c r="E191" s="22"/>
      <c r="F191" s="22"/>
      <c r="G191" s="22"/>
      <c r="H191" s="22"/>
      <c r="I191" s="22"/>
      <c r="J191" s="22"/>
      <c r="K191" s="22"/>
      <c r="L191" s="22"/>
    </row>
    <row r="192" spans="1:12" ht="26.25" customHeight="1">
      <c r="A192" s="11"/>
      <c r="B192" s="12"/>
      <c r="C192" s="13"/>
      <c r="D192" s="13"/>
      <c r="E192" s="13"/>
      <c r="F192" s="13"/>
      <c r="G192" s="13"/>
      <c r="H192" s="13"/>
      <c r="I192" s="166" t="s">
        <v>191</v>
      </c>
      <c r="J192" s="166"/>
      <c r="K192" s="166"/>
      <c r="L192" s="13"/>
    </row>
    <row r="193" spans="1:12" ht="14.25">
      <c r="A193" s="14">
        <v>1</v>
      </c>
      <c r="B193" s="15">
        <v>2</v>
      </c>
      <c r="C193" s="16">
        <v>3</v>
      </c>
      <c r="D193" s="16">
        <v>4</v>
      </c>
      <c r="E193" s="16">
        <v>5</v>
      </c>
      <c r="F193" s="16">
        <v>6</v>
      </c>
      <c r="G193" s="16">
        <v>7</v>
      </c>
      <c r="H193" s="16">
        <v>8</v>
      </c>
      <c r="I193" s="16">
        <v>9</v>
      </c>
      <c r="J193" s="16">
        <v>10</v>
      </c>
      <c r="K193" s="16">
        <v>11</v>
      </c>
      <c r="L193" s="23"/>
    </row>
    <row r="194" spans="1:12" ht="18.75" customHeight="1">
      <c r="A194" s="26" t="s">
        <v>83</v>
      </c>
      <c r="B194" s="40" t="s">
        <v>150</v>
      </c>
      <c r="C194" s="27"/>
      <c r="D194" s="27"/>
      <c r="E194" s="27"/>
      <c r="F194" s="27"/>
      <c r="G194" s="27"/>
      <c r="H194" s="27"/>
      <c r="I194" s="27"/>
      <c r="J194" s="27"/>
      <c r="K194" s="27"/>
      <c r="L194" s="12"/>
    </row>
    <row r="195" spans="1:12" ht="21" customHeight="1">
      <c r="A195" s="89" t="s">
        <v>66</v>
      </c>
      <c r="B195" s="27"/>
      <c r="C195" s="27"/>
      <c r="D195" s="27"/>
      <c r="E195" s="27"/>
      <c r="F195" s="27"/>
      <c r="G195" s="27"/>
      <c r="H195" s="27"/>
      <c r="I195" s="27"/>
      <c r="J195" s="27"/>
      <c r="K195" s="27"/>
      <c r="L195" s="12"/>
    </row>
    <row r="196" spans="1:12" ht="25.5" customHeight="1">
      <c r="A196" s="169" t="s">
        <v>217</v>
      </c>
      <c r="B196" s="169"/>
      <c r="C196" s="169"/>
      <c r="D196" s="169"/>
      <c r="E196" s="169"/>
      <c r="F196" s="169"/>
      <c r="G196" s="169"/>
      <c r="H196" s="169"/>
      <c r="I196" s="169"/>
      <c r="J196" s="169"/>
      <c r="K196" s="169"/>
      <c r="L196" s="90"/>
    </row>
    <row r="197" spans="1:12" ht="28.5" customHeight="1">
      <c r="A197" s="177" t="s">
        <v>151</v>
      </c>
      <c r="B197" s="177"/>
      <c r="C197" s="177"/>
      <c r="D197" s="177"/>
      <c r="E197" s="177"/>
      <c r="F197" s="177"/>
      <c r="G197" s="177"/>
      <c r="H197" s="177"/>
      <c r="I197" s="177"/>
      <c r="J197" s="177"/>
      <c r="K197" s="177"/>
      <c r="L197" s="91"/>
    </row>
    <row r="198" spans="1:15" ht="49.5" customHeight="1">
      <c r="A198" s="7" t="s">
        <v>229</v>
      </c>
      <c r="B198" s="92" t="s">
        <v>0</v>
      </c>
      <c r="C198" s="28">
        <f>E198+D198</f>
        <v>255150</v>
      </c>
      <c r="D198" s="28">
        <v>255150</v>
      </c>
      <c r="E198" s="28">
        <v>0</v>
      </c>
      <c r="F198" s="28">
        <f>H198+G198</f>
        <v>270500</v>
      </c>
      <c r="G198" s="4">
        <v>270500</v>
      </c>
      <c r="H198" s="4">
        <f>E198*1.05</f>
        <v>0</v>
      </c>
      <c r="I198" s="28">
        <f>K198+J198</f>
        <v>290200</v>
      </c>
      <c r="J198" s="4">
        <v>290200</v>
      </c>
      <c r="K198" s="4">
        <f>H198*1.05</f>
        <v>0</v>
      </c>
      <c r="L198" s="18"/>
      <c r="M198" s="67"/>
      <c r="N198" s="19"/>
      <c r="O198" s="20"/>
    </row>
    <row r="199" spans="1:12" ht="23.25" customHeight="1">
      <c r="A199" s="64" t="s">
        <v>4</v>
      </c>
      <c r="B199" s="27"/>
      <c r="C199" s="93"/>
      <c r="D199" s="93"/>
      <c r="E199" s="93"/>
      <c r="F199" s="93"/>
      <c r="G199" s="93"/>
      <c r="H199" s="93"/>
      <c r="I199" s="93"/>
      <c r="J199" s="93"/>
      <c r="K199" s="93"/>
      <c r="L199" s="94"/>
    </row>
    <row r="200" spans="1:12" ht="22.5" customHeight="1">
      <c r="A200" s="2" t="s">
        <v>8</v>
      </c>
      <c r="B200" s="27"/>
      <c r="C200" s="95"/>
      <c r="D200" s="95"/>
      <c r="E200" s="95"/>
      <c r="F200" s="95"/>
      <c r="G200" s="95"/>
      <c r="H200" s="95"/>
      <c r="I200" s="95"/>
      <c r="J200" s="95"/>
      <c r="K200" s="95"/>
      <c r="L200" s="96"/>
    </row>
    <row r="201" spans="1:12" ht="49.5" customHeight="1">
      <c r="A201" s="25" t="s">
        <v>152</v>
      </c>
      <c r="B201" s="27"/>
      <c r="C201" s="50">
        <f>D201+E201</f>
        <v>1</v>
      </c>
      <c r="D201" s="50">
        <v>1</v>
      </c>
      <c r="E201" s="50">
        <v>0</v>
      </c>
      <c r="F201" s="50">
        <f>G201+H201</f>
        <v>1</v>
      </c>
      <c r="G201" s="50">
        <f>D201</f>
        <v>1</v>
      </c>
      <c r="H201" s="50">
        <v>0</v>
      </c>
      <c r="I201" s="50">
        <f>J201+K201</f>
        <v>1</v>
      </c>
      <c r="J201" s="50">
        <f>D201</f>
        <v>1</v>
      </c>
      <c r="K201" s="50">
        <v>0</v>
      </c>
      <c r="L201" s="97"/>
    </row>
    <row r="202" spans="1:12" ht="31.5" customHeight="1">
      <c r="A202" s="25" t="s">
        <v>153</v>
      </c>
      <c r="B202" s="27"/>
      <c r="C202" s="50">
        <f>D202+E202</f>
        <v>189</v>
      </c>
      <c r="D202" s="50">
        <v>189</v>
      </c>
      <c r="E202" s="50">
        <v>0</v>
      </c>
      <c r="F202" s="50">
        <f>G202+H202</f>
        <v>180</v>
      </c>
      <c r="G202" s="50">
        <v>180</v>
      </c>
      <c r="H202" s="50">
        <v>0</v>
      </c>
      <c r="I202" s="50">
        <f>J202+K202</f>
        <v>180</v>
      </c>
      <c r="J202" s="50">
        <v>180</v>
      </c>
      <c r="K202" s="50">
        <v>0</v>
      </c>
      <c r="L202" s="97"/>
    </row>
    <row r="203" spans="1:12" ht="32.25" customHeight="1">
      <c r="A203" s="2" t="s">
        <v>13</v>
      </c>
      <c r="B203" s="27"/>
      <c r="C203" s="30"/>
      <c r="D203" s="30"/>
      <c r="E203" s="30"/>
      <c r="F203" s="30"/>
      <c r="G203" s="30"/>
      <c r="H203" s="30"/>
      <c r="I203" s="30"/>
      <c r="J203" s="30"/>
      <c r="K203" s="30"/>
      <c r="L203" s="96"/>
    </row>
    <row r="204" spans="1:12" ht="30" customHeight="1">
      <c r="A204" s="5" t="s">
        <v>29</v>
      </c>
      <c r="B204" s="27"/>
      <c r="C204" s="30">
        <f>+D204+E204</f>
        <v>112.5</v>
      </c>
      <c r="D204" s="8">
        <f>D198/D202/12</f>
        <v>112.5</v>
      </c>
      <c r="E204" s="30">
        <v>0</v>
      </c>
      <c r="F204" s="30">
        <f>+G204+H204</f>
        <v>125.23148148148148</v>
      </c>
      <c r="G204" s="8">
        <f>G198/G202/12</f>
        <v>125.23148148148148</v>
      </c>
      <c r="H204" s="30">
        <v>0</v>
      </c>
      <c r="I204" s="30">
        <f>+J204+K204</f>
        <v>134.35185185185185</v>
      </c>
      <c r="J204" s="8">
        <f>J198/J202/12</f>
        <v>134.35185185185185</v>
      </c>
      <c r="K204" s="30">
        <v>0</v>
      </c>
      <c r="L204" s="96"/>
    </row>
    <row r="205" spans="1:12" ht="22.5" customHeight="1">
      <c r="A205" s="2" t="s">
        <v>12</v>
      </c>
      <c r="B205" s="27"/>
      <c r="C205" s="30"/>
      <c r="D205" s="30"/>
      <c r="E205" s="30"/>
      <c r="F205" s="30"/>
      <c r="G205" s="30"/>
      <c r="H205" s="30"/>
      <c r="I205" s="30"/>
      <c r="J205" s="30"/>
      <c r="K205" s="30"/>
      <c r="L205" s="96"/>
    </row>
    <row r="206" spans="1:12" ht="18" customHeight="1">
      <c r="A206" s="64" t="s">
        <v>11</v>
      </c>
      <c r="B206" s="27"/>
      <c r="C206" s="48">
        <f>D206+E206</f>
        <v>100</v>
      </c>
      <c r="D206" s="48">
        <v>100</v>
      </c>
      <c r="E206" s="48">
        <v>0</v>
      </c>
      <c r="F206" s="48">
        <f>G206+H206</f>
        <v>100</v>
      </c>
      <c r="G206" s="48">
        <v>100</v>
      </c>
      <c r="H206" s="48">
        <v>0</v>
      </c>
      <c r="I206" s="48">
        <f>J206+K206</f>
        <v>100</v>
      </c>
      <c r="J206" s="48">
        <v>100</v>
      </c>
      <c r="K206" s="48">
        <v>0</v>
      </c>
      <c r="L206" s="96"/>
    </row>
    <row r="207" spans="1:11" ht="20.25" customHeight="1">
      <c r="A207" s="98" t="s">
        <v>92</v>
      </c>
      <c r="B207" s="99" t="s">
        <v>93</v>
      </c>
      <c r="C207" s="27"/>
      <c r="D207" s="27"/>
      <c r="E207" s="27"/>
      <c r="F207" s="27"/>
      <c r="G207" s="27"/>
      <c r="H207" s="27"/>
      <c r="I207" s="27"/>
      <c r="J207" s="27"/>
      <c r="K207" s="27"/>
    </row>
    <row r="208" spans="1:11" ht="18" customHeight="1">
      <c r="A208" s="89" t="s">
        <v>66</v>
      </c>
      <c r="B208" s="27"/>
      <c r="C208" s="27"/>
      <c r="D208" s="27"/>
      <c r="E208" s="27"/>
      <c r="F208" s="27"/>
      <c r="G208" s="27"/>
      <c r="H208" s="27"/>
      <c r="I208" s="27"/>
      <c r="J208" s="27"/>
      <c r="K208" s="27"/>
    </row>
    <row r="209" spans="1:15" ht="36.75" customHeight="1">
      <c r="A209" s="165" t="s">
        <v>218</v>
      </c>
      <c r="B209" s="165"/>
      <c r="C209" s="165"/>
      <c r="D209" s="165"/>
      <c r="E209" s="165"/>
      <c r="F209" s="165"/>
      <c r="G209" s="165"/>
      <c r="H209" s="165"/>
      <c r="I209" s="165"/>
      <c r="J209" s="165"/>
      <c r="K209" s="165"/>
      <c r="N209" s="19"/>
      <c r="O209" s="100"/>
    </row>
    <row r="210" spans="1:11" ht="31.5" customHeight="1">
      <c r="A210" s="172" t="s">
        <v>68</v>
      </c>
      <c r="B210" s="172"/>
      <c r="C210" s="172"/>
      <c r="D210" s="172"/>
      <c r="E210" s="172"/>
      <c r="F210" s="172"/>
      <c r="G210" s="172"/>
      <c r="H210" s="172"/>
      <c r="I210" s="172"/>
      <c r="J210" s="172"/>
      <c r="K210" s="172"/>
    </row>
    <row r="211" spans="1:11" ht="42.75" customHeight="1">
      <c r="A211" s="101" t="s">
        <v>69</v>
      </c>
      <c r="B211" s="27"/>
      <c r="C211" s="28">
        <f>D211+E211</f>
        <v>305300</v>
      </c>
      <c r="D211" s="28">
        <v>305300</v>
      </c>
      <c r="E211" s="28">
        <v>0</v>
      </c>
      <c r="F211" s="28">
        <f>G211+H211</f>
        <v>320000</v>
      </c>
      <c r="G211" s="28">
        <v>320000</v>
      </c>
      <c r="H211" s="28">
        <v>0</v>
      </c>
      <c r="I211" s="28">
        <f>J211+K211</f>
        <v>0</v>
      </c>
      <c r="J211" s="28">
        <v>0</v>
      </c>
      <c r="K211" s="28">
        <v>0</v>
      </c>
    </row>
    <row r="212" spans="1:11" ht="18.75" customHeight="1">
      <c r="A212" s="1" t="s">
        <v>4</v>
      </c>
      <c r="B212" s="27"/>
      <c r="C212" s="27"/>
      <c r="D212" s="27"/>
      <c r="E212" s="27"/>
      <c r="F212" s="27"/>
      <c r="G212" s="27"/>
      <c r="H212" s="27"/>
      <c r="I212" s="27"/>
      <c r="J212" s="27"/>
      <c r="K212" s="27"/>
    </row>
    <row r="213" spans="1:11" ht="18.75" customHeight="1">
      <c r="A213" s="24" t="s">
        <v>5</v>
      </c>
      <c r="B213" s="27"/>
      <c r="C213" s="27"/>
      <c r="D213" s="27"/>
      <c r="E213" s="27"/>
      <c r="F213" s="27"/>
      <c r="G213" s="27"/>
      <c r="H213" s="27"/>
      <c r="I213" s="27"/>
      <c r="J213" s="27"/>
      <c r="K213" s="27"/>
    </row>
    <row r="214" spans="1:11" ht="43.5" customHeight="1">
      <c r="A214" s="58" t="s">
        <v>38</v>
      </c>
      <c r="B214" s="27"/>
      <c r="C214" s="60">
        <f>D214+E214</f>
        <v>135</v>
      </c>
      <c r="D214" s="60">
        <v>135</v>
      </c>
      <c r="E214" s="60">
        <v>0</v>
      </c>
      <c r="F214" s="60">
        <f>G214+H214</f>
        <v>130</v>
      </c>
      <c r="G214" s="60">
        <v>130</v>
      </c>
      <c r="H214" s="60">
        <v>0</v>
      </c>
      <c r="I214" s="60">
        <f>J214+K214</f>
        <v>0</v>
      </c>
      <c r="J214" s="60">
        <v>0</v>
      </c>
      <c r="K214" s="60">
        <v>0</v>
      </c>
    </row>
    <row r="215" spans="1:11" ht="21" customHeight="1">
      <c r="A215" s="2" t="s">
        <v>13</v>
      </c>
      <c r="B215" s="27"/>
      <c r="C215" s="27"/>
      <c r="D215" s="27"/>
      <c r="E215" s="27"/>
      <c r="F215" s="27"/>
      <c r="G215" s="27"/>
      <c r="H215" s="27"/>
      <c r="I215" s="27"/>
      <c r="J215" s="27"/>
      <c r="K215" s="27"/>
    </row>
    <row r="216" spans="1:11" ht="30">
      <c r="A216" s="58" t="s">
        <v>39</v>
      </c>
      <c r="B216" s="27"/>
      <c r="C216" s="30">
        <f>D216+E216</f>
        <v>2261.4814814814813</v>
      </c>
      <c r="D216" s="30">
        <f>D211/D214</f>
        <v>2261.4814814814813</v>
      </c>
      <c r="E216" s="30"/>
      <c r="F216" s="30">
        <f>G216+H216</f>
        <v>2461.5384615384614</v>
      </c>
      <c r="G216" s="30">
        <f>+G211/G214</f>
        <v>2461.5384615384614</v>
      </c>
      <c r="H216" s="30"/>
      <c r="I216" s="30">
        <f>J216+K216</f>
        <v>0</v>
      </c>
      <c r="J216" s="30">
        <v>0</v>
      </c>
      <c r="K216" s="30"/>
    </row>
    <row r="217" spans="1:11" ht="20.25" customHeight="1">
      <c r="A217" s="2" t="s">
        <v>12</v>
      </c>
      <c r="B217" s="27"/>
      <c r="C217" s="27"/>
      <c r="D217" s="27"/>
      <c r="E217" s="27"/>
      <c r="F217" s="27"/>
      <c r="G217" s="27"/>
      <c r="H217" s="27"/>
      <c r="I217" s="27"/>
      <c r="J217" s="27"/>
      <c r="K217" s="27"/>
    </row>
    <row r="218" spans="1:11" ht="21.75" customHeight="1">
      <c r="A218" s="5" t="s">
        <v>35</v>
      </c>
      <c r="B218" s="27"/>
      <c r="C218" s="65">
        <f>+C211/255700*100</f>
        <v>119.39773171685569</v>
      </c>
      <c r="D218" s="65">
        <f>+D211/255700*100</f>
        <v>119.39773171685569</v>
      </c>
      <c r="E218" s="60">
        <v>0</v>
      </c>
      <c r="F218" s="65">
        <f>+F211/C211*100</f>
        <v>104.8149361283983</v>
      </c>
      <c r="G218" s="65">
        <f>+G211/D211*100</f>
        <v>104.8149361283983</v>
      </c>
      <c r="H218" s="65">
        <v>0</v>
      </c>
      <c r="I218" s="65">
        <f>J218+K218</f>
        <v>0</v>
      </c>
      <c r="J218" s="65">
        <f>+J211/G211*100</f>
        <v>0</v>
      </c>
      <c r="K218" s="65">
        <v>0</v>
      </c>
    </row>
    <row r="219" spans="1:11" ht="15.75">
      <c r="A219" s="98" t="s">
        <v>114</v>
      </c>
      <c r="B219" s="40" t="s">
        <v>115</v>
      </c>
      <c r="C219" s="27"/>
      <c r="D219" s="27"/>
      <c r="E219" s="27"/>
      <c r="F219" s="27"/>
      <c r="G219" s="27"/>
      <c r="H219" s="27"/>
      <c r="I219" s="27"/>
      <c r="J219" s="27"/>
      <c r="K219" s="27"/>
    </row>
    <row r="220" spans="1:12" ht="14.25">
      <c r="A220" s="89" t="s">
        <v>66</v>
      </c>
      <c r="B220" s="27"/>
      <c r="C220" s="27"/>
      <c r="D220" s="27"/>
      <c r="E220" s="27"/>
      <c r="F220" s="27"/>
      <c r="G220" s="27"/>
      <c r="H220" s="27"/>
      <c r="I220" s="27"/>
      <c r="J220" s="27"/>
      <c r="K220" s="27"/>
      <c r="L220" s="12"/>
    </row>
    <row r="221" spans="1:12" ht="21" customHeight="1">
      <c r="A221" s="178" t="s">
        <v>219</v>
      </c>
      <c r="B221" s="178"/>
      <c r="C221" s="178"/>
      <c r="D221" s="178"/>
      <c r="E221" s="178"/>
      <c r="F221" s="178"/>
      <c r="G221" s="178"/>
      <c r="H221" s="178"/>
      <c r="I221" s="178"/>
      <c r="J221" s="178"/>
      <c r="K221" s="178"/>
      <c r="L221" s="102"/>
    </row>
    <row r="222" spans="1:12" ht="22.5" customHeight="1">
      <c r="A222" s="175" t="s">
        <v>71</v>
      </c>
      <c r="B222" s="175"/>
      <c r="C222" s="175"/>
      <c r="D222" s="175"/>
      <c r="E222" s="175"/>
      <c r="F222" s="175"/>
      <c r="G222" s="175"/>
      <c r="H222" s="175"/>
      <c r="I222" s="175"/>
      <c r="J222" s="175"/>
      <c r="K222" s="175"/>
      <c r="L222" s="104"/>
    </row>
    <row r="223" spans="1:12" ht="22.5" customHeight="1">
      <c r="A223" s="144" t="s">
        <v>6</v>
      </c>
      <c r="B223" s="110"/>
      <c r="C223" s="68">
        <f>D223+E223</f>
        <v>81525</v>
      </c>
      <c r="D223" s="68">
        <f>+D224</f>
        <v>81525</v>
      </c>
      <c r="E223" s="68">
        <v>0</v>
      </c>
      <c r="F223" s="68">
        <f>G223+H223</f>
        <v>86500</v>
      </c>
      <c r="G223" s="68">
        <f>+G224</f>
        <v>86500</v>
      </c>
      <c r="H223" s="68">
        <v>0</v>
      </c>
      <c r="I223" s="68">
        <f>J223+K223</f>
        <v>92000</v>
      </c>
      <c r="J223" s="68">
        <f>+J224</f>
        <v>92000</v>
      </c>
      <c r="K223" s="68">
        <v>0</v>
      </c>
      <c r="L223" s="145"/>
    </row>
    <row r="224" spans="1:11" ht="50.25" customHeight="1">
      <c r="A224" s="7" t="s">
        <v>122</v>
      </c>
      <c r="B224" s="27"/>
      <c r="C224" s="146">
        <f>D224+E224</f>
        <v>81525</v>
      </c>
      <c r="D224" s="146">
        <v>81525</v>
      </c>
      <c r="E224" s="146">
        <v>0</v>
      </c>
      <c r="F224" s="146">
        <f>G224+H224</f>
        <v>86500</v>
      </c>
      <c r="G224" s="146">
        <v>86500</v>
      </c>
      <c r="H224" s="146">
        <v>0</v>
      </c>
      <c r="I224" s="146">
        <f>J224+K224</f>
        <v>92000</v>
      </c>
      <c r="J224" s="146">
        <v>92000</v>
      </c>
      <c r="K224" s="146">
        <v>0</v>
      </c>
    </row>
    <row r="225" spans="1:12" ht="7.5" customHeight="1">
      <c r="A225" s="21"/>
      <c r="B225" s="12"/>
      <c r="C225" s="22"/>
      <c r="D225" s="22"/>
      <c r="E225" s="22"/>
      <c r="F225" s="22"/>
      <c r="G225" s="22"/>
      <c r="H225" s="22"/>
      <c r="I225" s="22"/>
      <c r="J225" s="22"/>
      <c r="K225" s="22"/>
      <c r="L225" s="22"/>
    </row>
    <row r="226" spans="1:12" ht="26.25" customHeight="1">
      <c r="A226" s="11"/>
      <c r="B226" s="12"/>
      <c r="C226" s="13"/>
      <c r="D226" s="13"/>
      <c r="E226" s="13"/>
      <c r="F226" s="13"/>
      <c r="G226" s="13"/>
      <c r="H226" s="13"/>
      <c r="I226" s="166" t="s">
        <v>191</v>
      </c>
      <c r="J226" s="166"/>
      <c r="K226" s="166"/>
      <c r="L226" s="13"/>
    </row>
    <row r="227" spans="1:12" ht="14.25">
      <c r="A227" s="14">
        <v>1</v>
      </c>
      <c r="B227" s="15">
        <v>2</v>
      </c>
      <c r="C227" s="16">
        <v>3</v>
      </c>
      <c r="D227" s="16">
        <v>4</v>
      </c>
      <c r="E227" s="16">
        <v>5</v>
      </c>
      <c r="F227" s="16">
        <v>6</v>
      </c>
      <c r="G227" s="16">
        <v>7</v>
      </c>
      <c r="H227" s="16">
        <v>8</v>
      </c>
      <c r="I227" s="16">
        <v>9</v>
      </c>
      <c r="J227" s="16">
        <v>10</v>
      </c>
      <c r="K227" s="16">
        <v>11</v>
      </c>
      <c r="L227" s="23"/>
    </row>
    <row r="228" spans="1:11" ht="21" customHeight="1">
      <c r="A228" s="1" t="s">
        <v>4</v>
      </c>
      <c r="B228" s="27"/>
      <c r="C228" s="65"/>
      <c r="D228" s="48"/>
      <c r="E228" s="48"/>
      <c r="F228" s="48"/>
      <c r="G228" s="48"/>
      <c r="H228" s="48"/>
      <c r="I228" s="48"/>
      <c r="J228" s="48"/>
      <c r="K228" s="48"/>
    </row>
    <row r="229" spans="1:11" ht="19.5" customHeight="1">
      <c r="A229" s="24" t="s">
        <v>72</v>
      </c>
      <c r="B229" s="27"/>
      <c r="C229" s="65"/>
      <c r="D229" s="48"/>
      <c r="E229" s="48"/>
      <c r="F229" s="48"/>
      <c r="G229" s="48"/>
      <c r="H229" s="48"/>
      <c r="I229" s="48"/>
      <c r="J229" s="48"/>
      <c r="K229" s="48"/>
    </row>
    <row r="230" spans="1:11" ht="53.25" customHeight="1">
      <c r="A230" s="5" t="s">
        <v>73</v>
      </c>
      <c r="B230" s="27"/>
      <c r="C230" s="65">
        <f>D230+E230</f>
        <v>81.5</v>
      </c>
      <c r="D230" s="48">
        <v>81.5</v>
      </c>
      <c r="E230" s="48">
        <v>0</v>
      </c>
      <c r="F230" s="48">
        <f>G230+H230</f>
        <v>86.5</v>
      </c>
      <c r="G230" s="48">
        <v>86.5</v>
      </c>
      <c r="H230" s="48">
        <v>0</v>
      </c>
      <c r="I230" s="48">
        <f>J230+K230</f>
        <v>92</v>
      </c>
      <c r="J230" s="48">
        <v>92</v>
      </c>
      <c r="K230" s="48">
        <v>0</v>
      </c>
    </row>
    <row r="231" spans="1:11" ht="24.75" customHeight="1">
      <c r="A231" s="24" t="s">
        <v>5</v>
      </c>
      <c r="B231" s="27"/>
      <c r="C231" s="65"/>
      <c r="D231" s="48"/>
      <c r="E231" s="48"/>
      <c r="F231" s="48"/>
      <c r="G231" s="48"/>
      <c r="H231" s="48"/>
      <c r="I231" s="48"/>
      <c r="J231" s="48"/>
      <c r="K231" s="48"/>
    </row>
    <row r="232" spans="1:11" ht="24.75" customHeight="1">
      <c r="A232" s="1" t="s">
        <v>74</v>
      </c>
      <c r="B232" s="27"/>
      <c r="C232" s="29">
        <f>D232+E232</f>
        <v>190028</v>
      </c>
      <c r="D232" s="29">
        <v>190028</v>
      </c>
      <c r="E232" s="50">
        <v>0</v>
      </c>
      <c r="F232" s="29">
        <f>G232+H232</f>
        <v>144281</v>
      </c>
      <c r="G232" s="29">
        <v>144281</v>
      </c>
      <c r="H232" s="29">
        <v>0</v>
      </c>
      <c r="I232" s="152">
        <f>J232+K232</f>
        <v>144281</v>
      </c>
      <c r="J232" s="152">
        <v>144281</v>
      </c>
      <c r="K232" s="152">
        <v>0</v>
      </c>
    </row>
    <row r="233" spans="1:11" ht="16.5">
      <c r="A233" s="2" t="s">
        <v>13</v>
      </c>
      <c r="B233" s="27"/>
      <c r="C233" s="65"/>
      <c r="D233" s="48"/>
      <c r="E233" s="48"/>
      <c r="F233" s="48"/>
      <c r="G233" s="48"/>
      <c r="H233" s="48"/>
      <c r="I233" s="48"/>
      <c r="J233" s="48"/>
      <c r="K233" s="48"/>
    </row>
    <row r="234" spans="1:11" ht="26.25" customHeight="1">
      <c r="A234" s="5" t="s">
        <v>75</v>
      </c>
      <c r="B234" s="27"/>
      <c r="C234" s="147">
        <f>D234+E234</f>
        <v>0.4288841644389248</v>
      </c>
      <c r="D234" s="147">
        <f>+D230/D232*1000</f>
        <v>0.4288841644389248</v>
      </c>
      <c r="E234" s="48">
        <v>0</v>
      </c>
      <c r="F234" s="30">
        <f>G234+H234</f>
        <v>0.5995245389205786</v>
      </c>
      <c r="G234" s="147">
        <f>+G230/G232*1000</f>
        <v>0.5995245389205786</v>
      </c>
      <c r="H234" s="30">
        <v>0</v>
      </c>
      <c r="I234" s="153">
        <f>J234+K234</f>
        <v>0.6376445963085923</v>
      </c>
      <c r="J234" s="154">
        <f>+J230/J232*1000</f>
        <v>0.6376445963085923</v>
      </c>
      <c r="K234" s="153">
        <v>0</v>
      </c>
    </row>
    <row r="235" spans="1:11" ht="16.5">
      <c r="A235" s="2" t="s">
        <v>12</v>
      </c>
      <c r="B235" s="27"/>
      <c r="C235" s="65"/>
      <c r="D235" s="48"/>
      <c r="E235" s="48"/>
      <c r="F235" s="48"/>
      <c r="G235" s="48"/>
      <c r="H235" s="48"/>
      <c r="I235" s="48"/>
      <c r="J235" s="48"/>
      <c r="K235" s="48"/>
    </row>
    <row r="236" spans="1:11" ht="25.5" customHeight="1">
      <c r="A236" s="5" t="s">
        <v>76</v>
      </c>
      <c r="B236" s="27"/>
      <c r="C236" s="65">
        <f>D236+E236</f>
        <v>100</v>
      </c>
      <c r="D236" s="48">
        <v>100</v>
      </c>
      <c r="E236" s="48">
        <v>0</v>
      </c>
      <c r="F236" s="48">
        <f>G236+H236</f>
        <v>100</v>
      </c>
      <c r="G236" s="48">
        <v>100</v>
      </c>
      <c r="H236" s="48">
        <v>0</v>
      </c>
      <c r="I236" s="48">
        <f>J236+K236</f>
        <v>100</v>
      </c>
      <c r="J236" s="48">
        <v>100</v>
      </c>
      <c r="K236" s="48">
        <v>0</v>
      </c>
    </row>
    <row r="237" spans="1:11" ht="27" customHeight="1">
      <c r="A237" s="179" t="s">
        <v>220</v>
      </c>
      <c r="B237" s="179"/>
      <c r="C237" s="179"/>
      <c r="D237" s="179"/>
      <c r="E237" s="179"/>
      <c r="F237" s="179"/>
      <c r="G237" s="179"/>
      <c r="H237" s="179"/>
      <c r="I237" s="179"/>
      <c r="J237" s="179"/>
      <c r="K237" s="179"/>
    </row>
    <row r="238" spans="1:11" ht="33" customHeight="1">
      <c r="A238" s="168" t="s">
        <v>182</v>
      </c>
      <c r="B238" s="168"/>
      <c r="C238" s="168"/>
      <c r="D238" s="168"/>
      <c r="E238" s="168"/>
      <c r="F238" s="168"/>
      <c r="G238" s="168"/>
      <c r="H238" s="168"/>
      <c r="I238" s="168"/>
      <c r="J238" s="168"/>
      <c r="K238" s="168"/>
    </row>
    <row r="239" spans="1:11" ht="23.25" customHeight="1">
      <c r="A239" s="142" t="s">
        <v>6</v>
      </c>
      <c r="B239" s="143" t="s">
        <v>94</v>
      </c>
      <c r="C239" s="4">
        <f>D239+E239</f>
        <v>65106533</v>
      </c>
      <c r="D239" s="4">
        <f>+D241+D262+D273++D283+D302</f>
        <v>65106533</v>
      </c>
      <c r="E239" s="4">
        <f>+E241+E262+E273++E283</f>
        <v>0</v>
      </c>
      <c r="F239" s="4">
        <f>G239+H239</f>
        <v>68290491</v>
      </c>
      <c r="G239" s="4">
        <f>+G241+G262+G273++G283+G302+G295</f>
        <v>68290491</v>
      </c>
      <c r="H239" s="4">
        <f>+H241+H262+H273++H283</f>
        <v>0</v>
      </c>
      <c r="I239" s="28">
        <f>J239+K239</f>
        <v>70958800</v>
      </c>
      <c r="J239" s="4">
        <f>+J241+J262+J273++J283+J302+J312</f>
        <v>70958800</v>
      </c>
      <c r="K239" s="4">
        <f>+K241+K262+K273++K283</f>
        <v>0</v>
      </c>
    </row>
    <row r="240" spans="1:14" ht="21.75" customHeight="1">
      <c r="A240" s="105" t="s">
        <v>97</v>
      </c>
      <c r="B240" s="105"/>
      <c r="C240" s="105"/>
      <c r="D240" s="105"/>
      <c r="E240" s="105"/>
      <c r="F240" s="105"/>
      <c r="G240" s="105"/>
      <c r="H240" s="105"/>
      <c r="I240" s="105"/>
      <c r="J240" s="105"/>
      <c r="K240" s="105"/>
      <c r="N240" s="19"/>
    </row>
    <row r="241" spans="1:14" ht="51.75" customHeight="1">
      <c r="A241" s="3" t="s">
        <v>123</v>
      </c>
      <c r="B241" s="27"/>
      <c r="C241" s="68">
        <f>D241+E241</f>
        <v>563976</v>
      </c>
      <c r="D241" s="68">
        <f>D243+D244++D245</f>
        <v>563976</v>
      </c>
      <c r="E241" s="68">
        <f>E243+E244</f>
        <v>0</v>
      </c>
      <c r="F241" s="69">
        <f>+G241+H241</f>
        <v>582400</v>
      </c>
      <c r="G241" s="68">
        <f>G243+G244++G245</f>
        <v>582400</v>
      </c>
      <c r="H241" s="68">
        <f>H243+H244</f>
        <v>0</v>
      </c>
      <c r="I241" s="68">
        <f>J241+K241</f>
        <v>604900</v>
      </c>
      <c r="J241" s="68">
        <f>J243+J244++J245</f>
        <v>604900</v>
      </c>
      <c r="K241" s="68">
        <f>K243+K244</f>
        <v>0</v>
      </c>
      <c r="N241" s="19"/>
    </row>
    <row r="242" spans="1:14" ht="16.5" customHeight="1">
      <c r="A242" s="24" t="s">
        <v>53</v>
      </c>
      <c r="B242" s="27"/>
      <c r="C242" s="106"/>
      <c r="D242" s="48"/>
      <c r="E242" s="48"/>
      <c r="F242" s="69"/>
      <c r="G242" s="8"/>
      <c r="H242" s="30"/>
      <c r="I242" s="69"/>
      <c r="J242" s="8"/>
      <c r="K242" s="30"/>
      <c r="N242" s="19"/>
    </row>
    <row r="243" spans="1:14" ht="20.25" customHeight="1">
      <c r="A243" s="107" t="s">
        <v>117</v>
      </c>
      <c r="B243" s="27"/>
      <c r="C243" s="48">
        <f>D243</f>
        <v>38400</v>
      </c>
      <c r="D243" s="30">
        <v>38400</v>
      </c>
      <c r="E243" s="30">
        <v>0</v>
      </c>
      <c r="F243" s="108">
        <f>G243+H243</f>
        <v>33120</v>
      </c>
      <c r="G243" s="8">
        <v>33120</v>
      </c>
      <c r="H243" s="30">
        <v>0</v>
      </c>
      <c r="I243" s="108">
        <f>J243+K243</f>
        <v>25200</v>
      </c>
      <c r="J243" s="8">
        <v>25200</v>
      </c>
      <c r="K243" s="30">
        <v>0</v>
      </c>
      <c r="N243" s="19"/>
    </row>
    <row r="244" spans="1:14" ht="35.25" customHeight="1">
      <c r="A244" s="109" t="s">
        <v>62</v>
      </c>
      <c r="B244" s="27"/>
      <c r="C244" s="48">
        <f>D244</f>
        <v>392300</v>
      </c>
      <c r="D244" s="30">
        <v>392300</v>
      </c>
      <c r="E244" s="30">
        <v>0</v>
      </c>
      <c r="F244" s="108">
        <f>G244+H244</f>
        <v>415800</v>
      </c>
      <c r="G244" s="8">
        <v>415800</v>
      </c>
      <c r="H244" s="30">
        <v>0</v>
      </c>
      <c r="I244" s="108">
        <f>J244+K244</f>
        <v>446200</v>
      </c>
      <c r="J244" s="8">
        <v>446200</v>
      </c>
      <c r="K244" s="30">
        <v>0</v>
      </c>
      <c r="N244" s="19"/>
    </row>
    <row r="245" spans="1:14" ht="43.5" customHeight="1">
      <c r="A245" s="58" t="s">
        <v>98</v>
      </c>
      <c r="B245" s="27"/>
      <c r="C245" s="48">
        <f>+D245</f>
        <v>133276</v>
      </c>
      <c r="D245" s="30">
        <v>133276</v>
      </c>
      <c r="E245" s="30">
        <v>0</v>
      </c>
      <c r="F245" s="108">
        <f>+G245</f>
        <v>133480</v>
      </c>
      <c r="G245" s="8">
        <v>133480</v>
      </c>
      <c r="H245" s="30">
        <v>0</v>
      </c>
      <c r="I245" s="108">
        <f>+J245</f>
        <v>133500</v>
      </c>
      <c r="J245" s="8">
        <v>133500</v>
      </c>
      <c r="K245" s="30">
        <v>0</v>
      </c>
      <c r="N245" s="19"/>
    </row>
    <row r="246" spans="1:14" ht="21.75" customHeight="1">
      <c r="A246" s="2" t="s">
        <v>54</v>
      </c>
      <c r="B246" s="27"/>
      <c r="C246" s="48"/>
      <c r="D246" s="48"/>
      <c r="E246" s="48"/>
      <c r="F246" s="48"/>
      <c r="G246" s="9"/>
      <c r="H246" s="48"/>
      <c r="I246" s="48"/>
      <c r="J246" s="9"/>
      <c r="K246" s="48"/>
      <c r="N246" s="19"/>
    </row>
    <row r="247" spans="1:14" ht="21.75" customHeight="1">
      <c r="A247" s="109" t="s">
        <v>55</v>
      </c>
      <c r="B247" s="27"/>
      <c r="C247" s="29">
        <f>D247</f>
        <v>2</v>
      </c>
      <c r="D247" s="29">
        <v>2</v>
      </c>
      <c r="E247" s="29">
        <v>0</v>
      </c>
      <c r="F247" s="29">
        <f>G247</f>
        <v>2</v>
      </c>
      <c r="G247" s="17">
        <v>2</v>
      </c>
      <c r="H247" s="29">
        <v>0</v>
      </c>
      <c r="I247" s="29">
        <f>J247</f>
        <v>2</v>
      </c>
      <c r="J247" s="17">
        <v>2</v>
      </c>
      <c r="K247" s="29">
        <v>0</v>
      </c>
      <c r="N247" s="19"/>
    </row>
    <row r="248" spans="1:14" ht="39" customHeight="1">
      <c r="A248" s="109" t="s">
        <v>56</v>
      </c>
      <c r="B248" s="27"/>
      <c r="C248" s="29">
        <f>D248</f>
        <v>3270</v>
      </c>
      <c r="D248" s="29">
        <v>3270</v>
      </c>
      <c r="E248" s="29">
        <v>0</v>
      </c>
      <c r="F248" s="29">
        <f>G248</f>
        <v>3396</v>
      </c>
      <c r="G248" s="17">
        <v>3396</v>
      </c>
      <c r="H248" s="29">
        <v>0</v>
      </c>
      <c r="I248" s="29">
        <f>J248</f>
        <v>3063</v>
      </c>
      <c r="J248" s="17">
        <v>3063</v>
      </c>
      <c r="K248" s="29">
        <v>0</v>
      </c>
      <c r="N248" s="19"/>
    </row>
    <row r="249" spans="1:14" ht="33" customHeight="1">
      <c r="A249" s="5" t="s">
        <v>99</v>
      </c>
      <c r="B249" s="27"/>
      <c r="C249" s="29">
        <f>+D249</f>
        <v>190</v>
      </c>
      <c r="D249" s="29">
        <v>190</v>
      </c>
      <c r="E249" s="29">
        <v>0</v>
      </c>
      <c r="F249" s="29">
        <f>+G249</f>
        <v>190</v>
      </c>
      <c r="G249" s="17">
        <v>190</v>
      </c>
      <c r="H249" s="29">
        <v>0</v>
      </c>
      <c r="I249" s="29">
        <f>+J249</f>
        <v>190</v>
      </c>
      <c r="J249" s="17">
        <v>190</v>
      </c>
      <c r="K249" s="29">
        <v>0</v>
      </c>
      <c r="N249" s="19"/>
    </row>
    <row r="250" spans="1:14" ht="21.75" customHeight="1">
      <c r="A250" s="2" t="s">
        <v>57</v>
      </c>
      <c r="B250" s="27"/>
      <c r="C250" s="48"/>
      <c r="D250" s="48"/>
      <c r="E250" s="48"/>
      <c r="F250" s="48"/>
      <c r="G250" s="9"/>
      <c r="H250" s="48"/>
      <c r="I250" s="48"/>
      <c r="J250" s="9"/>
      <c r="K250" s="48"/>
      <c r="N250" s="19"/>
    </row>
    <row r="251" spans="1:14" ht="21.75" customHeight="1">
      <c r="A251" s="103" t="s">
        <v>58</v>
      </c>
      <c r="B251" s="27"/>
      <c r="C251" s="30">
        <f>D251</f>
        <v>1600</v>
      </c>
      <c r="D251" s="30">
        <f>D243/D247/12</f>
        <v>1600</v>
      </c>
      <c r="E251" s="30">
        <v>0</v>
      </c>
      <c r="F251" s="30">
        <f>G251</f>
        <v>1380</v>
      </c>
      <c r="G251" s="8">
        <f>+G243/G247/12</f>
        <v>1380</v>
      </c>
      <c r="H251" s="30">
        <v>0</v>
      </c>
      <c r="I251" s="30">
        <f>J251</f>
        <v>1050</v>
      </c>
      <c r="J251" s="8">
        <f>J243/J247/12</f>
        <v>1050</v>
      </c>
      <c r="K251" s="30">
        <v>0</v>
      </c>
      <c r="N251" s="19"/>
    </row>
    <row r="252" spans="1:14" ht="50.25" customHeight="1">
      <c r="A252" s="109" t="s">
        <v>59</v>
      </c>
      <c r="B252" s="27"/>
      <c r="C252" s="30">
        <f>D252</f>
        <v>119.96941896024465</v>
      </c>
      <c r="D252" s="30">
        <f>D244/D248</f>
        <v>119.96941896024465</v>
      </c>
      <c r="E252" s="30">
        <v>0</v>
      </c>
      <c r="F252" s="30">
        <f>G252</f>
        <v>122.43816254416961</v>
      </c>
      <c r="G252" s="8">
        <f>+G244/G248</f>
        <v>122.43816254416961</v>
      </c>
      <c r="H252" s="30">
        <v>0</v>
      </c>
      <c r="I252" s="30">
        <f>J252</f>
        <v>145.67417564479268</v>
      </c>
      <c r="J252" s="8">
        <f>J244/J248</f>
        <v>145.67417564479268</v>
      </c>
      <c r="K252" s="30">
        <v>0</v>
      </c>
      <c r="N252" s="19"/>
    </row>
    <row r="253" spans="1:14" ht="31.5" customHeight="1">
      <c r="A253" s="5" t="s">
        <v>100</v>
      </c>
      <c r="B253" s="27"/>
      <c r="C253" s="30">
        <f>+D253</f>
        <v>701.4526315789474</v>
      </c>
      <c r="D253" s="30">
        <f>+D245/D249</f>
        <v>701.4526315789474</v>
      </c>
      <c r="E253" s="30">
        <v>0</v>
      </c>
      <c r="F253" s="30">
        <f>+G253</f>
        <v>702.5263157894736</v>
      </c>
      <c r="G253" s="8">
        <f>+G245/G249</f>
        <v>702.5263157894736</v>
      </c>
      <c r="H253" s="30">
        <v>0</v>
      </c>
      <c r="I253" s="30">
        <f>+J253</f>
        <v>702.6315789473684</v>
      </c>
      <c r="J253" s="8">
        <f>J245/J249</f>
        <v>702.6315789473684</v>
      </c>
      <c r="K253" s="30">
        <v>0</v>
      </c>
      <c r="N253" s="19"/>
    </row>
    <row r="254" spans="1:14" ht="18.75" customHeight="1">
      <c r="A254" s="2" t="s">
        <v>60</v>
      </c>
      <c r="B254" s="27"/>
      <c r="C254" s="48"/>
      <c r="D254" s="48"/>
      <c r="E254" s="48"/>
      <c r="F254" s="48"/>
      <c r="G254" s="9"/>
      <c r="H254" s="48"/>
      <c r="I254" s="48"/>
      <c r="J254" s="9"/>
      <c r="K254" s="48"/>
      <c r="N254" s="19"/>
    </row>
    <row r="255" spans="1:14" ht="34.5" customHeight="1">
      <c r="A255" s="5" t="s">
        <v>61</v>
      </c>
      <c r="B255" s="27"/>
      <c r="C255" s="48">
        <f>D255</f>
        <v>100</v>
      </c>
      <c r="D255" s="48">
        <v>100</v>
      </c>
      <c r="E255" s="48">
        <v>0</v>
      </c>
      <c r="F255" s="48">
        <f>G255</f>
        <v>100</v>
      </c>
      <c r="G255" s="9">
        <v>100</v>
      </c>
      <c r="H255" s="48">
        <v>0</v>
      </c>
      <c r="I255" s="48">
        <f>J255</f>
        <v>100</v>
      </c>
      <c r="J255" s="9">
        <v>100</v>
      </c>
      <c r="K255" s="48">
        <v>0</v>
      </c>
      <c r="N255" s="19"/>
    </row>
    <row r="256" spans="1:12" ht="7.5" customHeight="1">
      <c r="A256" s="21"/>
      <c r="B256" s="12"/>
      <c r="C256" s="22"/>
      <c r="D256" s="22"/>
      <c r="E256" s="22"/>
      <c r="F256" s="22"/>
      <c r="G256" s="22"/>
      <c r="H256" s="22"/>
      <c r="I256" s="22"/>
      <c r="J256" s="22"/>
      <c r="K256" s="22"/>
      <c r="L256" s="22"/>
    </row>
    <row r="257" spans="1:12" ht="26.25" customHeight="1">
      <c r="A257" s="11"/>
      <c r="B257" s="12"/>
      <c r="C257" s="13"/>
      <c r="D257" s="13"/>
      <c r="E257" s="13"/>
      <c r="F257" s="13"/>
      <c r="G257" s="13"/>
      <c r="H257" s="13"/>
      <c r="I257" s="166" t="s">
        <v>191</v>
      </c>
      <c r="J257" s="166"/>
      <c r="K257" s="166"/>
      <c r="L257" s="13"/>
    </row>
    <row r="258" spans="1:12" ht="14.25">
      <c r="A258" s="14">
        <v>1</v>
      </c>
      <c r="B258" s="15">
        <v>2</v>
      </c>
      <c r="C258" s="16">
        <v>3</v>
      </c>
      <c r="D258" s="16">
        <v>4</v>
      </c>
      <c r="E258" s="16">
        <v>5</v>
      </c>
      <c r="F258" s="16">
        <v>6</v>
      </c>
      <c r="G258" s="16">
        <v>7</v>
      </c>
      <c r="H258" s="16">
        <v>8</v>
      </c>
      <c r="I258" s="16">
        <v>9</v>
      </c>
      <c r="J258" s="16">
        <v>10</v>
      </c>
      <c r="K258" s="16">
        <v>11</v>
      </c>
      <c r="L258" s="23"/>
    </row>
    <row r="259" spans="1:14" ht="42" customHeight="1">
      <c r="A259" s="5" t="s">
        <v>63</v>
      </c>
      <c r="B259" s="27"/>
      <c r="C259" s="48">
        <f>D259</f>
        <v>100</v>
      </c>
      <c r="D259" s="48">
        <v>100</v>
      </c>
      <c r="E259" s="48">
        <v>0</v>
      </c>
      <c r="F259" s="48">
        <f>G259</f>
        <v>100</v>
      </c>
      <c r="G259" s="9">
        <v>100</v>
      </c>
      <c r="H259" s="48">
        <v>0</v>
      </c>
      <c r="I259" s="48">
        <f>J259</f>
        <v>100</v>
      </c>
      <c r="J259" s="9">
        <v>100</v>
      </c>
      <c r="K259" s="48">
        <v>0</v>
      </c>
      <c r="N259" s="19"/>
    </row>
    <row r="260" spans="1:14" ht="36.75" customHeight="1">
      <c r="A260" s="110" t="s">
        <v>101</v>
      </c>
      <c r="B260" s="27"/>
      <c r="C260" s="48">
        <v>100</v>
      </c>
      <c r="D260" s="48">
        <v>100</v>
      </c>
      <c r="E260" s="48">
        <v>0</v>
      </c>
      <c r="F260" s="48">
        <v>100</v>
      </c>
      <c r="G260" s="9">
        <v>100</v>
      </c>
      <c r="H260" s="48">
        <v>0</v>
      </c>
      <c r="I260" s="48">
        <v>100</v>
      </c>
      <c r="J260" s="9">
        <v>100</v>
      </c>
      <c r="K260" s="48">
        <v>0</v>
      </c>
      <c r="N260" s="19"/>
    </row>
    <row r="261" spans="1:11" ht="29.25" customHeight="1">
      <c r="A261" s="105" t="s">
        <v>96</v>
      </c>
      <c r="B261" s="105"/>
      <c r="C261" s="105"/>
      <c r="D261" s="105"/>
      <c r="E261" s="105"/>
      <c r="F261" s="105"/>
      <c r="G261" s="105"/>
      <c r="H261" s="105"/>
      <c r="I261" s="105"/>
      <c r="J261" s="105"/>
      <c r="K261" s="105"/>
    </row>
    <row r="262" spans="1:11" ht="30.75" customHeight="1">
      <c r="A262" s="3" t="s">
        <v>124</v>
      </c>
      <c r="B262" s="111"/>
      <c r="C262" s="28">
        <f>D262+E262</f>
        <v>1342557</v>
      </c>
      <c r="D262" s="28">
        <v>1342557</v>
      </c>
      <c r="E262" s="28">
        <v>0</v>
      </c>
      <c r="F262" s="4">
        <f>G262+H262</f>
        <v>1200635</v>
      </c>
      <c r="G262" s="4">
        <f>1380800-120906-34259-25000</f>
        <v>1200635</v>
      </c>
      <c r="H262" s="4">
        <v>0</v>
      </c>
      <c r="I262" s="28">
        <f>J262+K262</f>
        <v>1150000</v>
      </c>
      <c r="J262" s="4">
        <v>1150000</v>
      </c>
      <c r="K262" s="28">
        <v>0</v>
      </c>
    </row>
    <row r="263" spans="1:14" ht="21.75" customHeight="1">
      <c r="A263" s="1" t="s">
        <v>4</v>
      </c>
      <c r="B263" s="27"/>
      <c r="C263" s="112"/>
      <c r="D263" s="41"/>
      <c r="E263" s="41"/>
      <c r="F263" s="41"/>
      <c r="G263" s="41"/>
      <c r="H263" s="41"/>
      <c r="I263" s="41"/>
      <c r="J263" s="41"/>
      <c r="K263" s="41"/>
      <c r="N263" s="19"/>
    </row>
    <row r="264" spans="1:14" ht="21.75" customHeight="1">
      <c r="A264" s="24" t="s">
        <v>5</v>
      </c>
      <c r="B264" s="27"/>
      <c r="C264" s="112"/>
      <c r="D264" s="41"/>
      <c r="E264" s="41"/>
      <c r="F264" s="41"/>
      <c r="G264" s="41"/>
      <c r="H264" s="41"/>
      <c r="I264" s="41"/>
      <c r="J264" s="41"/>
      <c r="K264" s="41"/>
      <c r="N264" s="19"/>
    </row>
    <row r="265" spans="1:14" ht="34.5" customHeight="1">
      <c r="A265" s="53" t="s">
        <v>49</v>
      </c>
      <c r="B265" s="27"/>
      <c r="C265" s="29">
        <f>+D265</f>
        <v>3504</v>
      </c>
      <c r="D265" s="29">
        <v>3504</v>
      </c>
      <c r="E265" s="29">
        <v>0</v>
      </c>
      <c r="F265" s="29">
        <f>+G265</f>
        <v>2810</v>
      </c>
      <c r="G265" s="29">
        <v>2810</v>
      </c>
      <c r="H265" s="50">
        <v>0</v>
      </c>
      <c r="I265" s="29">
        <f>+J265</f>
        <v>2640</v>
      </c>
      <c r="J265" s="29">
        <v>2640</v>
      </c>
      <c r="K265" s="50">
        <v>0</v>
      </c>
      <c r="N265" s="19"/>
    </row>
    <row r="266" spans="1:14" ht="37.5" customHeight="1">
      <c r="A266" s="53" t="s">
        <v>50</v>
      </c>
      <c r="B266" s="27"/>
      <c r="C266" s="29">
        <f>+D266</f>
        <v>24</v>
      </c>
      <c r="D266" s="50">
        <v>24</v>
      </c>
      <c r="E266" s="50">
        <v>0</v>
      </c>
      <c r="F266" s="50">
        <f>+G266</f>
        <v>6</v>
      </c>
      <c r="G266" s="50">
        <v>6</v>
      </c>
      <c r="H266" s="50">
        <v>0</v>
      </c>
      <c r="I266" s="50">
        <f>J266+K266</f>
        <v>6</v>
      </c>
      <c r="J266" s="50">
        <v>6</v>
      </c>
      <c r="K266" s="50">
        <v>0</v>
      </c>
      <c r="N266" s="19"/>
    </row>
    <row r="267" spans="1:14" ht="17.25" customHeight="1">
      <c r="A267" s="45" t="s">
        <v>13</v>
      </c>
      <c r="B267" s="27"/>
      <c r="C267" s="46"/>
      <c r="D267" s="46"/>
      <c r="E267" s="46"/>
      <c r="F267" s="46"/>
      <c r="G267" s="46"/>
      <c r="H267" s="46"/>
      <c r="I267" s="46"/>
      <c r="J267" s="46"/>
      <c r="K267" s="46"/>
      <c r="N267" s="19"/>
    </row>
    <row r="268" spans="1:14" ht="36" customHeight="1">
      <c r="A268" s="53" t="s">
        <v>51</v>
      </c>
      <c r="B268" s="27"/>
      <c r="C268" s="30">
        <f>D268</f>
        <v>111489.75</v>
      </c>
      <c r="D268" s="30">
        <f>1337877/12</f>
        <v>111489.75</v>
      </c>
      <c r="E268" s="30">
        <v>0</v>
      </c>
      <c r="F268" s="30">
        <f>+G268</f>
        <v>99776.25</v>
      </c>
      <c r="G268" s="30">
        <f>(1377480-120906-34259-25000)/12</f>
        <v>99776.25</v>
      </c>
      <c r="H268" s="30">
        <v>0</v>
      </c>
      <c r="I268" s="30">
        <f>+J268</f>
        <v>95556.66666666667</v>
      </c>
      <c r="J268" s="8">
        <f>1146680/12</f>
        <v>95556.66666666667</v>
      </c>
      <c r="K268" s="30">
        <v>0</v>
      </c>
      <c r="N268" s="19"/>
    </row>
    <row r="269" spans="1:14" ht="35.25" customHeight="1">
      <c r="A269" s="5" t="s">
        <v>52</v>
      </c>
      <c r="B269" s="27"/>
      <c r="C269" s="30">
        <f>+D269</f>
        <v>195</v>
      </c>
      <c r="D269" s="30">
        <f>4680/D266</f>
        <v>195</v>
      </c>
      <c r="E269" s="30">
        <v>0</v>
      </c>
      <c r="F269" s="30">
        <f>+G269</f>
        <v>553.3333333333334</v>
      </c>
      <c r="G269" s="8">
        <f>3320/G266</f>
        <v>553.3333333333334</v>
      </c>
      <c r="H269" s="30">
        <v>0</v>
      </c>
      <c r="I269" s="30">
        <f>+J269</f>
        <v>553.3333333333334</v>
      </c>
      <c r="J269" s="8">
        <f>3320/J266</f>
        <v>553.3333333333334</v>
      </c>
      <c r="K269" s="30">
        <v>0</v>
      </c>
      <c r="N269" s="19"/>
    </row>
    <row r="270" spans="1:14" ht="16.5">
      <c r="A270" s="2" t="s">
        <v>175</v>
      </c>
      <c r="B270" s="27"/>
      <c r="C270" s="30"/>
      <c r="D270" s="30"/>
      <c r="E270" s="30"/>
      <c r="F270" s="30"/>
      <c r="G270" s="8"/>
      <c r="H270" s="30"/>
      <c r="I270" s="30"/>
      <c r="J270" s="8"/>
      <c r="K270" s="30"/>
      <c r="N270" s="19"/>
    </row>
    <row r="271" spans="1:14" ht="27.75" customHeight="1">
      <c r="A271" s="47" t="s">
        <v>48</v>
      </c>
      <c r="B271" s="27"/>
      <c r="C271" s="48">
        <f>+D271</f>
        <v>100</v>
      </c>
      <c r="D271" s="48">
        <v>100</v>
      </c>
      <c r="E271" s="48">
        <v>0</v>
      </c>
      <c r="F271" s="48">
        <f>G271+H271</f>
        <v>100</v>
      </c>
      <c r="G271" s="9">
        <v>100</v>
      </c>
      <c r="H271" s="48">
        <v>0</v>
      </c>
      <c r="I271" s="48">
        <f>J271+K271</f>
        <v>100</v>
      </c>
      <c r="J271" s="9">
        <v>100</v>
      </c>
      <c r="K271" s="48">
        <v>0</v>
      </c>
      <c r="N271" s="19"/>
    </row>
    <row r="272" spans="1:11" ht="18.75" customHeight="1">
      <c r="A272" s="105" t="s">
        <v>95</v>
      </c>
      <c r="B272" s="113"/>
      <c r="C272" s="113"/>
      <c r="D272" s="113"/>
      <c r="E272" s="113"/>
      <c r="F272" s="113"/>
      <c r="G272" s="113"/>
      <c r="H272" s="113"/>
      <c r="I272" s="113"/>
      <c r="J272" s="113"/>
      <c r="K272" s="113"/>
    </row>
    <row r="273" spans="1:11" ht="101.25" customHeight="1">
      <c r="A273" s="7" t="s">
        <v>228</v>
      </c>
      <c r="B273" s="109"/>
      <c r="C273" s="28">
        <f>D273+E273</f>
        <v>22566202</v>
      </c>
      <c r="D273" s="8">
        <v>22566202</v>
      </c>
      <c r="E273" s="4">
        <v>0</v>
      </c>
      <c r="F273" s="4">
        <f>+G273</f>
        <v>24500000</v>
      </c>
      <c r="G273" s="8">
        <v>24500000</v>
      </c>
      <c r="H273" s="4">
        <v>0</v>
      </c>
      <c r="I273" s="28">
        <f>J273+K273</f>
        <v>24391400</v>
      </c>
      <c r="J273" s="4">
        <v>24391400</v>
      </c>
      <c r="K273" s="28">
        <v>0</v>
      </c>
    </row>
    <row r="274" spans="1:14" ht="14.25" customHeight="1">
      <c r="A274" s="1" t="s">
        <v>4</v>
      </c>
      <c r="B274" s="27"/>
      <c r="C274" s="112"/>
      <c r="D274" s="41"/>
      <c r="E274" s="41"/>
      <c r="F274" s="41"/>
      <c r="G274" s="41"/>
      <c r="H274" s="41"/>
      <c r="I274" s="41"/>
      <c r="J274" s="41"/>
      <c r="K274" s="41"/>
      <c r="N274" s="19"/>
    </row>
    <row r="275" spans="1:14" ht="15">
      <c r="A275" s="24" t="s">
        <v>5</v>
      </c>
      <c r="B275" s="27"/>
      <c r="C275" s="112"/>
      <c r="D275" s="41"/>
      <c r="E275" s="41"/>
      <c r="F275" s="41"/>
      <c r="G275" s="41"/>
      <c r="H275" s="41"/>
      <c r="I275" s="41"/>
      <c r="J275" s="41"/>
      <c r="K275" s="41"/>
      <c r="N275" s="19"/>
    </row>
    <row r="276" spans="1:14" ht="27.75" customHeight="1">
      <c r="A276" s="43" t="s">
        <v>44</v>
      </c>
      <c r="B276" s="27"/>
      <c r="C276" s="29">
        <f>+D276</f>
        <v>59320</v>
      </c>
      <c r="D276" s="29">
        <v>59320</v>
      </c>
      <c r="E276" s="29">
        <v>0</v>
      </c>
      <c r="F276" s="29">
        <f>+G276</f>
        <v>58065</v>
      </c>
      <c r="G276" s="29">
        <v>58065</v>
      </c>
      <c r="H276" s="50">
        <v>0</v>
      </c>
      <c r="I276" s="29">
        <f>+J276</f>
        <v>55600</v>
      </c>
      <c r="J276" s="29">
        <v>55600</v>
      </c>
      <c r="K276" s="50">
        <v>0</v>
      </c>
      <c r="N276" s="19"/>
    </row>
    <row r="277" spans="1:14" ht="27.75" customHeight="1">
      <c r="A277" s="43" t="s">
        <v>45</v>
      </c>
      <c r="B277" s="27"/>
      <c r="C277" s="50">
        <v>1</v>
      </c>
      <c r="D277" s="50">
        <v>1</v>
      </c>
      <c r="E277" s="50">
        <v>0</v>
      </c>
      <c r="F277" s="50">
        <f>+G277</f>
        <v>1</v>
      </c>
      <c r="G277" s="50">
        <v>1</v>
      </c>
      <c r="H277" s="50">
        <v>0</v>
      </c>
      <c r="I277" s="50">
        <f>+J277</f>
        <v>1</v>
      </c>
      <c r="J277" s="50">
        <v>1</v>
      </c>
      <c r="K277" s="50">
        <v>0</v>
      </c>
      <c r="N277" s="19"/>
    </row>
    <row r="278" spans="1:14" ht="17.25" customHeight="1">
      <c r="A278" s="45" t="s">
        <v>13</v>
      </c>
      <c r="B278" s="27"/>
      <c r="C278" s="114"/>
      <c r="D278" s="46"/>
      <c r="E278" s="46"/>
      <c r="F278" s="46"/>
      <c r="G278" s="46"/>
      <c r="H278" s="46"/>
      <c r="I278" s="46"/>
      <c r="J278" s="46"/>
      <c r="K278" s="46"/>
      <c r="N278" s="19"/>
    </row>
    <row r="279" spans="1:14" ht="30">
      <c r="A279" s="47" t="s">
        <v>46</v>
      </c>
      <c r="B279" s="27"/>
      <c r="C279" s="30">
        <f>D279+E279</f>
        <v>1880516.8333333333</v>
      </c>
      <c r="D279" s="30">
        <f>+D273/12</f>
        <v>1880516.8333333333</v>
      </c>
      <c r="E279" s="30">
        <v>0</v>
      </c>
      <c r="F279" s="30">
        <f>G279+H279</f>
        <v>2041666.6666666667</v>
      </c>
      <c r="G279" s="30">
        <f>+G273/12</f>
        <v>2041666.6666666667</v>
      </c>
      <c r="H279" s="30">
        <v>0</v>
      </c>
      <c r="I279" s="30">
        <f>J279+K279</f>
        <v>2032616.6666666667</v>
      </c>
      <c r="J279" s="30">
        <f>+J273/12</f>
        <v>2032616.6666666667</v>
      </c>
      <c r="K279" s="30">
        <v>0</v>
      </c>
      <c r="N279" s="19"/>
    </row>
    <row r="280" spans="1:14" ht="16.5">
      <c r="A280" s="2" t="s">
        <v>12</v>
      </c>
      <c r="B280" s="27"/>
      <c r="C280" s="30"/>
      <c r="D280" s="30"/>
      <c r="E280" s="30"/>
      <c r="F280" s="30"/>
      <c r="G280" s="8"/>
      <c r="H280" s="30"/>
      <c r="I280" s="30"/>
      <c r="J280" s="8"/>
      <c r="K280" s="30"/>
      <c r="N280" s="19"/>
    </row>
    <row r="281" spans="1:14" ht="21.75" customHeight="1">
      <c r="A281" s="47" t="s">
        <v>11</v>
      </c>
      <c r="B281" s="27"/>
      <c r="C281" s="48">
        <f>+D281</f>
        <v>100</v>
      </c>
      <c r="D281" s="48">
        <v>100</v>
      </c>
      <c r="E281" s="48">
        <v>0</v>
      </c>
      <c r="F281" s="48">
        <f>G281+H281</f>
        <v>100</v>
      </c>
      <c r="G281" s="9">
        <v>100</v>
      </c>
      <c r="H281" s="48">
        <v>0</v>
      </c>
      <c r="I281" s="48">
        <f>J281+K281</f>
        <v>100</v>
      </c>
      <c r="J281" s="9">
        <v>100</v>
      </c>
      <c r="K281" s="48">
        <v>0</v>
      </c>
      <c r="N281" s="19"/>
    </row>
    <row r="282" spans="1:11" ht="21.75" customHeight="1">
      <c r="A282" s="105" t="s">
        <v>83</v>
      </c>
      <c r="B282" s="105"/>
      <c r="C282" s="105"/>
      <c r="D282" s="105"/>
      <c r="E282" s="105"/>
      <c r="F282" s="105"/>
      <c r="G282" s="105"/>
      <c r="H282" s="105"/>
      <c r="I282" s="105"/>
      <c r="J282" s="105"/>
      <c r="K282" s="105"/>
    </row>
    <row r="283" spans="1:11" ht="104.25" customHeight="1">
      <c r="A283" s="24" t="s">
        <v>227</v>
      </c>
      <c r="B283" s="111"/>
      <c r="C283" s="28">
        <f>D283+E283</f>
        <v>38633798</v>
      </c>
      <c r="D283" s="28">
        <v>38633798</v>
      </c>
      <c r="E283" s="28">
        <v>0</v>
      </c>
      <c r="F283" s="69">
        <f>G283+H283</f>
        <v>40200000</v>
      </c>
      <c r="G283" s="69">
        <v>40200000</v>
      </c>
      <c r="H283" s="4">
        <v>0</v>
      </c>
      <c r="I283" s="4">
        <f>J283+K283</f>
        <v>42943400</v>
      </c>
      <c r="J283" s="4">
        <v>42943400</v>
      </c>
      <c r="K283" s="4">
        <v>0</v>
      </c>
    </row>
    <row r="284" spans="1:14" ht="18" customHeight="1">
      <c r="A284" s="1" t="s">
        <v>4</v>
      </c>
      <c r="B284" s="27"/>
      <c r="C284" s="112"/>
      <c r="D284" s="41"/>
      <c r="E284" s="41"/>
      <c r="F284" s="41"/>
      <c r="G284" s="41"/>
      <c r="H284" s="41"/>
      <c r="I284" s="41"/>
      <c r="J284" s="41"/>
      <c r="K284" s="41"/>
      <c r="N284" s="19"/>
    </row>
    <row r="285" spans="1:12" ht="7.5" customHeight="1">
      <c r="A285" s="21"/>
      <c r="B285" s="12"/>
      <c r="C285" s="22"/>
      <c r="D285" s="22"/>
      <c r="E285" s="22"/>
      <c r="F285" s="22"/>
      <c r="G285" s="22"/>
      <c r="H285" s="22"/>
      <c r="I285" s="22"/>
      <c r="J285" s="22"/>
      <c r="K285" s="22"/>
      <c r="L285" s="22"/>
    </row>
    <row r="286" spans="1:12" ht="26.25" customHeight="1">
      <c r="A286" s="11"/>
      <c r="B286" s="12"/>
      <c r="C286" s="13"/>
      <c r="D286" s="13"/>
      <c r="E286" s="13"/>
      <c r="F286" s="13"/>
      <c r="G286" s="13"/>
      <c r="H286" s="13"/>
      <c r="I286" s="166" t="s">
        <v>191</v>
      </c>
      <c r="J286" s="166"/>
      <c r="K286" s="166"/>
      <c r="L286" s="13"/>
    </row>
    <row r="287" spans="1:12" ht="14.25">
      <c r="A287" s="14">
        <v>1</v>
      </c>
      <c r="B287" s="15">
        <v>2</v>
      </c>
      <c r="C287" s="16">
        <v>3</v>
      </c>
      <c r="D287" s="16">
        <v>4</v>
      </c>
      <c r="E287" s="16">
        <v>5</v>
      </c>
      <c r="F287" s="16">
        <v>6</v>
      </c>
      <c r="G287" s="16">
        <v>7</v>
      </c>
      <c r="H287" s="16">
        <v>8</v>
      </c>
      <c r="I287" s="16">
        <v>9</v>
      </c>
      <c r="J287" s="16">
        <v>10</v>
      </c>
      <c r="K287" s="16">
        <v>11</v>
      </c>
      <c r="L287" s="23"/>
    </row>
    <row r="288" spans="1:14" ht="15">
      <c r="A288" s="24" t="s">
        <v>5</v>
      </c>
      <c r="B288" s="27"/>
      <c r="C288" s="112"/>
      <c r="D288" s="41"/>
      <c r="E288" s="41"/>
      <c r="F288" s="41"/>
      <c r="G288" s="41"/>
      <c r="H288" s="41"/>
      <c r="I288" s="41"/>
      <c r="J288" s="41"/>
      <c r="K288" s="41"/>
      <c r="N288" s="19"/>
    </row>
    <row r="289" spans="1:14" ht="27.75" customHeight="1">
      <c r="A289" s="43" t="s">
        <v>47</v>
      </c>
      <c r="B289" s="27"/>
      <c r="C289" s="29">
        <f>+D289</f>
        <v>59320</v>
      </c>
      <c r="D289" s="29">
        <v>59320</v>
      </c>
      <c r="E289" s="29">
        <v>0</v>
      </c>
      <c r="F289" s="29">
        <f>+G289</f>
        <v>58065</v>
      </c>
      <c r="G289" s="29">
        <v>58065</v>
      </c>
      <c r="H289" s="50">
        <v>0</v>
      </c>
      <c r="I289" s="29">
        <f>J289+K289</f>
        <v>55600</v>
      </c>
      <c r="J289" s="29">
        <v>55600</v>
      </c>
      <c r="K289" s="50">
        <v>0</v>
      </c>
      <c r="N289" s="19"/>
    </row>
    <row r="290" spans="1:14" ht="30.75" customHeight="1">
      <c r="A290" s="43" t="s">
        <v>45</v>
      </c>
      <c r="B290" s="27"/>
      <c r="C290" s="50">
        <v>1</v>
      </c>
      <c r="D290" s="50">
        <v>1</v>
      </c>
      <c r="E290" s="50">
        <v>0</v>
      </c>
      <c r="F290" s="50">
        <f>+G290</f>
        <v>1</v>
      </c>
      <c r="G290" s="50">
        <v>1</v>
      </c>
      <c r="H290" s="50">
        <v>0</v>
      </c>
      <c r="I290" s="50">
        <f>+J290</f>
        <v>1</v>
      </c>
      <c r="J290" s="50">
        <v>1</v>
      </c>
      <c r="K290" s="50">
        <v>0</v>
      </c>
      <c r="N290" s="19"/>
    </row>
    <row r="291" spans="1:14" ht="17.25" customHeight="1">
      <c r="A291" s="45" t="s">
        <v>13</v>
      </c>
      <c r="B291" s="27"/>
      <c r="C291" s="114"/>
      <c r="D291" s="46"/>
      <c r="E291" s="46"/>
      <c r="F291" s="114"/>
      <c r="G291" s="46"/>
      <c r="H291" s="46"/>
      <c r="I291" s="114"/>
      <c r="J291" s="46"/>
      <c r="K291" s="46"/>
      <c r="N291" s="19"/>
    </row>
    <row r="292" spans="1:14" ht="30">
      <c r="A292" s="47" t="s">
        <v>160</v>
      </c>
      <c r="B292" s="27"/>
      <c r="C292" s="30">
        <f>D292+E292</f>
        <v>3219483.1666666665</v>
      </c>
      <c r="D292" s="30">
        <f>D283/12</f>
        <v>3219483.1666666665</v>
      </c>
      <c r="E292" s="30">
        <v>0</v>
      </c>
      <c r="F292" s="30">
        <f>G292+H292</f>
        <v>3350000</v>
      </c>
      <c r="G292" s="30">
        <f>G283/12</f>
        <v>3350000</v>
      </c>
      <c r="H292" s="30">
        <v>0</v>
      </c>
      <c r="I292" s="30">
        <f>J292+K292</f>
        <v>3578616.6666666665</v>
      </c>
      <c r="J292" s="8">
        <f>J283/12</f>
        <v>3578616.6666666665</v>
      </c>
      <c r="K292" s="30">
        <v>0</v>
      </c>
      <c r="N292" s="19"/>
    </row>
    <row r="293" spans="1:14" ht="16.5">
      <c r="A293" s="2" t="s">
        <v>12</v>
      </c>
      <c r="B293" s="27"/>
      <c r="C293" s="30"/>
      <c r="D293" s="30"/>
      <c r="E293" s="30"/>
      <c r="F293" s="30"/>
      <c r="G293" s="8"/>
      <c r="H293" s="30"/>
      <c r="I293" s="30"/>
      <c r="J293" s="8"/>
      <c r="K293" s="30"/>
      <c r="N293" s="19"/>
    </row>
    <row r="294" spans="1:14" ht="21.75" customHeight="1">
      <c r="A294" s="47" t="s">
        <v>11</v>
      </c>
      <c r="B294" s="27"/>
      <c r="C294" s="48">
        <f>+D294</f>
        <v>100</v>
      </c>
      <c r="D294" s="48">
        <v>100</v>
      </c>
      <c r="E294" s="48">
        <v>0</v>
      </c>
      <c r="F294" s="48">
        <f>G294+H294</f>
        <v>100</v>
      </c>
      <c r="G294" s="9">
        <v>100</v>
      </c>
      <c r="H294" s="48">
        <v>0</v>
      </c>
      <c r="I294" s="48">
        <f>J294+K294</f>
        <v>100</v>
      </c>
      <c r="J294" s="9">
        <v>100</v>
      </c>
      <c r="K294" s="48">
        <v>0</v>
      </c>
      <c r="N294" s="19"/>
    </row>
    <row r="295" spans="1:11" ht="75" customHeight="1">
      <c r="A295" s="24" t="s">
        <v>187</v>
      </c>
      <c r="B295" s="111"/>
      <c r="C295" s="28">
        <f>D295+E295</f>
        <v>0</v>
      </c>
      <c r="D295" s="28">
        <v>0</v>
      </c>
      <c r="E295" s="28">
        <v>0</v>
      </c>
      <c r="F295" s="69">
        <f>G295+H295</f>
        <v>807456</v>
      </c>
      <c r="G295" s="69">
        <v>807456</v>
      </c>
      <c r="H295" s="4">
        <v>0</v>
      </c>
      <c r="I295" s="4">
        <f>J295+K295</f>
        <v>0</v>
      </c>
      <c r="J295" s="4">
        <v>0</v>
      </c>
      <c r="K295" s="4">
        <v>0</v>
      </c>
    </row>
    <row r="296" spans="1:14" ht="18" customHeight="1">
      <c r="A296" s="1" t="s">
        <v>4</v>
      </c>
      <c r="B296" s="27"/>
      <c r="C296" s="112"/>
      <c r="D296" s="41"/>
      <c r="E296" s="41"/>
      <c r="F296" s="41"/>
      <c r="G296" s="41"/>
      <c r="H296" s="41"/>
      <c r="I296" s="41"/>
      <c r="J296" s="41"/>
      <c r="K296" s="41"/>
      <c r="N296" s="19"/>
    </row>
    <row r="297" spans="1:14" ht="15">
      <c r="A297" s="24" t="s">
        <v>5</v>
      </c>
      <c r="B297" s="27"/>
      <c r="C297" s="112"/>
      <c r="D297" s="41"/>
      <c r="E297" s="41"/>
      <c r="F297" s="41"/>
      <c r="G297" s="41"/>
      <c r="H297" s="41"/>
      <c r="I297" s="41"/>
      <c r="J297" s="41"/>
      <c r="K297" s="41"/>
      <c r="N297" s="19"/>
    </row>
    <row r="298" spans="1:14" ht="47.25" customHeight="1">
      <c r="A298" s="43" t="s">
        <v>188</v>
      </c>
      <c r="B298" s="27"/>
      <c r="C298" s="50">
        <v>0</v>
      </c>
      <c r="D298" s="50">
        <v>0</v>
      </c>
      <c r="E298" s="50">
        <v>0</v>
      </c>
      <c r="F298" s="30">
        <f>+G298</f>
        <v>807456</v>
      </c>
      <c r="G298" s="30">
        <v>807456</v>
      </c>
      <c r="H298" s="50">
        <v>0</v>
      </c>
      <c r="I298" s="50">
        <v>0</v>
      </c>
      <c r="J298" s="50">
        <v>0</v>
      </c>
      <c r="K298" s="50">
        <v>0</v>
      </c>
      <c r="N298" s="19"/>
    </row>
    <row r="299" spans="1:14" ht="16.5">
      <c r="A299" s="2" t="s">
        <v>12</v>
      </c>
      <c r="B299" s="27"/>
      <c r="C299" s="30"/>
      <c r="D299" s="30"/>
      <c r="E299" s="30"/>
      <c r="F299" s="30"/>
      <c r="G299" s="8"/>
      <c r="H299" s="30"/>
      <c r="I299" s="30"/>
      <c r="J299" s="8"/>
      <c r="K299" s="30"/>
      <c r="N299" s="19"/>
    </row>
    <row r="300" spans="1:14" ht="46.5" customHeight="1">
      <c r="A300" s="47" t="s">
        <v>189</v>
      </c>
      <c r="B300" s="27"/>
      <c r="C300" s="48">
        <f>+D300</f>
        <v>0</v>
      </c>
      <c r="D300" s="48">
        <v>0</v>
      </c>
      <c r="E300" s="48">
        <v>0</v>
      </c>
      <c r="F300" s="48">
        <f>G300+H300</f>
        <v>100</v>
      </c>
      <c r="G300" s="9">
        <v>100</v>
      </c>
      <c r="H300" s="48">
        <v>0</v>
      </c>
      <c r="I300" s="48">
        <f>J300+K300</f>
        <v>0</v>
      </c>
      <c r="J300" s="9">
        <v>0</v>
      </c>
      <c r="K300" s="48">
        <v>0</v>
      </c>
      <c r="N300" s="19"/>
    </row>
    <row r="301" spans="1:11" ht="21.75" customHeight="1">
      <c r="A301" s="105" t="s">
        <v>159</v>
      </c>
      <c r="B301" s="105"/>
      <c r="C301" s="105"/>
      <c r="D301" s="105"/>
      <c r="E301" s="105"/>
      <c r="F301" s="105"/>
      <c r="G301" s="105"/>
      <c r="H301" s="105"/>
      <c r="I301" s="105"/>
      <c r="J301" s="105"/>
      <c r="K301" s="105"/>
    </row>
    <row r="302" spans="1:11" ht="60" customHeight="1">
      <c r="A302" s="24" t="s">
        <v>221</v>
      </c>
      <c r="B302" s="111"/>
      <c r="C302" s="28">
        <f>D302+E302</f>
        <v>2000000</v>
      </c>
      <c r="D302" s="28">
        <v>2000000</v>
      </c>
      <c r="E302" s="28">
        <v>0</v>
      </c>
      <c r="F302" s="4">
        <f>G302+H302</f>
        <v>1000000</v>
      </c>
      <c r="G302" s="4">
        <v>1000000</v>
      </c>
      <c r="H302" s="4">
        <v>0</v>
      </c>
      <c r="I302" s="4">
        <f>J302+K302</f>
        <v>1500000</v>
      </c>
      <c r="J302" s="4">
        <v>1500000</v>
      </c>
      <c r="K302" s="4">
        <v>0</v>
      </c>
    </row>
    <row r="303" spans="1:14" ht="21" customHeight="1">
      <c r="A303" s="1" t="s">
        <v>4</v>
      </c>
      <c r="B303" s="27"/>
      <c r="C303" s="112"/>
      <c r="D303" s="41"/>
      <c r="E303" s="41"/>
      <c r="F303" s="41"/>
      <c r="G303" s="41"/>
      <c r="H303" s="41"/>
      <c r="I303" s="41"/>
      <c r="J303" s="41"/>
      <c r="K303" s="41"/>
      <c r="N303" s="19"/>
    </row>
    <row r="304" spans="1:14" ht="21" customHeight="1">
      <c r="A304" s="24" t="s">
        <v>5</v>
      </c>
      <c r="B304" s="27"/>
      <c r="C304" s="112"/>
      <c r="D304" s="41"/>
      <c r="E304" s="41"/>
      <c r="F304" s="41"/>
      <c r="G304" s="41"/>
      <c r="H304" s="41"/>
      <c r="I304" s="41"/>
      <c r="J304" s="41"/>
      <c r="K304" s="41"/>
      <c r="N304" s="19"/>
    </row>
    <row r="305" spans="1:14" ht="33.75" customHeight="1">
      <c r="A305" s="53" t="s">
        <v>161</v>
      </c>
      <c r="B305" s="27"/>
      <c r="C305" s="29">
        <f>+D305</f>
        <v>59320</v>
      </c>
      <c r="D305" s="29">
        <v>59320</v>
      </c>
      <c r="E305" s="29">
        <v>0</v>
      </c>
      <c r="F305" s="29">
        <f>+G305</f>
        <v>58065</v>
      </c>
      <c r="G305" s="29">
        <v>58065</v>
      </c>
      <c r="H305" s="50">
        <v>0</v>
      </c>
      <c r="I305" s="29">
        <f>J305+K305</f>
        <v>55600</v>
      </c>
      <c r="J305" s="29">
        <v>55600</v>
      </c>
      <c r="K305" s="50">
        <v>0</v>
      </c>
      <c r="N305" s="19"/>
    </row>
    <row r="306" spans="1:14" ht="30.75" customHeight="1">
      <c r="A306" s="53" t="s">
        <v>45</v>
      </c>
      <c r="B306" s="27"/>
      <c r="C306" s="50">
        <v>1</v>
      </c>
      <c r="D306" s="50">
        <v>1</v>
      </c>
      <c r="E306" s="50">
        <v>0</v>
      </c>
      <c r="F306" s="50">
        <f>+G306</f>
        <v>1</v>
      </c>
      <c r="G306" s="50">
        <v>1</v>
      </c>
      <c r="H306" s="50">
        <v>0</v>
      </c>
      <c r="I306" s="50">
        <f>J306+K306</f>
        <v>1</v>
      </c>
      <c r="J306" s="50">
        <v>1</v>
      </c>
      <c r="K306" s="50">
        <v>0</v>
      </c>
      <c r="N306" s="19"/>
    </row>
    <row r="307" spans="1:14" ht="21" customHeight="1">
      <c r="A307" s="45" t="s">
        <v>13</v>
      </c>
      <c r="B307" s="27"/>
      <c r="C307" s="114"/>
      <c r="D307" s="46"/>
      <c r="E307" s="46"/>
      <c r="F307" s="114"/>
      <c r="G307" s="46"/>
      <c r="H307" s="46"/>
      <c r="I307" s="114"/>
      <c r="J307" s="46"/>
      <c r="K307" s="46"/>
      <c r="N307" s="19"/>
    </row>
    <row r="308" spans="1:14" ht="30">
      <c r="A308" s="47" t="s">
        <v>162</v>
      </c>
      <c r="B308" s="27"/>
      <c r="C308" s="30">
        <f>D308+E308</f>
        <v>166666.66666666666</v>
      </c>
      <c r="D308" s="30">
        <f>D302/12</f>
        <v>166666.66666666666</v>
      </c>
      <c r="E308" s="30">
        <v>0</v>
      </c>
      <c r="F308" s="30">
        <f>G308+H308</f>
        <v>83333.33333333333</v>
      </c>
      <c r="G308" s="30">
        <f>G302/12</f>
        <v>83333.33333333333</v>
      </c>
      <c r="H308" s="30">
        <v>0</v>
      </c>
      <c r="I308" s="30">
        <f>J308+K308</f>
        <v>125000</v>
      </c>
      <c r="J308" s="8">
        <f>J302/12</f>
        <v>125000</v>
      </c>
      <c r="K308" s="30">
        <v>0</v>
      </c>
      <c r="N308" s="19"/>
    </row>
    <row r="309" spans="1:14" ht="20.25" customHeight="1">
      <c r="A309" s="2" t="s">
        <v>12</v>
      </c>
      <c r="B309" s="27"/>
      <c r="C309" s="30"/>
      <c r="D309" s="30"/>
      <c r="E309" s="30"/>
      <c r="F309" s="30"/>
      <c r="G309" s="8"/>
      <c r="H309" s="30"/>
      <c r="I309" s="30"/>
      <c r="J309" s="8"/>
      <c r="K309" s="30"/>
      <c r="N309" s="19"/>
    </row>
    <row r="310" spans="1:14" ht="21" customHeight="1">
      <c r="A310" s="47" t="s">
        <v>11</v>
      </c>
      <c r="B310" s="27"/>
      <c r="C310" s="48">
        <f>+D310</f>
        <v>100</v>
      </c>
      <c r="D310" s="48">
        <v>100</v>
      </c>
      <c r="E310" s="48">
        <v>0</v>
      </c>
      <c r="F310" s="48">
        <f>G310+H310</f>
        <v>100</v>
      </c>
      <c r="G310" s="9">
        <v>100</v>
      </c>
      <c r="H310" s="48">
        <v>0</v>
      </c>
      <c r="I310" s="48">
        <f>J310+K310</f>
        <v>100</v>
      </c>
      <c r="J310" s="9">
        <v>100</v>
      </c>
      <c r="K310" s="48">
        <v>0</v>
      </c>
      <c r="N310" s="19"/>
    </row>
    <row r="311" spans="1:14" ht="21" customHeight="1">
      <c r="A311" s="105" t="s">
        <v>95</v>
      </c>
      <c r="B311" s="27"/>
      <c r="C311" s="48"/>
      <c r="D311" s="48"/>
      <c r="E311" s="48"/>
      <c r="F311" s="48"/>
      <c r="G311" s="9"/>
      <c r="H311" s="48"/>
      <c r="I311" s="48"/>
      <c r="J311" s="9"/>
      <c r="K311" s="48"/>
      <c r="N311" s="19"/>
    </row>
    <row r="312" spans="1:14" ht="132.75" customHeight="1">
      <c r="A312" s="3" t="s">
        <v>252</v>
      </c>
      <c r="B312" s="27"/>
      <c r="C312" s="28">
        <f>D312+E312</f>
        <v>0</v>
      </c>
      <c r="D312" s="28">
        <v>0</v>
      </c>
      <c r="E312" s="28">
        <v>0</v>
      </c>
      <c r="F312" s="28">
        <f>G312+H312</f>
        <v>0</v>
      </c>
      <c r="G312" s="4">
        <v>0</v>
      </c>
      <c r="H312" s="28">
        <v>0</v>
      </c>
      <c r="I312" s="28">
        <f>J312+K312</f>
        <v>369100</v>
      </c>
      <c r="J312" s="4">
        <v>369100</v>
      </c>
      <c r="K312" s="28">
        <v>0</v>
      </c>
      <c r="N312" s="19"/>
    </row>
    <row r="313" spans="1:14" ht="21" customHeight="1">
      <c r="A313" s="5" t="s">
        <v>4</v>
      </c>
      <c r="B313" s="27"/>
      <c r="C313" s="48"/>
      <c r="D313" s="48"/>
      <c r="E313" s="48"/>
      <c r="F313" s="48"/>
      <c r="G313" s="9"/>
      <c r="H313" s="48"/>
      <c r="I313" s="48"/>
      <c r="J313" s="9"/>
      <c r="K313" s="48"/>
      <c r="N313" s="19"/>
    </row>
    <row r="314" spans="1:12" ht="7.5" customHeight="1">
      <c r="A314" s="21"/>
      <c r="B314" s="12"/>
      <c r="C314" s="22"/>
      <c r="D314" s="22"/>
      <c r="E314" s="22"/>
      <c r="F314" s="22"/>
      <c r="G314" s="22"/>
      <c r="H314" s="22"/>
      <c r="I314" s="22"/>
      <c r="J314" s="22"/>
      <c r="K314" s="22"/>
      <c r="L314" s="22"/>
    </row>
    <row r="315" spans="1:12" ht="26.25" customHeight="1">
      <c r="A315" s="11"/>
      <c r="B315" s="12"/>
      <c r="C315" s="13"/>
      <c r="D315" s="13"/>
      <c r="E315" s="13"/>
      <c r="F315" s="13"/>
      <c r="G315" s="13"/>
      <c r="H315" s="13"/>
      <c r="I315" s="166" t="s">
        <v>191</v>
      </c>
      <c r="J315" s="166"/>
      <c r="K315" s="166"/>
      <c r="L315" s="13"/>
    </row>
    <row r="316" spans="1:12" ht="14.25">
      <c r="A316" s="14">
        <v>1</v>
      </c>
      <c r="B316" s="15">
        <v>2</v>
      </c>
      <c r="C316" s="16">
        <v>3</v>
      </c>
      <c r="D316" s="16">
        <v>4</v>
      </c>
      <c r="E316" s="16">
        <v>5</v>
      </c>
      <c r="F316" s="16">
        <v>6</v>
      </c>
      <c r="G316" s="16">
        <v>7</v>
      </c>
      <c r="H316" s="16">
        <v>8</v>
      </c>
      <c r="I316" s="16">
        <v>9</v>
      </c>
      <c r="J316" s="16">
        <v>10</v>
      </c>
      <c r="K316" s="16">
        <v>11</v>
      </c>
      <c r="L316" s="23"/>
    </row>
    <row r="317" spans="1:14" ht="21" customHeight="1">
      <c r="A317" s="7" t="s">
        <v>5</v>
      </c>
      <c r="B317" s="27"/>
      <c r="C317" s="48"/>
      <c r="D317" s="48"/>
      <c r="E317" s="48"/>
      <c r="F317" s="48"/>
      <c r="G317" s="9"/>
      <c r="H317" s="48"/>
      <c r="I317" s="48"/>
      <c r="J317" s="9"/>
      <c r="K317" s="48"/>
      <c r="N317" s="19"/>
    </row>
    <row r="318" spans="1:14" ht="66.75" customHeight="1">
      <c r="A318" s="53" t="s">
        <v>249</v>
      </c>
      <c r="B318" s="27"/>
      <c r="C318" s="29">
        <f>D318+E318</f>
        <v>0</v>
      </c>
      <c r="D318" s="29">
        <v>0</v>
      </c>
      <c r="E318" s="29">
        <v>0</v>
      </c>
      <c r="F318" s="29">
        <f>G318+H318</f>
        <v>0</v>
      </c>
      <c r="G318" s="17">
        <v>0</v>
      </c>
      <c r="H318" s="29">
        <v>0</v>
      </c>
      <c r="I318" s="29">
        <f>J318+K318</f>
        <v>1420</v>
      </c>
      <c r="J318" s="17">
        <v>1420</v>
      </c>
      <c r="K318" s="29">
        <v>0</v>
      </c>
      <c r="N318" s="19"/>
    </row>
    <row r="319" spans="1:14" ht="33.75" customHeight="1">
      <c r="A319" s="53" t="s">
        <v>45</v>
      </c>
      <c r="B319" s="27"/>
      <c r="C319" s="29">
        <f>D319+E319</f>
        <v>0</v>
      </c>
      <c r="D319" s="29">
        <v>0</v>
      </c>
      <c r="E319" s="29">
        <v>0</v>
      </c>
      <c r="F319" s="29">
        <f>G319+H319</f>
        <v>0</v>
      </c>
      <c r="G319" s="17">
        <v>0</v>
      </c>
      <c r="H319" s="29">
        <v>0</v>
      </c>
      <c r="I319" s="29">
        <f>J319+K319</f>
        <v>5</v>
      </c>
      <c r="J319" s="17">
        <v>5</v>
      </c>
      <c r="K319" s="29">
        <v>0</v>
      </c>
      <c r="N319" s="19"/>
    </row>
    <row r="320" spans="1:14" ht="21" customHeight="1">
      <c r="A320" s="158" t="s">
        <v>13</v>
      </c>
      <c r="B320" s="27"/>
      <c r="C320" s="48"/>
      <c r="D320" s="48"/>
      <c r="E320" s="48"/>
      <c r="F320" s="48"/>
      <c r="G320" s="9"/>
      <c r="H320" s="48"/>
      <c r="I320" s="48"/>
      <c r="J320" s="9"/>
      <c r="K320" s="48"/>
      <c r="N320" s="19"/>
    </row>
    <row r="321" spans="1:11" s="19" customFormat="1" ht="33.75" customHeight="1">
      <c r="A321" s="25" t="s">
        <v>250</v>
      </c>
      <c r="B321" s="27"/>
      <c r="C321" s="30">
        <f>D321+E321</f>
        <v>0</v>
      </c>
      <c r="D321" s="30">
        <v>0</v>
      </c>
      <c r="E321" s="30">
        <v>0</v>
      </c>
      <c r="F321" s="30">
        <f>G321+H321</f>
        <v>0</v>
      </c>
      <c r="G321" s="8">
        <v>0</v>
      </c>
      <c r="H321" s="30">
        <v>0</v>
      </c>
      <c r="I321" s="30">
        <f>J321+K321</f>
        <v>6151.666666666667</v>
      </c>
      <c r="J321" s="8">
        <f>J312/J319/12</f>
        <v>6151.666666666667</v>
      </c>
      <c r="K321" s="30">
        <v>0</v>
      </c>
    </row>
    <row r="322" spans="1:11" s="19" customFormat="1" ht="21" customHeight="1">
      <c r="A322" s="3" t="s">
        <v>12</v>
      </c>
      <c r="B322" s="27"/>
      <c r="C322" s="48"/>
      <c r="D322" s="48"/>
      <c r="E322" s="48"/>
      <c r="F322" s="48"/>
      <c r="G322" s="9"/>
      <c r="H322" s="48"/>
      <c r="I322" s="48"/>
      <c r="J322" s="9"/>
      <c r="K322" s="48"/>
    </row>
    <row r="323" spans="1:11" s="19" customFormat="1" ht="21" customHeight="1">
      <c r="A323" s="25" t="s">
        <v>11</v>
      </c>
      <c r="B323" s="27"/>
      <c r="C323" s="48">
        <f>D323+E323</f>
        <v>0</v>
      </c>
      <c r="D323" s="48">
        <v>0</v>
      </c>
      <c r="E323" s="48">
        <v>0</v>
      </c>
      <c r="F323" s="48">
        <f>G323+H323</f>
        <v>0</v>
      </c>
      <c r="G323" s="9">
        <v>0</v>
      </c>
      <c r="H323" s="48">
        <v>0</v>
      </c>
      <c r="I323" s="48">
        <f>J323+K323</f>
        <v>100</v>
      </c>
      <c r="J323" s="9">
        <v>100</v>
      </c>
      <c r="K323" s="48">
        <v>0</v>
      </c>
    </row>
    <row r="324" spans="1:11" s="19" customFormat="1" ht="24" customHeight="1">
      <c r="A324" s="105" t="s">
        <v>138</v>
      </c>
      <c r="B324" s="115" t="s">
        <v>139</v>
      </c>
      <c r="C324" s="48"/>
      <c r="D324" s="48"/>
      <c r="E324" s="48"/>
      <c r="F324" s="48"/>
      <c r="G324" s="9"/>
      <c r="H324" s="48"/>
      <c r="I324" s="48"/>
      <c r="J324" s="9"/>
      <c r="K324" s="48"/>
    </row>
    <row r="325" spans="1:11" s="19" customFormat="1" ht="24" customHeight="1">
      <c r="A325" s="2" t="s">
        <v>42</v>
      </c>
      <c r="B325" s="27"/>
      <c r="C325" s="48"/>
      <c r="D325" s="48"/>
      <c r="E325" s="48"/>
      <c r="F325" s="48"/>
      <c r="G325" s="9"/>
      <c r="H325" s="48"/>
      <c r="I325" s="48"/>
      <c r="J325" s="9"/>
      <c r="K325" s="48"/>
    </row>
    <row r="326" spans="1:12" s="19" customFormat="1" ht="39" customHeight="1">
      <c r="A326" s="178" t="s">
        <v>233</v>
      </c>
      <c r="B326" s="178"/>
      <c r="C326" s="178"/>
      <c r="D326" s="178"/>
      <c r="E326" s="178"/>
      <c r="F326" s="178"/>
      <c r="G326" s="178"/>
      <c r="H326" s="178"/>
      <c r="I326" s="178"/>
      <c r="J326" s="178"/>
      <c r="K326" s="178"/>
      <c r="L326" s="102"/>
    </row>
    <row r="327" spans="1:12" s="19" customFormat="1" ht="26.25" customHeight="1">
      <c r="A327" s="175" t="s">
        <v>234</v>
      </c>
      <c r="B327" s="175"/>
      <c r="C327" s="175"/>
      <c r="D327" s="175"/>
      <c r="E327" s="175"/>
      <c r="F327" s="175"/>
      <c r="G327" s="175"/>
      <c r="H327" s="175"/>
      <c r="I327" s="175"/>
      <c r="J327" s="175"/>
      <c r="K327" s="175"/>
      <c r="L327" s="104"/>
    </row>
    <row r="328" spans="1:11" s="19" customFormat="1" ht="18" customHeight="1">
      <c r="A328" s="122" t="s">
        <v>6</v>
      </c>
      <c r="B328" s="27"/>
      <c r="C328" s="48"/>
      <c r="D328" s="48"/>
      <c r="E328" s="48"/>
      <c r="F328" s="48"/>
      <c r="G328" s="9"/>
      <c r="H328" s="48"/>
      <c r="I328" s="48"/>
      <c r="J328" s="9"/>
      <c r="K328" s="48"/>
    </row>
    <row r="329" spans="1:11" s="19" customFormat="1" ht="54.75" customHeight="1">
      <c r="A329" s="123" t="s">
        <v>235</v>
      </c>
      <c r="B329" s="27"/>
      <c r="C329" s="28">
        <f>+D329+E329</f>
        <v>1743118</v>
      </c>
      <c r="D329" s="30">
        <v>1743118</v>
      </c>
      <c r="E329" s="30">
        <v>0</v>
      </c>
      <c r="F329" s="28">
        <f>G329+H329</f>
        <v>1911000</v>
      </c>
      <c r="G329" s="8">
        <v>1911000</v>
      </c>
      <c r="H329" s="8">
        <v>0</v>
      </c>
      <c r="I329" s="28">
        <f>J329+K329</f>
        <v>3400000</v>
      </c>
      <c r="J329" s="8">
        <v>3400000</v>
      </c>
      <c r="K329" s="8">
        <v>0</v>
      </c>
    </row>
    <row r="330" spans="1:11" s="19" customFormat="1" ht="18" customHeight="1">
      <c r="A330" s="1" t="s">
        <v>4</v>
      </c>
      <c r="B330" s="27"/>
      <c r="C330" s="124"/>
      <c r="D330" s="48"/>
      <c r="E330" s="48"/>
      <c r="F330" s="124"/>
      <c r="G330" s="9"/>
      <c r="H330" s="48"/>
      <c r="I330" s="124"/>
      <c r="J330" s="9"/>
      <c r="K330" s="48"/>
    </row>
    <row r="331" spans="1:11" s="19" customFormat="1" ht="18" customHeight="1">
      <c r="A331" s="24" t="s">
        <v>5</v>
      </c>
      <c r="B331" s="27"/>
      <c r="C331" s="124"/>
      <c r="D331" s="48"/>
      <c r="E331" s="48"/>
      <c r="F331" s="124"/>
      <c r="G331" s="9"/>
      <c r="H331" s="48"/>
      <c r="I331" s="124"/>
      <c r="J331" s="9"/>
      <c r="K331" s="48"/>
    </row>
    <row r="332" spans="1:11" s="19" customFormat="1" ht="36.75" customHeight="1">
      <c r="A332" s="155" t="s">
        <v>145</v>
      </c>
      <c r="B332" s="27"/>
      <c r="C332" s="117">
        <f aca="true" t="shared" si="9" ref="C332:C352">+D332+E332</f>
        <v>250</v>
      </c>
      <c r="D332" s="117">
        <v>250</v>
      </c>
      <c r="E332" s="117">
        <v>0</v>
      </c>
      <c r="F332" s="117">
        <f aca="true" t="shared" si="10" ref="F332:F352">G332+H332</f>
        <v>200</v>
      </c>
      <c r="G332" s="118">
        <v>200</v>
      </c>
      <c r="H332" s="117">
        <v>0</v>
      </c>
      <c r="I332" s="117">
        <f aca="true" t="shared" si="11" ref="I332:I352">J332+K332</f>
        <v>150</v>
      </c>
      <c r="J332" s="118">
        <v>150</v>
      </c>
      <c r="K332" s="117">
        <v>0</v>
      </c>
    </row>
    <row r="333" spans="1:11" s="19" customFormat="1" ht="31.5" customHeight="1">
      <c r="A333" s="119" t="s">
        <v>140</v>
      </c>
      <c r="B333" s="27"/>
      <c r="C333" s="117">
        <f t="shared" si="9"/>
        <v>679</v>
      </c>
      <c r="D333" s="117">
        <v>679</v>
      </c>
      <c r="E333" s="117">
        <v>0</v>
      </c>
      <c r="F333" s="117">
        <f t="shared" si="10"/>
        <v>680</v>
      </c>
      <c r="G333" s="117">
        <f>+G334+G335+G336+G337+G338</f>
        <v>680</v>
      </c>
      <c r="H333" s="117">
        <v>0</v>
      </c>
      <c r="I333" s="117">
        <f t="shared" si="11"/>
        <v>554</v>
      </c>
      <c r="J333" s="117">
        <f>+J334+J335+J336+J337+J338+J339</f>
        <v>554</v>
      </c>
      <c r="K333" s="117">
        <v>0</v>
      </c>
    </row>
    <row r="334" spans="1:11" s="19" customFormat="1" ht="17.25" customHeight="1">
      <c r="A334" s="116" t="s">
        <v>141</v>
      </c>
      <c r="B334" s="27"/>
      <c r="C334" s="117">
        <f t="shared" si="9"/>
        <v>309</v>
      </c>
      <c r="D334" s="117">
        <v>309</v>
      </c>
      <c r="E334" s="117">
        <v>0</v>
      </c>
      <c r="F334" s="117">
        <f t="shared" si="10"/>
        <v>280</v>
      </c>
      <c r="G334" s="118">
        <v>280</v>
      </c>
      <c r="H334" s="117">
        <v>0</v>
      </c>
      <c r="I334" s="117">
        <f t="shared" si="11"/>
        <v>180</v>
      </c>
      <c r="J334" s="118">
        <f>90+90</f>
        <v>180</v>
      </c>
      <c r="K334" s="117">
        <v>0</v>
      </c>
    </row>
    <row r="335" spans="1:11" s="19" customFormat="1" ht="17.25" customHeight="1">
      <c r="A335" s="116" t="s">
        <v>142</v>
      </c>
      <c r="B335" s="27"/>
      <c r="C335" s="117">
        <f t="shared" si="9"/>
        <v>332</v>
      </c>
      <c r="D335" s="117">
        <f>186+146</f>
        <v>332</v>
      </c>
      <c r="E335" s="117">
        <v>0</v>
      </c>
      <c r="F335" s="117">
        <f t="shared" si="10"/>
        <v>245</v>
      </c>
      <c r="G335" s="118">
        <v>245</v>
      </c>
      <c r="H335" s="117">
        <v>0</v>
      </c>
      <c r="I335" s="117">
        <f t="shared" si="11"/>
        <v>180</v>
      </c>
      <c r="J335" s="118">
        <f>100+80</f>
        <v>180</v>
      </c>
      <c r="K335" s="117">
        <v>0</v>
      </c>
    </row>
    <row r="336" spans="1:11" s="19" customFormat="1" ht="17.25" customHeight="1">
      <c r="A336" s="116" t="s">
        <v>143</v>
      </c>
      <c r="B336" s="27"/>
      <c r="C336" s="117">
        <f t="shared" si="9"/>
        <v>2</v>
      </c>
      <c r="D336" s="117">
        <v>2</v>
      </c>
      <c r="E336" s="117">
        <v>0</v>
      </c>
      <c r="F336" s="117">
        <f t="shared" si="10"/>
        <v>2</v>
      </c>
      <c r="G336" s="118">
        <v>2</v>
      </c>
      <c r="H336" s="117">
        <v>0</v>
      </c>
      <c r="I336" s="117">
        <f t="shared" si="11"/>
        <v>2</v>
      </c>
      <c r="J336" s="118">
        <v>2</v>
      </c>
      <c r="K336" s="117">
        <v>0</v>
      </c>
    </row>
    <row r="337" spans="1:14" ht="17.25" customHeight="1">
      <c r="A337" s="116" t="s">
        <v>144</v>
      </c>
      <c r="B337" s="27"/>
      <c r="C337" s="117">
        <f t="shared" si="9"/>
        <v>35</v>
      </c>
      <c r="D337" s="117">
        <f>15+20</f>
        <v>35</v>
      </c>
      <c r="E337" s="117">
        <v>0</v>
      </c>
      <c r="F337" s="117">
        <f t="shared" si="10"/>
        <v>151</v>
      </c>
      <c r="G337" s="118">
        <v>151</v>
      </c>
      <c r="H337" s="117">
        <v>0</v>
      </c>
      <c r="I337" s="117">
        <f t="shared" si="11"/>
        <v>118</v>
      </c>
      <c r="J337" s="118">
        <v>118</v>
      </c>
      <c r="K337" s="117">
        <v>0</v>
      </c>
      <c r="N337" s="19"/>
    </row>
    <row r="338" spans="1:14" ht="48.75" customHeight="1">
      <c r="A338" s="119" t="s">
        <v>149</v>
      </c>
      <c r="B338" s="27"/>
      <c r="C338" s="117">
        <f t="shared" si="9"/>
        <v>1</v>
      </c>
      <c r="D338" s="117">
        <v>1</v>
      </c>
      <c r="E338" s="117">
        <v>0</v>
      </c>
      <c r="F338" s="117">
        <f t="shared" si="10"/>
        <v>2</v>
      </c>
      <c r="G338" s="118">
        <v>2</v>
      </c>
      <c r="H338" s="117">
        <v>0</v>
      </c>
      <c r="I338" s="117">
        <f t="shared" si="11"/>
        <v>0</v>
      </c>
      <c r="J338" s="118">
        <v>0</v>
      </c>
      <c r="K338" s="117">
        <v>0</v>
      </c>
      <c r="N338" s="19"/>
    </row>
    <row r="339" spans="1:14" ht="33" customHeight="1">
      <c r="A339" s="156" t="s">
        <v>244</v>
      </c>
      <c r="B339" s="27"/>
      <c r="C339" s="117">
        <v>0</v>
      </c>
      <c r="D339" s="117">
        <v>0</v>
      </c>
      <c r="E339" s="117">
        <v>0</v>
      </c>
      <c r="F339" s="117">
        <v>0</v>
      </c>
      <c r="G339" s="118">
        <v>0</v>
      </c>
      <c r="H339" s="117">
        <v>0</v>
      </c>
      <c r="I339" s="117">
        <f t="shared" si="11"/>
        <v>74</v>
      </c>
      <c r="J339" s="118">
        <v>74</v>
      </c>
      <c r="K339" s="117">
        <v>0</v>
      </c>
      <c r="N339" s="19"/>
    </row>
    <row r="340" spans="1:14" ht="18" customHeight="1">
      <c r="A340" s="24" t="s">
        <v>13</v>
      </c>
      <c r="B340" s="27"/>
      <c r="C340" s="120"/>
      <c r="D340" s="48"/>
      <c r="E340" s="48"/>
      <c r="F340" s="120"/>
      <c r="G340" s="9"/>
      <c r="H340" s="48"/>
      <c r="I340" s="120"/>
      <c r="J340" s="9"/>
      <c r="K340" s="48"/>
      <c r="N340" s="19"/>
    </row>
    <row r="341" spans="1:14" ht="30.75" customHeight="1">
      <c r="A341" s="119" t="s">
        <v>154</v>
      </c>
      <c r="B341" s="27"/>
      <c r="C341" s="37">
        <f t="shared" si="9"/>
        <v>213.9320078546883</v>
      </c>
      <c r="D341" s="37">
        <f>+D329/D333/12</f>
        <v>213.9320078546883</v>
      </c>
      <c r="E341" s="37">
        <v>0</v>
      </c>
      <c r="F341" s="37">
        <f t="shared" si="10"/>
        <v>234.19117647058826</v>
      </c>
      <c r="G341" s="37">
        <f>+G329/G333/12</f>
        <v>234.19117647058826</v>
      </c>
      <c r="H341" s="37">
        <v>0</v>
      </c>
      <c r="I341" s="37">
        <f t="shared" si="11"/>
        <v>511.4320096269555</v>
      </c>
      <c r="J341" s="37">
        <f>+J329/J333/12</f>
        <v>511.4320096269555</v>
      </c>
      <c r="K341" s="37">
        <v>0</v>
      </c>
      <c r="N341" s="19"/>
    </row>
    <row r="342" spans="1:14" ht="19.5" customHeight="1">
      <c r="A342" s="116" t="s">
        <v>141</v>
      </c>
      <c r="B342" s="27"/>
      <c r="C342" s="37">
        <f t="shared" si="9"/>
        <v>256.9118122977346</v>
      </c>
      <c r="D342" s="37">
        <f>+(443685+508944)/12/D334</f>
        <v>256.9118122977346</v>
      </c>
      <c r="E342" s="37">
        <v>0</v>
      </c>
      <c r="F342" s="37">
        <f t="shared" si="10"/>
        <v>283.82619047619045</v>
      </c>
      <c r="G342" s="37">
        <f>+(485010+468646)/12/G334</f>
        <v>283.82619047619045</v>
      </c>
      <c r="H342" s="37">
        <v>0</v>
      </c>
      <c r="I342" s="37">
        <f t="shared" si="11"/>
        <v>311.3398148148148</v>
      </c>
      <c r="J342" s="37">
        <f>+(377946+294548)/12/J334</f>
        <v>311.3398148148148</v>
      </c>
      <c r="K342" s="37">
        <v>0</v>
      </c>
      <c r="N342" s="19"/>
    </row>
    <row r="343" spans="1:14" ht="19.5" customHeight="1">
      <c r="A343" s="116" t="s">
        <v>142</v>
      </c>
      <c r="B343" s="27"/>
      <c r="C343" s="37">
        <f t="shared" si="9"/>
        <v>178.05170682730923</v>
      </c>
      <c r="D343" s="37">
        <f>+(440128+269230)/12/D335</f>
        <v>178.05170682730923</v>
      </c>
      <c r="E343" s="37">
        <v>0</v>
      </c>
      <c r="F343" s="37">
        <f t="shared" si="10"/>
        <v>191.79455782312925</v>
      </c>
      <c r="G343" s="37">
        <f>+(310406+253470)/12/G335</f>
        <v>191.79455782312925</v>
      </c>
      <c r="H343" s="37">
        <v>0</v>
      </c>
      <c r="I343" s="37">
        <f t="shared" si="11"/>
        <v>210.4199074074074</v>
      </c>
      <c r="J343" s="37">
        <f>+(279960+174547)/12/J335</f>
        <v>210.4199074074074</v>
      </c>
      <c r="K343" s="37">
        <v>0</v>
      </c>
      <c r="N343" s="19"/>
    </row>
    <row r="344" spans="1:14" ht="19.5" customHeight="1">
      <c r="A344" s="116" t="s">
        <v>143</v>
      </c>
      <c r="B344" s="27"/>
      <c r="C344" s="37">
        <f t="shared" si="9"/>
        <v>197.19</v>
      </c>
      <c r="D344" s="148">
        <v>197.19</v>
      </c>
      <c r="E344" s="37">
        <v>0</v>
      </c>
      <c r="F344" s="37">
        <f t="shared" si="10"/>
        <v>215.56</v>
      </c>
      <c r="G344" s="37">
        <v>215.56</v>
      </c>
      <c r="H344" s="37">
        <v>0</v>
      </c>
      <c r="I344" s="37">
        <f t="shared" si="11"/>
        <v>233.30166666666665</v>
      </c>
      <c r="J344" s="37">
        <f>5599/12/J336+0.01</f>
        <v>233.30166666666665</v>
      </c>
      <c r="K344" s="37">
        <v>0</v>
      </c>
      <c r="N344" s="19"/>
    </row>
    <row r="345" spans="1:14" ht="19.5" customHeight="1">
      <c r="A345" s="116" t="s">
        <v>144</v>
      </c>
      <c r="B345" s="27"/>
      <c r="C345" s="37">
        <f t="shared" si="9"/>
        <v>178.5404761904762</v>
      </c>
      <c r="D345" s="148">
        <f>+(47326+27661)/12/D337</f>
        <v>178.5404761904762</v>
      </c>
      <c r="E345" s="37">
        <v>0</v>
      </c>
      <c r="F345" s="37">
        <f t="shared" si="10"/>
        <v>212.40949227373068</v>
      </c>
      <c r="G345" s="37">
        <f>+(364728+20158)/12/G337</f>
        <v>212.40949227373068</v>
      </c>
      <c r="H345" s="37">
        <v>0</v>
      </c>
      <c r="I345" s="37">
        <f t="shared" si="11"/>
        <v>228.93714689265536</v>
      </c>
      <c r="J345" s="37">
        <f>+(302357+21818)/12/J337</f>
        <v>228.93714689265536</v>
      </c>
      <c r="K345" s="37">
        <v>0</v>
      </c>
      <c r="N345" s="19"/>
    </row>
    <row r="346" spans="1:14" ht="48.75" customHeight="1">
      <c r="A346" s="119" t="s">
        <v>149</v>
      </c>
      <c r="B346" s="27"/>
      <c r="C346" s="37">
        <f t="shared" si="9"/>
        <v>107.57</v>
      </c>
      <c r="D346" s="37">
        <v>107.57</v>
      </c>
      <c r="E346" s="37">
        <v>0</v>
      </c>
      <c r="F346" s="37">
        <f t="shared" si="10"/>
        <v>134.25</v>
      </c>
      <c r="G346" s="37">
        <f>+(1411+1811)/12/G338</f>
        <v>134.25</v>
      </c>
      <c r="H346" s="37">
        <v>0</v>
      </c>
      <c r="I346" s="37">
        <f t="shared" si="11"/>
        <v>0</v>
      </c>
      <c r="J346" s="37">
        <v>0</v>
      </c>
      <c r="K346" s="37">
        <v>0</v>
      </c>
      <c r="N346" s="19"/>
    </row>
    <row r="347" spans="1:14" ht="31.5" customHeight="1">
      <c r="A347" s="156" t="s">
        <v>244</v>
      </c>
      <c r="B347" s="27"/>
      <c r="C347" s="37">
        <v>0</v>
      </c>
      <c r="D347" s="37">
        <v>0</v>
      </c>
      <c r="E347" s="37">
        <v>0</v>
      </c>
      <c r="F347" s="37">
        <v>0</v>
      </c>
      <c r="G347" s="37">
        <v>0</v>
      </c>
      <c r="H347" s="37">
        <v>0</v>
      </c>
      <c r="I347" s="37">
        <f t="shared" si="11"/>
        <v>2189</v>
      </c>
      <c r="J347" s="37">
        <f>+(1943832)/12/J339</f>
        <v>2189</v>
      </c>
      <c r="K347" s="37">
        <v>0</v>
      </c>
      <c r="N347" s="19"/>
    </row>
    <row r="348" spans="1:12" ht="7.5" customHeight="1">
      <c r="A348" s="21"/>
      <c r="B348" s="12"/>
      <c r="C348" s="22"/>
      <c r="D348" s="22"/>
      <c r="E348" s="22"/>
      <c r="F348" s="22"/>
      <c r="G348" s="22"/>
      <c r="H348" s="22"/>
      <c r="I348" s="22"/>
      <c r="J348" s="22"/>
      <c r="K348" s="22"/>
      <c r="L348" s="22"/>
    </row>
    <row r="349" spans="1:12" ht="26.25" customHeight="1">
      <c r="A349" s="11"/>
      <c r="B349" s="12"/>
      <c r="C349" s="13"/>
      <c r="D349" s="13"/>
      <c r="E349" s="13"/>
      <c r="F349" s="13"/>
      <c r="G349" s="13"/>
      <c r="H349" s="13"/>
      <c r="I349" s="166" t="s">
        <v>191</v>
      </c>
      <c r="J349" s="166"/>
      <c r="K349" s="166"/>
      <c r="L349" s="13"/>
    </row>
    <row r="350" spans="1:12" ht="14.25">
      <c r="A350" s="14">
        <v>1</v>
      </c>
      <c r="B350" s="15">
        <v>2</v>
      </c>
      <c r="C350" s="16">
        <v>3</v>
      </c>
      <c r="D350" s="16">
        <v>4</v>
      </c>
      <c r="E350" s="16">
        <v>5</v>
      </c>
      <c r="F350" s="16">
        <v>6</v>
      </c>
      <c r="G350" s="16">
        <v>7</v>
      </c>
      <c r="H350" s="16">
        <v>8</v>
      </c>
      <c r="I350" s="16">
        <v>9</v>
      </c>
      <c r="J350" s="16">
        <v>10</v>
      </c>
      <c r="K350" s="16">
        <v>11</v>
      </c>
      <c r="L350" s="23"/>
    </row>
    <row r="351" spans="1:14" ht="20.25" customHeight="1">
      <c r="A351" s="121" t="s">
        <v>12</v>
      </c>
      <c r="B351" s="27"/>
      <c r="C351" s="37"/>
      <c r="D351" s="37"/>
      <c r="E351" s="37"/>
      <c r="F351" s="37"/>
      <c r="G351" s="108"/>
      <c r="H351" s="37"/>
      <c r="I351" s="37"/>
      <c r="J351" s="108"/>
      <c r="K351" s="37"/>
      <c r="N351" s="19"/>
    </row>
    <row r="352" spans="1:14" ht="35.25" customHeight="1">
      <c r="A352" s="149" t="s">
        <v>146</v>
      </c>
      <c r="B352" s="27"/>
      <c r="C352" s="37">
        <f t="shared" si="9"/>
        <v>100</v>
      </c>
      <c r="D352" s="37">
        <v>100</v>
      </c>
      <c r="E352" s="37">
        <v>0</v>
      </c>
      <c r="F352" s="37">
        <f t="shared" si="10"/>
        <v>100</v>
      </c>
      <c r="G352" s="108">
        <v>100</v>
      </c>
      <c r="H352" s="37">
        <v>0</v>
      </c>
      <c r="I352" s="37">
        <f t="shared" si="11"/>
        <v>100</v>
      </c>
      <c r="J352" s="108">
        <v>100</v>
      </c>
      <c r="K352" s="37">
        <v>0</v>
      </c>
      <c r="N352" s="19"/>
    </row>
    <row r="353" spans="1:12" ht="21.75" customHeight="1">
      <c r="A353" s="105" t="s">
        <v>102</v>
      </c>
      <c r="B353" s="115" t="s">
        <v>103</v>
      </c>
      <c r="C353" s="113"/>
      <c r="D353" s="113"/>
      <c r="E353" s="113"/>
      <c r="F353" s="113"/>
      <c r="G353" s="113"/>
      <c r="H353" s="113"/>
      <c r="I353" s="113"/>
      <c r="J353" s="113"/>
      <c r="K353" s="113"/>
      <c r="L353" s="100"/>
    </row>
    <row r="354" spans="1:14" ht="21.75" customHeight="1">
      <c r="A354" s="2" t="s">
        <v>42</v>
      </c>
      <c r="B354" s="27"/>
      <c r="C354" s="36"/>
      <c r="D354" s="36"/>
      <c r="E354" s="36"/>
      <c r="F354" s="36"/>
      <c r="G354" s="36"/>
      <c r="H354" s="36"/>
      <c r="I354" s="36"/>
      <c r="J354" s="36"/>
      <c r="K354" s="36"/>
      <c r="N354" s="19"/>
    </row>
    <row r="355" spans="1:12" ht="35.25" customHeight="1">
      <c r="A355" s="178" t="s">
        <v>223</v>
      </c>
      <c r="B355" s="178"/>
      <c r="C355" s="178"/>
      <c r="D355" s="178"/>
      <c r="E355" s="178"/>
      <c r="F355" s="178"/>
      <c r="G355" s="178"/>
      <c r="H355" s="178"/>
      <c r="I355" s="178"/>
      <c r="J355" s="178"/>
      <c r="K355" s="178"/>
      <c r="L355" s="102"/>
    </row>
    <row r="356" spans="1:12" ht="21.75" customHeight="1">
      <c r="A356" s="168" t="s">
        <v>43</v>
      </c>
      <c r="B356" s="168"/>
      <c r="C356" s="168"/>
      <c r="D356" s="168"/>
      <c r="E356" s="168"/>
      <c r="F356" s="168"/>
      <c r="G356" s="168"/>
      <c r="H356" s="168"/>
      <c r="I356" s="168"/>
      <c r="J356" s="168"/>
      <c r="K356" s="168"/>
      <c r="L356" s="104"/>
    </row>
    <row r="357" spans="1:12" ht="21.75" customHeight="1">
      <c r="A357" s="122" t="s">
        <v>6</v>
      </c>
      <c r="B357" s="110"/>
      <c r="C357" s="28">
        <f>+D357+E357</f>
        <v>73900</v>
      </c>
      <c r="D357" s="28">
        <f>+D358</f>
        <v>73900</v>
      </c>
      <c r="E357" s="28">
        <v>0</v>
      </c>
      <c r="F357" s="28">
        <f>+H357+G357</f>
        <v>70000</v>
      </c>
      <c r="G357" s="28">
        <f>+G358</f>
        <v>70000</v>
      </c>
      <c r="H357" s="28">
        <v>0</v>
      </c>
      <c r="I357" s="28">
        <f>+K357+J357</f>
        <v>130000</v>
      </c>
      <c r="J357" s="28">
        <f>+J358</f>
        <v>130000</v>
      </c>
      <c r="K357" s="28">
        <v>0</v>
      </c>
      <c r="L357" s="125"/>
    </row>
    <row r="358" spans="1:12" ht="55.5" customHeight="1">
      <c r="A358" s="123" t="s">
        <v>147</v>
      </c>
      <c r="B358" s="111"/>
      <c r="C358" s="30">
        <f>D358+E358</f>
        <v>73900</v>
      </c>
      <c r="D358" s="30">
        <v>73900</v>
      </c>
      <c r="E358" s="30">
        <v>0</v>
      </c>
      <c r="F358" s="30">
        <f>G358+H358</f>
        <v>70000</v>
      </c>
      <c r="G358" s="30">
        <v>70000</v>
      </c>
      <c r="H358" s="30">
        <v>0</v>
      </c>
      <c r="I358" s="30">
        <f>J358+K358</f>
        <v>130000</v>
      </c>
      <c r="J358" s="30">
        <f>78000+52000</f>
        <v>130000</v>
      </c>
      <c r="K358" s="30">
        <v>0</v>
      </c>
      <c r="L358" s="100"/>
    </row>
    <row r="359" spans="1:12" ht="21.75" customHeight="1">
      <c r="A359" s="98" t="s">
        <v>84</v>
      </c>
      <c r="B359" s="99" t="s">
        <v>85</v>
      </c>
      <c r="C359" s="1"/>
      <c r="D359" s="1"/>
      <c r="E359" s="1"/>
      <c r="F359" s="1"/>
      <c r="G359" s="1"/>
      <c r="H359" s="1"/>
      <c r="I359" s="1"/>
      <c r="J359" s="1"/>
      <c r="K359" s="1"/>
      <c r="L359" s="21"/>
    </row>
    <row r="360" spans="1:13" ht="27.75" customHeight="1">
      <c r="A360" s="2" t="s">
        <v>27</v>
      </c>
      <c r="B360" s="1"/>
      <c r="C360" s="1"/>
      <c r="D360" s="1"/>
      <c r="E360" s="1"/>
      <c r="F360" s="1"/>
      <c r="G360" s="1"/>
      <c r="H360" s="1"/>
      <c r="I360" s="1"/>
      <c r="J360" s="1"/>
      <c r="K360" s="1"/>
      <c r="L360" s="21"/>
      <c r="M360" s="66"/>
    </row>
    <row r="361" spans="1:12" ht="35.25" customHeight="1">
      <c r="A361" s="179" t="s">
        <v>224</v>
      </c>
      <c r="B361" s="179"/>
      <c r="C361" s="179"/>
      <c r="D361" s="179"/>
      <c r="E361" s="179"/>
      <c r="F361" s="179"/>
      <c r="G361" s="179"/>
      <c r="H361" s="179"/>
      <c r="I361" s="179"/>
      <c r="J361" s="179"/>
      <c r="K361" s="179"/>
      <c r="L361" s="82"/>
    </row>
    <row r="362" spans="1:12" ht="21.75" customHeight="1">
      <c r="A362" s="172" t="s">
        <v>120</v>
      </c>
      <c r="B362" s="172"/>
      <c r="C362" s="172"/>
      <c r="D362" s="172"/>
      <c r="E362" s="172"/>
      <c r="F362" s="172"/>
      <c r="G362" s="172"/>
      <c r="H362" s="172"/>
      <c r="I362" s="172"/>
      <c r="J362" s="172"/>
      <c r="K362" s="172"/>
      <c r="L362" s="126"/>
    </row>
    <row r="363" spans="1:12" ht="21.75" customHeight="1">
      <c r="A363" s="131" t="s">
        <v>6</v>
      </c>
      <c r="B363" s="132"/>
      <c r="C363" s="10">
        <f>+D363</f>
        <v>17386</v>
      </c>
      <c r="D363" s="10">
        <f>+D364+D374+D387</f>
        <v>17386</v>
      </c>
      <c r="E363" s="10">
        <v>0</v>
      </c>
      <c r="F363" s="10">
        <f>+G363</f>
        <v>4170</v>
      </c>
      <c r="G363" s="10">
        <f>+G364+G374+G387</f>
        <v>4170</v>
      </c>
      <c r="H363" s="10">
        <v>0</v>
      </c>
      <c r="I363" s="10">
        <f>+J363</f>
        <v>11525</v>
      </c>
      <c r="J363" s="10">
        <f>+J364+J374+J387</f>
        <v>11525</v>
      </c>
      <c r="K363" s="10">
        <v>0</v>
      </c>
      <c r="L363" s="133"/>
    </row>
    <row r="364" spans="1:12" ht="43.5" customHeight="1">
      <c r="A364" s="3" t="s">
        <v>125</v>
      </c>
      <c r="B364" s="1"/>
      <c r="C364" s="4">
        <f>D364+E364</f>
        <v>5184</v>
      </c>
      <c r="D364" s="4">
        <v>5184</v>
      </c>
      <c r="E364" s="4">
        <v>0</v>
      </c>
      <c r="F364" s="4">
        <f>G364+H364</f>
        <v>0</v>
      </c>
      <c r="G364" s="4">
        <v>0</v>
      </c>
      <c r="H364" s="4">
        <v>0</v>
      </c>
      <c r="I364" s="4">
        <f>J364+K364</f>
        <v>0</v>
      </c>
      <c r="J364" s="4">
        <v>0</v>
      </c>
      <c r="K364" s="4">
        <v>0</v>
      </c>
      <c r="L364" s="127"/>
    </row>
    <row r="365" spans="1:12" ht="17.25" customHeight="1">
      <c r="A365" s="5" t="s">
        <v>4</v>
      </c>
      <c r="B365" s="1"/>
      <c r="C365" s="6"/>
      <c r="D365" s="6"/>
      <c r="E365" s="6"/>
      <c r="F365" s="6"/>
      <c r="G365" s="6"/>
      <c r="H365" s="6"/>
      <c r="I365" s="6"/>
      <c r="J365" s="6"/>
      <c r="K365" s="6"/>
      <c r="L365" s="127"/>
    </row>
    <row r="366" spans="1:12" ht="17.25" customHeight="1">
      <c r="A366" s="7" t="s">
        <v>5</v>
      </c>
      <c r="B366" s="1"/>
      <c r="C366" s="6"/>
      <c r="D366" s="6"/>
      <c r="E366" s="6"/>
      <c r="F366" s="6"/>
      <c r="G366" s="6"/>
      <c r="H366" s="6"/>
      <c r="I366" s="6"/>
      <c r="J366" s="6"/>
      <c r="K366" s="6"/>
      <c r="L366" s="127"/>
    </row>
    <row r="367" spans="1:12" ht="30" customHeight="1">
      <c r="A367" s="5" t="s">
        <v>118</v>
      </c>
      <c r="B367" s="1"/>
      <c r="C367" s="128">
        <f>D367+E367</f>
        <v>2</v>
      </c>
      <c r="D367" s="128">
        <v>2</v>
      </c>
      <c r="E367" s="128">
        <v>0</v>
      </c>
      <c r="F367" s="128">
        <f>G367+H367</f>
        <v>0</v>
      </c>
      <c r="G367" s="128">
        <v>0</v>
      </c>
      <c r="H367" s="128">
        <v>0</v>
      </c>
      <c r="I367" s="128">
        <f>J367+K367</f>
        <v>0</v>
      </c>
      <c r="J367" s="128">
        <v>0</v>
      </c>
      <c r="K367" s="128">
        <v>0</v>
      </c>
      <c r="L367" s="127"/>
    </row>
    <row r="368" spans="1:12" ht="47.25" customHeight="1">
      <c r="A368" s="5" t="s">
        <v>86</v>
      </c>
      <c r="B368" s="1"/>
      <c r="C368" s="128">
        <f>+D368</f>
        <v>1</v>
      </c>
      <c r="D368" s="128">
        <v>1</v>
      </c>
      <c r="E368" s="128">
        <v>0</v>
      </c>
      <c r="F368" s="128">
        <f>+G368</f>
        <v>0</v>
      </c>
      <c r="G368" s="128">
        <v>0</v>
      </c>
      <c r="H368" s="128">
        <v>0</v>
      </c>
      <c r="I368" s="128">
        <f>J368+K368</f>
        <v>0</v>
      </c>
      <c r="J368" s="128">
        <v>0</v>
      </c>
      <c r="K368" s="128">
        <v>0</v>
      </c>
      <c r="L368" s="127"/>
    </row>
    <row r="369" spans="1:12" ht="26.25" customHeight="1">
      <c r="A369" s="5" t="s">
        <v>186</v>
      </c>
      <c r="B369" s="1"/>
      <c r="C369" s="128">
        <f>D369+E369</f>
        <v>160</v>
      </c>
      <c r="D369" s="128">
        <v>160</v>
      </c>
      <c r="E369" s="128">
        <v>0</v>
      </c>
      <c r="F369" s="128">
        <f>G369+H369</f>
        <v>0</v>
      </c>
      <c r="G369" s="128">
        <v>0</v>
      </c>
      <c r="H369" s="128">
        <v>0</v>
      </c>
      <c r="I369" s="128">
        <f>J369+K369</f>
        <v>0</v>
      </c>
      <c r="J369" s="128">
        <v>0</v>
      </c>
      <c r="K369" s="128">
        <v>0</v>
      </c>
      <c r="L369" s="127"/>
    </row>
    <row r="370" spans="1:12" ht="17.25" customHeight="1">
      <c r="A370" s="7" t="s">
        <v>13</v>
      </c>
      <c r="B370" s="1"/>
      <c r="C370" s="6"/>
      <c r="D370" s="6"/>
      <c r="E370" s="6"/>
      <c r="F370" s="6"/>
      <c r="G370" s="6"/>
      <c r="H370" s="6"/>
      <c r="I370" s="6"/>
      <c r="J370" s="6"/>
      <c r="K370" s="6"/>
      <c r="L370" s="127"/>
    </row>
    <row r="371" spans="1:12" ht="17.25" customHeight="1">
      <c r="A371" s="5" t="s">
        <v>33</v>
      </c>
      <c r="B371" s="1"/>
      <c r="C371" s="8">
        <f>D371+E371</f>
        <v>10.8</v>
      </c>
      <c r="D371" s="8">
        <f>+D364/3/D369</f>
        <v>10.8</v>
      </c>
      <c r="E371" s="8">
        <v>0</v>
      </c>
      <c r="F371" s="8">
        <f>G371+H371</f>
        <v>0</v>
      </c>
      <c r="G371" s="8">
        <v>0</v>
      </c>
      <c r="H371" s="8">
        <v>0</v>
      </c>
      <c r="I371" s="8">
        <f>J371+K371</f>
        <v>0</v>
      </c>
      <c r="J371" s="8">
        <v>0</v>
      </c>
      <c r="K371" s="8">
        <v>0</v>
      </c>
      <c r="L371" s="127"/>
    </row>
    <row r="372" spans="1:12" ht="17.25" customHeight="1">
      <c r="A372" s="3" t="s">
        <v>12</v>
      </c>
      <c r="B372" s="1"/>
      <c r="C372" s="6"/>
      <c r="D372" s="6"/>
      <c r="E372" s="6"/>
      <c r="F372" s="6"/>
      <c r="G372" s="6"/>
      <c r="H372" s="6"/>
      <c r="I372" s="6"/>
      <c r="J372" s="6"/>
      <c r="K372" s="6"/>
      <c r="L372" s="127"/>
    </row>
    <row r="373" spans="1:12" ht="21" customHeight="1">
      <c r="A373" s="5" t="s">
        <v>35</v>
      </c>
      <c r="B373" s="1"/>
      <c r="C373" s="6">
        <f>D373+E373</f>
        <v>63.49050826699326</v>
      </c>
      <c r="D373" s="6">
        <f>+D364/8165*100</f>
        <v>63.49050826699326</v>
      </c>
      <c r="E373" s="6">
        <v>0</v>
      </c>
      <c r="F373" s="6">
        <f>G373+H373</f>
        <v>0</v>
      </c>
      <c r="G373" s="6">
        <f>+G364/D364*100</f>
        <v>0</v>
      </c>
      <c r="H373" s="6">
        <v>0</v>
      </c>
      <c r="I373" s="6">
        <f>J373+K373</f>
        <v>0</v>
      </c>
      <c r="J373" s="6">
        <v>0</v>
      </c>
      <c r="K373" s="6">
        <v>0</v>
      </c>
      <c r="L373" s="127"/>
    </row>
    <row r="374" spans="1:12" ht="35.25" customHeight="1">
      <c r="A374" s="3" t="s">
        <v>126</v>
      </c>
      <c r="B374" s="1"/>
      <c r="C374" s="4">
        <f>D374+E374</f>
        <v>11642</v>
      </c>
      <c r="D374" s="4">
        <v>11642</v>
      </c>
      <c r="E374" s="4">
        <v>0</v>
      </c>
      <c r="F374" s="4">
        <f>G374+H374</f>
        <v>4000</v>
      </c>
      <c r="G374" s="4">
        <v>4000</v>
      </c>
      <c r="H374" s="4">
        <v>0</v>
      </c>
      <c r="I374" s="4">
        <f>J374+K374</f>
        <v>10575</v>
      </c>
      <c r="J374" s="4">
        <v>10575</v>
      </c>
      <c r="K374" s="4">
        <v>0</v>
      </c>
      <c r="L374" s="127"/>
    </row>
    <row r="375" spans="1:12" ht="20.25" customHeight="1">
      <c r="A375" s="5" t="s">
        <v>4</v>
      </c>
      <c r="B375" s="1"/>
      <c r="C375" s="6"/>
      <c r="D375" s="6"/>
      <c r="E375" s="6"/>
      <c r="F375" s="6"/>
      <c r="G375" s="6"/>
      <c r="H375" s="6"/>
      <c r="I375" s="6"/>
      <c r="J375" s="6"/>
      <c r="K375" s="6"/>
      <c r="L375" s="127"/>
    </row>
    <row r="376" spans="1:12" ht="20.25" customHeight="1">
      <c r="A376" s="7" t="s">
        <v>5</v>
      </c>
      <c r="B376" s="1"/>
      <c r="C376" s="6"/>
      <c r="D376" s="6"/>
      <c r="E376" s="6"/>
      <c r="F376" s="6"/>
      <c r="G376" s="6"/>
      <c r="H376" s="6"/>
      <c r="I376" s="6"/>
      <c r="J376" s="6"/>
      <c r="K376" s="6"/>
      <c r="L376" s="127"/>
    </row>
    <row r="377" spans="1:12" ht="30.75" customHeight="1">
      <c r="A377" s="5" t="s">
        <v>118</v>
      </c>
      <c r="B377" s="1"/>
      <c r="C377" s="128">
        <f>D377+E377</f>
        <v>4</v>
      </c>
      <c r="D377" s="128">
        <v>4</v>
      </c>
      <c r="E377" s="128">
        <v>0</v>
      </c>
      <c r="F377" s="128">
        <f>G377+H377</f>
        <v>2</v>
      </c>
      <c r="G377" s="128">
        <v>2</v>
      </c>
      <c r="H377" s="128">
        <v>0</v>
      </c>
      <c r="I377" s="128">
        <f>J377+K377</f>
        <v>5</v>
      </c>
      <c r="J377" s="128">
        <v>5</v>
      </c>
      <c r="K377" s="128">
        <v>0</v>
      </c>
      <c r="L377" s="127"/>
    </row>
    <row r="378" spans="1:12" ht="46.5" customHeight="1">
      <c r="A378" s="5" t="s">
        <v>86</v>
      </c>
      <c r="B378" s="1"/>
      <c r="C378" s="128">
        <f>+D378</f>
        <v>1</v>
      </c>
      <c r="D378" s="128">
        <v>1</v>
      </c>
      <c r="E378" s="128">
        <v>0</v>
      </c>
      <c r="F378" s="128">
        <v>0</v>
      </c>
      <c r="G378" s="128">
        <v>0</v>
      </c>
      <c r="H378" s="128">
        <v>0</v>
      </c>
      <c r="I378" s="128">
        <f>+J378</f>
        <v>0</v>
      </c>
      <c r="J378" s="128">
        <v>0</v>
      </c>
      <c r="K378" s="128">
        <v>0</v>
      </c>
      <c r="L378" s="127"/>
    </row>
    <row r="379" spans="1:12" ht="28.5" customHeight="1">
      <c r="A379" s="5" t="s">
        <v>186</v>
      </c>
      <c r="B379" s="1"/>
      <c r="C379" s="128">
        <f>D379+E379</f>
        <v>176</v>
      </c>
      <c r="D379" s="128">
        <v>176</v>
      </c>
      <c r="E379" s="128">
        <v>0</v>
      </c>
      <c r="F379" s="128">
        <f>G379+H379</f>
        <v>133</v>
      </c>
      <c r="G379" s="128">
        <v>133</v>
      </c>
      <c r="H379" s="128">
        <v>0</v>
      </c>
      <c r="I379" s="128">
        <f>J379+K379</f>
        <v>141</v>
      </c>
      <c r="J379" s="128">
        <v>141</v>
      </c>
      <c r="K379" s="128">
        <v>0</v>
      </c>
      <c r="L379" s="127"/>
    </row>
    <row r="380" spans="1:12" ht="20.25" customHeight="1">
      <c r="A380" s="7" t="s">
        <v>13</v>
      </c>
      <c r="B380" s="1"/>
      <c r="C380" s="6"/>
      <c r="D380" s="6"/>
      <c r="E380" s="6"/>
      <c r="F380" s="6"/>
      <c r="G380" s="6"/>
      <c r="H380" s="6"/>
      <c r="I380" s="6"/>
      <c r="J380" s="6"/>
      <c r="K380" s="6"/>
      <c r="L380" s="127"/>
    </row>
    <row r="381" spans="1:12" ht="20.25" customHeight="1">
      <c r="A381" s="5" t="s">
        <v>33</v>
      </c>
      <c r="B381" s="1"/>
      <c r="C381" s="8">
        <f>D381+E381</f>
        <v>13.2</v>
      </c>
      <c r="D381" s="8">
        <v>13.2</v>
      </c>
      <c r="E381" s="8">
        <v>0</v>
      </c>
      <c r="F381" s="8">
        <f>G381+H381</f>
        <v>14.997593984962407</v>
      </c>
      <c r="G381" s="8">
        <f>+G374/(G377+G378)/G379-0.04</f>
        <v>14.997593984962407</v>
      </c>
      <c r="H381" s="8">
        <v>0</v>
      </c>
      <c r="I381" s="8">
        <f>J381+K381</f>
        <v>15</v>
      </c>
      <c r="J381" s="8">
        <f>+J374/(J377+J378)/J379</f>
        <v>15</v>
      </c>
      <c r="K381" s="8">
        <v>0</v>
      </c>
      <c r="L381" s="127"/>
    </row>
    <row r="382" spans="1:12" ht="7.5" customHeight="1">
      <c r="A382" s="21"/>
      <c r="B382" s="12"/>
      <c r="C382" s="22"/>
      <c r="D382" s="22"/>
      <c r="E382" s="22"/>
      <c r="F382" s="22"/>
      <c r="G382" s="22"/>
      <c r="H382" s="22"/>
      <c r="I382" s="22"/>
      <c r="J382" s="22"/>
      <c r="K382" s="22"/>
      <c r="L382" s="22"/>
    </row>
    <row r="383" spans="1:12" ht="26.25" customHeight="1">
      <c r="A383" s="11"/>
      <c r="B383" s="12"/>
      <c r="C383" s="13"/>
      <c r="D383" s="13"/>
      <c r="E383" s="13"/>
      <c r="F383" s="13"/>
      <c r="G383" s="13"/>
      <c r="H383" s="13"/>
      <c r="I383" s="166" t="s">
        <v>191</v>
      </c>
      <c r="J383" s="166"/>
      <c r="K383" s="166"/>
      <c r="L383" s="13"/>
    </row>
    <row r="384" spans="1:12" ht="14.25">
      <c r="A384" s="14">
        <v>1</v>
      </c>
      <c r="B384" s="15">
        <v>2</v>
      </c>
      <c r="C384" s="16">
        <v>3</v>
      </c>
      <c r="D384" s="16">
        <v>4</v>
      </c>
      <c r="E384" s="16">
        <v>5</v>
      </c>
      <c r="F384" s="16">
        <v>6</v>
      </c>
      <c r="G384" s="16">
        <v>7</v>
      </c>
      <c r="H384" s="16">
        <v>8</v>
      </c>
      <c r="I384" s="16">
        <v>9</v>
      </c>
      <c r="J384" s="16">
        <v>10</v>
      </c>
      <c r="K384" s="16">
        <v>11</v>
      </c>
      <c r="L384" s="23"/>
    </row>
    <row r="385" spans="1:12" ht="21" customHeight="1">
      <c r="A385" s="3" t="s">
        <v>12</v>
      </c>
      <c r="B385" s="1"/>
      <c r="C385" s="6"/>
      <c r="D385" s="6"/>
      <c r="E385" s="6"/>
      <c r="F385" s="6"/>
      <c r="G385" s="6"/>
      <c r="H385" s="6"/>
      <c r="I385" s="6"/>
      <c r="J385" s="6"/>
      <c r="K385" s="6"/>
      <c r="L385" s="127"/>
    </row>
    <row r="386" spans="1:12" ht="17.25" customHeight="1">
      <c r="A386" s="5" t="s">
        <v>35</v>
      </c>
      <c r="B386" s="1"/>
      <c r="C386" s="6">
        <f>D386+E386</f>
        <v>22.79571576824421</v>
      </c>
      <c r="D386" s="9">
        <f>+D374/51071*100</f>
        <v>22.79571576824421</v>
      </c>
      <c r="E386" s="6">
        <v>0</v>
      </c>
      <c r="F386" s="8">
        <f>G386+H386</f>
        <v>34.358357670503345</v>
      </c>
      <c r="G386" s="8">
        <f>+G374/D374*100</f>
        <v>34.358357670503345</v>
      </c>
      <c r="H386" s="6">
        <v>0</v>
      </c>
      <c r="I386" s="6">
        <f>J386+K386</f>
        <v>264.375</v>
      </c>
      <c r="J386" s="6">
        <f>J374/G374*100</f>
        <v>264.375</v>
      </c>
      <c r="K386" s="6">
        <v>0</v>
      </c>
      <c r="L386" s="127"/>
    </row>
    <row r="387" spans="1:12" ht="32.25" customHeight="1">
      <c r="A387" s="129" t="s">
        <v>128</v>
      </c>
      <c r="B387" s="1"/>
      <c r="C387" s="4">
        <f>D387+E387</f>
        <v>560</v>
      </c>
      <c r="D387" s="4">
        <f>-7760+8320</f>
        <v>560</v>
      </c>
      <c r="E387" s="4">
        <v>0</v>
      </c>
      <c r="F387" s="4">
        <f>G387+H387</f>
        <v>170</v>
      </c>
      <c r="G387" s="4">
        <v>170</v>
      </c>
      <c r="H387" s="4">
        <v>0</v>
      </c>
      <c r="I387" s="4">
        <f>J387+K387</f>
        <v>950</v>
      </c>
      <c r="J387" s="4">
        <v>950</v>
      </c>
      <c r="K387" s="4">
        <v>0</v>
      </c>
      <c r="L387" s="127"/>
    </row>
    <row r="388" spans="1:12" ht="23.25" customHeight="1">
      <c r="A388" s="5" t="s">
        <v>4</v>
      </c>
      <c r="B388" s="1"/>
      <c r="C388" s="6"/>
      <c r="D388" s="6"/>
      <c r="E388" s="6"/>
      <c r="F388" s="6"/>
      <c r="G388" s="6"/>
      <c r="H388" s="6"/>
      <c r="I388" s="6"/>
      <c r="J388" s="6"/>
      <c r="K388" s="6"/>
      <c r="L388" s="127"/>
    </row>
    <row r="389" spans="1:12" ht="24" customHeight="1">
      <c r="A389" s="7" t="s">
        <v>5</v>
      </c>
      <c r="B389" s="1"/>
      <c r="C389" s="6"/>
      <c r="D389" s="6"/>
      <c r="E389" s="6"/>
      <c r="F389" s="6"/>
      <c r="G389" s="6"/>
      <c r="H389" s="6"/>
      <c r="I389" s="6"/>
      <c r="J389" s="6"/>
      <c r="K389" s="6"/>
      <c r="L389" s="127"/>
    </row>
    <row r="390" spans="1:12" ht="32.25" customHeight="1">
      <c r="A390" s="88" t="s">
        <v>127</v>
      </c>
      <c r="B390" s="1"/>
      <c r="C390" s="128">
        <f>D390</f>
        <v>5</v>
      </c>
      <c r="D390" s="128">
        <v>5</v>
      </c>
      <c r="E390" s="128">
        <v>0</v>
      </c>
      <c r="F390" s="128">
        <f>+G390</f>
        <v>2</v>
      </c>
      <c r="G390" s="128">
        <v>2</v>
      </c>
      <c r="H390" s="128">
        <v>0</v>
      </c>
      <c r="I390" s="128">
        <f>+J390</f>
        <v>10</v>
      </c>
      <c r="J390" s="128">
        <v>10</v>
      </c>
      <c r="K390" s="128">
        <v>0</v>
      </c>
      <c r="L390" s="127"/>
    </row>
    <row r="391" spans="1:12" ht="45" customHeight="1">
      <c r="A391" s="88" t="s">
        <v>87</v>
      </c>
      <c r="B391" s="1"/>
      <c r="C391" s="128">
        <f>+D391</f>
        <v>2</v>
      </c>
      <c r="D391" s="128">
        <v>2</v>
      </c>
      <c r="E391" s="128">
        <v>0</v>
      </c>
      <c r="F391" s="128">
        <f>+G391</f>
        <v>0</v>
      </c>
      <c r="G391" s="128">
        <v>0</v>
      </c>
      <c r="H391" s="128">
        <v>0</v>
      </c>
      <c r="I391" s="128">
        <f>+J391</f>
        <v>0</v>
      </c>
      <c r="J391" s="128">
        <v>0</v>
      </c>
      <c r="K391" s="128">
        <v>0</v>
      </c>
      <c r="L391" s="127"/>
    </row>
    <row r="392" spans="1:12" ht="17.25" customHeight="1">
      <c r="A392" s="7" t="s">
        <v>13</v>
      </c>
      <c r="B392" s="1"/>
      <c r="C392" s="6"/>
      <c r="D392" s="6"/>
      <c r="E392" s="6"/>
      <c r="F392" s="6"/>
      <c r="G392" s="6"/>
      <c r="H392" s="6"/>
      <c r="I392" s="6"/>
      <c r="J392" s="6"/>
      <c r="K392" s="6"/>
      <c r="L392" s="127"/>
    </row>
    <row r="393" spans="1:12" ht="17.25" customHeight="1">
      <c r="A393" s="5" t="s">
        <v>67</v>
      </c>
      <c r="B393" s="1"/>
      <c r="C393" s="6">
        <f>D393+E393</f>
        <v>80</v>
      </c>
      <c r="D393" s="6">
        <f>+D387/(D390+D391)</f>
        <v>80</v>
      </c>
      <c r="E393" s="6">
        <v>0</v>
      </c>
      <c r="F393" s="6">
        <f>G393+H393</f>
        <v>85</v>
      </c>
      <c r="G393" s="6">
        <f>+G387/(G390+G391)</f>
        <v>85</v>
      </c>
      <c r="H393" s="6">
        <v>0</v>
      </c>
      <c r="I393" s="6">
        <f>J393+K393</f>
        <v>95</v>
      </c>
      <c r="J393" s="6">
        <f>+J387/(J390+J391)</f>
        <v>95</v>
      </c>
      <c r="K393" s="6">
        <v>0</v>
      </c>
      <c r="L393" s="127"/>
    </row>
    <row r="394" spans="1:12" ht="17.25" customHeight="1">
      <c r="A394" s="3" t="s">
        <v>12</v>
      </c>
      <c r="B394" s="1"/>
      <c r="C394" s="6"/>
      <c r="D394" s="6"/>
      <c r="E394" s="6"/>
      <c r="F394" s="6"/>
      <c r="G394" s="6"/>
      <c r="H394" s="6"/>
      <c r="I394" s="6"/>
      <c r="J394" s="6"/>
      <c r="K394" s="6"/>
      <c r="L394" s="127"/>
    </row>
    <row r="395" spans="1:12" ht="21" customHeight="1">
      <c r="A395" s="5" t="s">
        <v>35</v>
      </c>
      <c r="B395" s="1"/>
      <c r="C395" s="6">
        <f>+D395</f>
        <v>160</v>
      </c>
      <c r="D395" s="6">
        <f>+D387/(4410-4060)*100</f>
        <v>160</v>
      </c>
      <c r="E395" s="6">
        <v>0</v>
      </c>
      <c r="F395" s="6">
        <f>+G395</f>
        <v>30.357142857142854</v>
      </c>
      <c r="G395" s="6">
        <f>+G387/D387*100</f>
        <v>30.357142857142854</v>
      </c>
      <c r="H395" s="6">
        <v>0</v>
      </c>
      <c r="I395" s="6">
        <f>+J395</f>
        <v>558.8235294117646</v>
      </c>
      <c r="J395" s="6">
        <f>+J387/G387*100</f>
        <v>558.8235294117646</v>
      </c>
      <c r="K395" s="6">
        <v>0</v>
      </c>
      <c r="L395" s="127"/>
    </row>
    <row r="396" spans="1:12" ht="30.75" customHeight="1">
      <c r="A396" s="3" t="s">
        <v>28</v>
      </c>
      <c r="B396" s="27"/>
      <c r="C396" s="36"/>
      <c r="D396" s="36"/>
      <c r="E396" s="36"/>
      <c r="F396" s="36"/>
      <c r="G396" s="36"/>
      <c r="H396" s="36"/>
      <c r="I396" s="36"/>
      <c r="J396" s="36"/>
      <c r="K396" s="36"/>
      <c r="L396" s="61"/>
    </row>
    <row r="397" spans="1:12" ht="30" customHeight="1">
      <c r="A397" s="181" t="s">
        <v>225</v>
      </c>
      <c r="B397" s="181"/>
      <c r="C397" s="181"/>
      <c r="D397" s="181"/>
      <c r="E397" s="181"/>
      <c r="F397" s="181"/>
      <c r="G397" s="181"/>
      <c r="H397" s="181"/>
      <c r="I397" s="181"/>
      <c r="J397" s="181"/>
      <c r="K397" s="181"/>
      <c r="L397" s="130"/>
    </row>
    <row r="398" spans="1:12" ht="24.75" customHeight="1">
      <c r="A398" s="180" t="s">
        <v>121</v>
      </c>
      <c r="B398" s="180"/>
      <c r="C398" s="180"/>
      <c r="D398" s="180"/>
      <c r="E398" s="180"/>
      <c r="F398" s="180"/>
      <c r="G398" s="180"/>
      <c r="H398" s="180"/>
      <c r="I398" s="180"/>
      <c r="J398" s="180"/>
      <c r="K398" s="180"/>
      <c r="L398" s="35"/>
    </row>
    <row r="399" spans="1:12" ht="18.75" customHeight="1">
      <c r="A399" s="131" t="s">
        <v>6</v>
      </c>
      <c r="B399" s="132"/>
      <c r="C399" s="10">
        <f>D399+E399</f>
        <v>179030</v>
      </c>
      <c r="D399" s="10">
        <f>+D401+D411+D424</f>
        <v>179030</v>
      </c>
      <c r="E399" s="10">
        <f>+E401+E411+E424</f>
        <v>0</v>
      </c>
      <c r="F399" s="10">
        <f>G399+H399</f>
        <v>100075</v>
      </c>
      <c r="G399" s="10">
        <f>+G401+G411+G424</f>
        <v>100075</v>
      </c>
      <c r="H399" s="10">
        <f>+H401+H411+H424</f>
        <v>0</v>
      </c>
      <c r="I399" s="10">
        <f>J399+K399</f>
        <v>167875</v>
      </c>
      <c r="J399" s="10">
        <f>+J401+J411+J424</f>
        <v>167875</v>
      </c>
      <c r="K399" s="10">
        <f>+K401+K411+K424</f>
        <v>0</v>
      </c>
      <c r="L399" s="133"/>
    </row>
    <row r="400" spans="1:12" ht="18.75" customHeight="1">
      <c r="A400" s="98" t="s">
        <v>88</v>
      </c>
      <c r="B400" s="99" t="s">
        <v>89</v>
      </c>
      <c r="C400" s="132"/>
      <c r="D400" s="132"/>
      <c r="E400" s="132"/>
      <c r="F400" s="132"/>
      <c r="G400" s="132"/>
      <c r="H400" s="132"/>
      <c r="I400" s="132"/>
      <c r="J400" s="132"/>
      <c r="K400" s="132"/>
      <c r="L400" s="133"/>
    </row>
    <row r="401" spans="1:12" ht="36" customHeight="1">
      <c r="A401" s="3" t="s">
        <v>129</v>
      </c>
      <c r="B401" s="1"/>
      <c r="C401" s="4">
        <f>D401+E401</f>
        <v>70910</v>
      </c>
      <c r="D401" s="4">
        <v>70910</v>
      </c>
      <c r="E401" s="4">
        <v>0</v>
      </c>
      <c r="F401" s="4">
        <f>G401+H401</f>
        <v>27440</v>
      </c>
      <c r="G401" s="4">
        <v>27440</v>
      </c>
      <c r="H401" s="4">
        <v>0</v>
      </c>
      <c r="I401" s="4">
        <f>J401+K401</f>
        <v>89600</v>
      </c>
      <c r="J401" s="4">
        <v>89600</v>
      </c>
      <c r="K401" s="4">
        <v>0</v>
      </c>
      <c r="L401" s="18"/>
    </row>
    <row r="402" spans="1:12" ht="21.75" customHeight="1">
      <c r="A402" s="1" t="s">
        <v>4</v>
      </c>
      <c r="B402" s="1"/>
      <c r="C402" s="9"/>
      <c r="D402" s="9"/>
      <c r="E402" s="9"/>
      <c r="F402" s="9"/>
      <c r="G402" s="9"/>
      <c r="H402" s="9"/>
      <c r="I402" s="9"/>
      <c r="J402" s="9"/>
      <c r="K402" s="9"/>
      <c r="L402" s="18"/>
    </row>
    <row r="403" spans="1:12" ht="19.5" customHeight="1">
      <c r="A403" s="24" t="s">
        <v>5</v>
      </c>
      <c r="B403" s="1"/>
      <c r="C403" s="9"/>
      <c r="D403" s="9"/>
      <c r="E403" s="9"/>
      <c r="F403" s="9"/>
      <c r="G403" s="9"/>
      <c r="H403" s="9"/>
      <c r="I403" s="9"/>
      <c r="J403" s="9"/>
      <c r="K403" s="9"/>
      <c r="L403" s="18"/>
    </row>
    <row r="404" spans="1:12" ht="48" customHeight="1">
      <c r="A404" s="5" t="s">
        <v>119</v>
      </c>
      <c r="B404" s="1"/>
      <c r="C404" s="17">
        <f>D404+E404</f>
        <v>35</v>
      </c>
      <c r="D404" s="17">
        <v>35</v>
      </c>
      <c r="E404" s="17">
        <v>0</v>
      </c>
      <c r="F404" s="17">
        <f>G404+H404</f>
        <v>28</v>
      </c>
      <c r="G404" s="17">
        <v>28</v>
      </c>
      <c r="H404" s="17">
        <v>0</v>
      </c>
      <c r="I404" s="17">
        <f>J404+K404</f>
        <v>40</v>
      </c>
      <c r="J404" s="17">
        <v>40</v>
      </c>
      <c r="K404" s="17">
        <v>0</v>
      </c>
      <c r="L404" s="18"/>
    </row>
    <row r="405" spans="1:12" ht="45.75" customHeight="1">
      <c r="A405" s="5" t="s">
        <v>130</v>
      </c>
      <c r="B405" s="1"/>
      <c r="C405" s="17">
        <f>+D405</f>
        <v>1</v>
      </c>
      <c r="D405" s="17">
        <v>1</v>
      </c>
      <c r="E405" s="17">
        <v>0</v>
      </c>
      <c r="F405" s="17">
        <f>+G405</f>
        <v>0</v>
      </c>
      <c r="G405" s="17">
        <v>0</v>
      </c>
      <c r="H405" s="17">
        <v>0</v>
      </c>
      <c r="I405" s="17">
        <f>+J405</f>
        <v>0</v>
      </c>
      <c r="J405" s="17">
        <v>0</v>
      </c>
      <c r="K405" s="17">
        <v>0</v>
      </c>
      <c r="L405" s="18"/>
    </row>
    <row r="406" spans="1:12" ht="29.25" customHeight="1">
      <c r="A406" s="109" t="s">
        <v>185</v>
      </c>
      <c r="B406" s="1"/>
      <c r="C406" s="128">
        <f>D406+E406</f>
        <v>141</v>
      </c>
      <c r="D406" s="128">
        <v>141</v>
      </c>
      <c r="E406" s="128">
        <v>0</v>
      </c>
      <c r="F406" s="128">
        <f>G406+H406</f>
        <v>70</v>
      </c>
      <c r="G406" s="128">
        <v>70</v>
      </c>
      <c r="H406" s="128">
        <v>0</v>
      </c>
      <c r="I406" s="128">
        <f>J406+K406</f>
        <v>160</v>
      </c>
      <c r="J406" s="128">
        <v>160</v>
      </c>
      <c r="K406" s="128">
        <v>0</v>
      </c>
      <c r="L406" s="18"/>
    </row>
    <row r="407" spans="1:12" ht="21.75" customHeight="1">
      <c r="A407" s="122" t="s">
        <v>13</v>
      </c>
      <c r="B407" s="1"/>
      <c r="C407" s="9"/>
      <c r="D407" s="9"/>
      <c r="E407" s="9"/>
      <c r="F407" s="9"/>
      <c r="G407" s="9"/>
      <c r="H407" s="9"/>
      <c r="I407" s="9"/>
      <c r="J407" s="9"/>
      <c r="K407" s="9"/>
      <c r="L407" s="18"/>
    </row>
    <row r="408" spans="1:12" ht="18.75" customHeight="1">
      <c r="A408" s="107" t="s">
        <v>34</v>
      </c>
      <c r="B408" s="1"/>
      <c r="C408" s="8">
        <f>D408+E408</f>
        <v>14</v>
      </c>
      <c r="D408" s="8">
        <v>14</v>
      </c>
      <c r="E408" s="8">
        <v>0</v>
      </c>
      <c r="F408" s="8">
        <f>G408+H408</f>
        <v>14</v>
      </c>
      <c r="G408" s="8">
        <f>+G401/(G404+G405)/G406</f>
        <v>14</v>
      </c>
      <c r="H408" s="8">
        <v>0</v>
      </c>
      <c r="I408" s="8">
        <f>J408+K408</f>
        <v>14</v>
      </c>
      <c r="J408" s="8">
        <f>+J401/(J404+J405)/J406</f>
        <v>14</v>
      </c>
      <c r="K408" s="8">
        <v>0</v>
      </c>
      <c r="L408" s="18"/>
    </row>
    <row r="409" spans="1:12" ht="18.75" customHeight="1">
      <c r="A409" s="2" t="s">
        <v>12</v>
      </c>
      <c r="B409" s="1"/>
      <c r="C409" s="9"/>
      <c r="D409" s="9"/>
      <c r="E409" s="9"/>
      <c r="F409" s="9"/>
      <c r="G409" s="9"/>
      <c r="H409" s="9"/>
      <c r="I409" s="9"/>
      <c r="J409" s="9"/>
      <c r="K409" s="9"/>
      <c r="L409" s="18"/>
    </row>
    <row r="410" spans="1:12" ht="18.75" customHeight="1">
      <c r="A410" s="5" t="s">
        <v>35</v>
      </c>
      <c r="B410" s="1"/>
      <c r="C410" s="9">
        <f>D410+E410</f>
        <v>71.84397163120568</v>
      </c>
      <c r="D410" s="9">
        <f>D401/98700*100</f>
        <v>71.84397163120568</v>
      </c>
      <c r="E410" s="9">
        <v>0</v>
      </c>
      <c r="F410" s="9">
        <f>G410+H410</f>
        <v>38.6969397828233</v>
      </c>
      <c r="G410" s="9">
        <f>G401/D401*100</f>
        <v>38.6969397828233</v>
      </c>
      <c r="H410" s="9">
        <v>0</v>
      </c>
      <c r="I410" s="9">
        <f>J410+K410</f>
        <v>326.53061224489795</v>
      </c>
      <c r="J410" s="9">
        <f>J401/G401*100</f>
        <v>326.53061224489795</v>
      </c>
      <c r="K410" s="9">
        <v>0</v>
      </c>
      <c r="L410" s="18"/>
    </row>
    <row r="411" spans="1:12" ht="50.25" customHeight="1">
      <c r="A411" s="3" t="s">
        <v>133</v>
      </c>
      <c r="B411" s="1"/>
      <c r="C411" s="4">
        <f>D411+E411</f>
        <v>3120</v>
      </c>
      <c r="D411" s="4">
        <f>-16800+19920</f>
        <v>3120</v>
      </c>
      <c r="E411" s="4">
        <v>0</v>
      </c>
      <c r="F411" s="4">
        <f>G411+H411</f>
        <v>2635</v>
      </c>
      <c r="G411" s="4">
        <v>2635</v>
      </c>
      <c r="H411" s="4">
        <v>0</v>
      </c>
      <c r="I411" s="4">
        <f>J411+K411</f>
        <v>4275</v>
      </c>
      <c r="J411" s="4">
        <v>4275</v>
      </c>
      <c r="K411" s="4">
        <v>0</v>
      </c>
      <c r="L411" s="18"/>
    </row>
    <row r="412" spans="1:12" ht="20.25" customHeight="1">
      <c r="A412" s="1" t="s">
        <v>4</v>
      </c>
      <c r="B412" s="1"/>
      <c r="C412" s="9"/>
      <c r="D412" s="9"/>
      <c r="E412" s="9"/>
      <c r="F412" s="9"/>
      <c r="G412" s="9"/>
      <c r="H412" s="9"/>
      <c r="I412" s="9"/>
      <c r="J412" s="9"/>
      <c r="K412" s="9"/>
      <c r="L412" s="18"/>
    </row>
    <row r="413" spans="1:12" ht="18.75" customHeight="1">
      <c r="A413" s="24" t="s">
        <v>5</v>
      </c>
      <c r="B413" s="1"/>
      <c r="C413" s="9"/>
      <c r="D413" s="9"/>
      <c r="E413" s="9"/>
      <c r="F413" s="9"/>
      <c r="G413" s="9"/>
      <c r="H413" s="9"/>
      <c r="I413" s="9"/>
      <c r="J413" s="9"/>
      <c r="K413" s="9"/>
      <c r="L413" s="18"/>
    </row>
    <row r="414" spans="1:12" ht="48" customHeight="1">
      <c r="A414" s="25" t="s">
        <v>131</v>
      </c>
      <c r="B414" s="1"/>
      <c r="C414" s="17">
        <f>+D414</f>
        <v>38</v>
      </c>
      <c r="D414" s="17">
        <v>38</v>
      </c>
      <c r="E414" s="17">
        <v>0</v>
      </c>
      <c r="F414" s="17">
        <f>G414+H414</f>
        <v>31</v>
      </c>
      <c r="G414" s="17">
        <v>31</v>
      </c>
      <c r="H414" s="17">
        <v>0</v>
      </c>
      <c r="I414" s="17">
        <f>J414+K414</f>
        <v>45</v>
      </c>
      <c r="J414" s="17">
        <v>45</v>
      </c>
      <c r="K414" s="17">
        <v>0</v>
      </c>
      <c r="L414" s="18"/>
    </row>
    <row r="415" spans="1:12" ht="48.75" customHeight="1">
      <c r="A415" s="25" t="s">
        <v>132</v>
      </c>
      <c r="B415" s="1"/>
      <c r="C415" s="17">
        <f>+D415</f>
        <v>1</v>
      </c>
      <c r="D415" s="17">
        <v>1</v>
      </c>
      <c r="E415" s="17">
        <v>0</v>
      </c>
      <c r="F415" s="17">
        <f>G415+H415</f>
        <v>0</v>
      </c>
      <c r="G415" s="17">
        <v>0</v>
      </c>
      <c r="H415" s="17">
        <v>0</v>
      </c>
      <c r="I415" s="17">
        <f>J415+K415</f>
        <v>0</v>
      </c>
      <c r="J415" s="17">
        <v>0</v>
      </c>
      <c r="K415" s="17">
        <v>0</v>
      </c>
      <c r="L415" s="18"/>
    </row>
    <row r="416" spans="1:12" ht="7.5" customHeight="1">
      <c r="A416" s="21"/>
      <c r="B416" s="12"/>
      <c r="C416" s="22"/>
      <c r="D416" s="22"/>
      <c r="E416" s="22"/>
      <c r="F416" s="22"/>
      <c r="G416" s="22"/>
      <c r="H416" s="22"/>
      <c r="I416" s="22"/>
      <c r="J416" s="22"/>
      <c r="K416" s="22"/>
      <c r="L416" s="22"/>
    </row>
    <row r="417" spans="1:12" ht="26.25" customHeight="1">
      <c r="A417" s="11"/>
      <c r="B417" s="12"/>
      <c r="C417" s="13"/>
      <c r="D417" s="13"/>
      <c r="E417" s="13"/>
      <c r="F417" s="13"/>
      <c r="G417" s="13"/>
      <c r="H417" s="13"/>
      <c r="I417" s="166" t="s">
        <v>191</v>
      </c>
      <c r="J417" s="166"/>
      <c r="K417" s="166"/>
      <c r="L417" s="13"/>
    </row>
    <row r="418" spans="1:12" ht="14.25">
      <c r="A418" s="14">
        <v>1</v>
      </c>
      <c r="B418" s="15">
        <v>2</v>
      </c>
      <c r="C418" s="16">
        <v>3</v>
      </c>
      <c r="D418" s="16">
        <v>4</v>
      </c>
      <c r="E418" s="16">
        <v>5</v>
      </c>
      <c r="F418" s="16">
        <v>6</v>
      </c>
      <c r="G418" s="16">
        <v>7</v>
      </c>
      <c r="H418" s="16">
        <v>8</v>
      </c>
      <c r="I418" s="16">
        <v>9</v>
      </c>
      <c r="J418" s="16">
        <v>10</v>
      </c>
      <c r="K418" s="16">
        <v>11</v>
      </c>
      <c r="L418" s="23"/>
    </row>
    <row r="419" spans="1:12" ht="22.5" customHeight="1">
      <c r="A419" s="7" t="s">
        <v>13</v>
      </c>
      <c r="B419" s="1"/>
      <c r="C419" s="9"/>
      <c r="D419" s="9"/>
      <c r="E419" s="9"/>
      <c r="F419" s="9"/>
      <c r="G419" s="9"/>
      <c r="H419" s="9"/>
      <c r="I419" s="9"/>
      <c r="J419" s="9"/>
      <c r="K419" s="9"/>
      <c r="L419" s="18"/>
    </row>
    <row r="420" spans="1:12" ht="20.25" customHeight="1">
      <c r="A420" s="5" t="s">
        <v>67</v>
      </c>
      <c r="B420" s="1"/>
      <c r="C420" s="9">
        <f>D420+E420</f>
        <v>80</v>
      </c>
      <c r="D420" s="9">
        <f>+D411/(D414+D415)</f>
        <v>80</v>
      </c>
      <c r="E420" s="9">
        <v>0</v>
      </c>
      <c r="F420" s="9">
        <f>G420+H420</f>
        <v>85</v>
      </c>
      <c r="G420" s="9">
        <f>+G411/(G414+G415)</f>
        <v>85</v>
      </c>
      <c r="H420" s="9">
        <v>0</v>
      </c>
      <c r="I420" s="9">
        <f>J420+K420</f>
        <v>95</v>
      </c>
      <c r="J420" s="9">
        <f>+J411/(J414+J415)</f>
        <v>95</v>
      </c>
      <c r="K420" s="9">
        <v>0</v>
      </c>
      <c r="L420" s="18"/>
    </row>
    <row r="421" spans="1:12" ht="19.5" customHeight="1">
      <c r="A421" s="3" t="s">
        <v>12</v>
      </c>
      <c r="B421" s="1"/>
      <c r="C421" s="9"/>
      <c r="D421" s="9"/>
      <c r="E421" s="9"/>
      <c r="F421" s="9"/>
      <c r="G421" s="9"/>
      <c r="H421" s="9"/>
      <c r="I421" s="9"/>
      <c r="J421" s="9"/>
      <c r="K421" s="9"/>
      <c r="L421" s="18"/>
    </row>
    <row r="422" spans="1:12" ht="18.75" customHeight="1">
      <c r="A422" s="5" t="s">
        <v>35</v>
      </c>
      <c r="B422" s="1"/>
      <c r="C422" s="9">
        <f>+D422</f>
        <v>17.6171654432524</v>
      </c>
      <c r="D422" s="9">
        <f>+D411/17710*100</f>
        <v>17.6171654432524</v>
      </c>
      <c r="E422" s="9">
        <v>0</v>
      </c>
      <c r="F422" s="9">
        <f>+G422</f>
        <v>84.4551282051282</v>
      </c>
      <c r="G422" s="9">
        <f>+G411/D411*100</f>
        <v>84.4551282051282</v>
      </c>
      <c r="H422" s="9">
        <v>0</v>
      </c>
      <c r="I422" s="9">
        <f>+J422</f>
        <v>162.2390891840607</v>
      </c>
      <c r="J422" s="9">
        <f>+J411/G411*100</f>
        <v>162.2390891840607</v>
      </c>
      <c r="K422" s="9">
        <v>0</v>
      </c>
      <c r="L422" s="18"/>
    </row>
    <row r="423" spans="1:12" ht="22.5" customHeight="1">
      <c r="A423" s="26" t="s">
        <v>90</v>
      </c>
      <c r="B423" s="99" t="s">
        <v>91</v>
      </c>
      <c r="C423" s="8"/>
      <c r="D423" s="8"/>
      <c r="E423" s="8"/>
      <c r="F423" s="8"/>
      <c r="G423" s="8"/>
      <c r="H423" s="8"/>
      <c r="I423" s="8"/>
      <c r="J423" s="8"/>
      <c r="K423" s="8"/>
      <c r="L423" s="127"/>
    </row>
    <row r="424" spans="1:11" ht="45.75" customHeight="1">
      <c r="A424" s="3" t="s">
        <v>134</v>
      </c>
      <c r="B424" s="27"/>
      <c r="C424" s="28">
        <f>D424+E424</f>
        <v>105000</v>
      </c>
      <c r="D424" s="28">
        <v>105000</v>
      </c>
      <c r="E424" s="28">
        <v>0</v>
      </c>
      <c r="F424" s="28">
        <f>+G424</f>
        <v>70000</v>
      </c>
      <c r="G424" s="28">
        <v>70000</v>
      </c>
      <c r="H424" s="28">
        <v>0</v>
      </c>
      <c r="I424" s="28">
        <f>J424+K424</f>
        <v>74000</v>
      </c>
      <c r="J424" s="28">
        <v>74000</v>
      </c>
      <c r="K424" s="28">
        <v>0</v>
      </c>
    </row>
    <row r="425" spans="1:11" ht="21.75" customHeight="1">
      <c r="A425" s="5" t="s">
        <v>4</v>
      </c>
      <c r="B425" s="27"/>
      <c r="C425" s="27"/>
      <c r="D425" s="27"/>
      <c r="E425" s="27"/>
      <c r="F425" s="27"/>
      <c r="G425" s="27"/>
      <c r="H425" s="27"/>
      <c r="I425" s="27"/>
      <c r="J425" s="27"/>
      <c r="K425" s="27"/>
    </row>
    <row r="426" spans="1:11" ht="18" customHeight="1">
      <c r="A426" s="7" t="s">
        <v>5</v>
      </c>
      <c r="B426" s="27"/>
      <c r="C426" s="27"/>
      <c r="D426" s="27"/>
      <c r="E426" s="27"/>
      <c r="F426" s="27"/>
      <c r="G426" s="27"/>
      <c r="H426" s="27"/>
      <c r="I426" s="27"/>
      <c r="J426" s="27"/>
      <c r="K426" s="27"/>
    </row>
    <row r="427" spans="1:11" ht="45" customHeight="1">
      <c r="A427" s="5" t="s">
        <v>135</v>
      </c>
      <c r="B427" s="27"/>
      <c r="C427" s="29">
        <f>D427+E427</f>
        <v>14</v>
      </c>
      <c r="D427" s="29">
        <v>14</v>
      </c>
      <c r="E427" s="29">
        <v>0</v>
      </c>
      <c r="F427" s="29">
        <f>G427+H427</f>
        <v>10</v>
      </c>
      <c r="G427" s="29">
        <v>10</v>
      </c>
      <c r="H427" s="29">
        <v>0</v>
      </c>
      <c r="I427" s="29">
        <f>J427+K427</f>
        <v>10</v>
      </c>
      <c r="J427" s="29">
        <v>10</v>
      </c>
      <c r="K427" s="29">
        <v>0</v>
      </c>
    </row>
    <row r="428" spans="1:11" ht="46.5" customHeight="1">
      <c r="A428" s="5" t="s">
        <v>136</v>
      </c>
      <c r="B428" s="27"/>
      <c r="C428" s="29">
        <f>D428+E428</f>
        <v>1</v>
      </c>
      <c r="D428" s="29">
        <v>1</v>
      </c>
      <c r="E428" s="29">
        <v>0</v>
      </c>
      <c r="F428" s="29">
        <f>G428+H428</f>
        <v>0</v>
      </c>
      <c r="G428" s="29">
        <v>0</v>
      </c>
      <c r="H428" s="29">
        <v>0</v>
      </c>
      <c r="I428" s="29">
        <f>J428+K428</f>
        <v>0</v>
      </c>
      <c r="J428" s="29">
        <v>0</v>
      </c>
      <c r="K428" s="29">
        <v>0</v>
      </c>
    </row>
    <row r="429" spans="1:11" ht="20.25" customHeight="1">
      <c r="A429" s="3" t="s">
        <v>13</v>
      </c>
      <c r="B429" s="27"/>
      <c r="C429" s="134"/>
      <c r="D429" s="134"/>
      <c r="E429" s="134"/>
      <c r="F429" s="134"/>
      <c r="G429" s="134" t="s">
        <v>77</v>
      </c>
      <c r="H429" s="134"/>
      <c r="I429" s="134"/>
      <c r="J429" s="134"/>
      <c r="K429" s="134"/>
    </row>
    <row r="430" spans="1:11" ht="20.25" customHeight="1">
      <c r="A430" s="110" t="s">
        <v>30</v>
      </c>
      <c r="B430" s="27"/>
      <c r="C430" s="30">
        <f>D430+E430</f>
        <v>7000</v>
      </c>
      <c r="D430" s="30">
        <f>+D424/(D427+D428)</f>
        <v>7000</v>
      </c>
      <c r="E430" s="30">
        <v>0</v>
      </c>
      <c r="F430" s="30">
        <f>+G430</f>
        <v>7000</v>
      </c>
      <c r="G430" s="30">
        <f>+G424/(G427+G428)</f>
        <v>7000</v>
      </c>
      <c r="H430" s="30">
        <v>0</v>
      </c>
      <c r="I430" s="30">
        <f>J430+K430</f>
        <v>7400</v>
      </c>
      <c r="J430" s="30">
        <f>+J424/(J427+J428)</f>
        <v>7400</v>
      </c>
      <c r="K430" s="30">
        <v>0</v>
      </c>
    </row>
    <row r="431" spans="1:11" ht="19.5" customHeight="1">
      <c r="A431" s="3" t="s">
        <v>12</v>
      </c>
      <c r="B431" s="27"/>
      <c r="C431" s="27"/>
      <c r="D431" s="27"/>
      <c r="E431" s="27"/>
      <c r="F431" s="27"/>
      <c r="G431" s="27"/>
      <c r="H431" s="27"/>
      <c r="I431" s="27"/>
      <c r="J431" s="27"/>
      <c r="K431" s="27"/>
    </row>
    <row r="432" spans="1:11" ht="16.5">
      <c r="A432" s="5" t="s">
        <v>35</v>
      </c>
      <c r="B432" s="27"/>
      <c r="C432" s="135">
        <f>D432+E432</f>
        <v>119.31818181818181</v>
      </c>
      <c r="D432" s="135">
        <f>D424/88000*100</f>
        <v>119.31818181818181</v>
      </c>
      <c r="E432" s="135">
        <v>0</v>
      </c>
      <c r="F432" s="135">
        <f>G432+H432</f>
        <v>66.66666666666666</v>
      </c>
      <c r="G432" s="135">
        <f>G424/D424*100</f>
        <v>66.66666666666666</v>
      </c>
      <c r="H432" s="135">
        <v>0</v>
      </c>
      <c r="I432" s="135">
        <f>J432+K432</f>
        <v>105.71428571428572</v>
      </c>
      <c r="J432" s="135">
        <f>J424/G424*100</f>
        <v>105.71428571428572</v>
      </c>
      <c r="K432" s="135">
        <v>0</v>
      </c>
    </row>
    <row r="433" spans="1:12" ht="19.5" customHeight="1">
      <c r="A433" s="21"/>
      <c r="B433" s="12"/>
      <c r="C433" s="22"/>
      <c r="D433" s="22"/>
      <c r="E433" s="22"/>
      <c r="F433" s="22"/>
      <c r="G433" s="22"/>
      <c r="H433" s="22"/>
      <c r="I433" s="22"/>
      <c r="J433" s="22"/>
      <c r="K433" s="22"/>
      <c r="L433" s="22"/>
    </row>
    <row r="434" ht="35.25" customHeight="1"/>
    <row r="435" spans="1:14" ht="30" customHeight="1">
      <c r="A435" s="157" t="s">
        <v>245</v>
      </c>
      <c r="B435" s="157"/>
      <c r="C435" s="32"/>
      <c r="D435" s="33"/>
      <c r="E435" s="32"/>
      <c r="F435" s="32" t="s">
        <v>246</v>
      </c>
      <c r="G435" s="32"/>
      <c r="H435" s="32"/>
      <c r="I435" s="32"/>
      <c r="N435" s="19"/>
    </row>
    <row r="436" spans="1:14" ht="17.25" customHeight="1">
      <c r="A436" s="31"/>
      <c r="B436" s="31"/>
      <c r="C436" s="32"/>
      <c r="D436" s="32"/>
      <c r="E436" s="32"/>
      <c r="F436" s="32"/>
      <c r="G436" s="32"/>
      <c r="H436" s="32"/>
      <c r="I436" s="34"/>
      <c r="N436" s="19"/>
    </row>
    <row r="437" spans="1:14" ht="19.5" customHeight="1">
      <c r="A437" s="85" t="s">
        <v>248</v>
      </c>
      <c r="B437" s="31"/>
      <c r="C437" s="32"/>
      <c r="D437" s="32"/>
      <c r="E437" s="32"/>
      <c r="F437" s="32"/>
      <c r="G437" s="32"/>
      <c r="H437" s="32"/>
      <c r="I437" s="34"/>
      <c r="N437" s="19"/>
    </row>
    <row r="438" spans="1:14" ht="24" customHeight="1">
      <c r="A438" s="85" t="s">
        <v>247</v>
      </c>
      <c r="B438" s="31"/>
      <c r="C438" s="32"/>
      <c r="D438" s="32"/>
      <c r="E438" s="32"/>
      <c r="F438" s="32"/>
      <c r="G438" s="32"/>
      <c r="H438" s="32"/>
      <c r="N438" s="19"/>
    </row>
    <row r="439" ht="12.75">
      <c r="N439" s="19"/>
    </row>
    <row r="440" spans="1:14" ht="19.5" customHeight="1">
      <c r="A440" s="31"/>
      <c r="B440" s="31"/>
      <c r="C440" s="32"/>
      <c r="D440" s="32"/>
      <c r="E440" s="32"/>
      <c r="F440" s="32"/>
      <c r="G440" s="32"/>
      <c r="H440" s="32"/>
      <c r="N440" s="19"/>
    </row>
    <row r="441" spans="1:8" ht="18.75">
      <c r="A441" s="85"/>
      <c r="B441" s="31"/>
      <c r="C441" s="32"/>
      <c r="D441" s="32"/>
      <c r="E441" s="32"/>
      <c r="F441" s="32"/>
      <c r="G441" s="32"/>
      <c r="H441" s="32"/>
    </row>
    <row r="442" spans="1:8" ht="18.75">
      <c r="A442" s="85"/>
      <c r="B442" s="31"/>
      <c r="C442" s="32"/>
      <c r="D442" s="32"/>
      <c r="E442" s="32"/>
      <c r="F442" s="32"/>
      <c r="G442" s="32"/>
      <c r="H442" s="32"/>
    </row>
  </sheetData>
  <sheetProtection/>
  <mergeCells count="61">
    <mergeCell ref="I315:K315"/>
    <mergeCell ref="I383:K383"/>
    <mergeCell ref="I286:K286"/>
    <mergeCell ref="I417:K417"/>
    <mergeCell ref="A355:K355"/>
    <mergeCell ref="A398:K398"/>
    <mergeCell ref="A397:K397"/>
    <mergeCell ref="A362:K362"/>
    <mergeCell ref="A361:K361"/>
    <mergeCell ref="A356:K356"/>
    <mergeCell ref="A326:K326"/>
    <mergeCell ref="A221:K221"/>
    <mergeCell ref="A222:K222"/>
    <mergeCell ref="A237:K237"/>
    <mergeCell ref="I349:K349"/>
    <mergeCell ref="I97:K97"/>
    <mergeCell ref="I161:K161"/>
    <mergeCell ref="I192:K192"/>
    <mergeCell ref="I226:K226"/>
    <mergeCell ref="A140:K140"/>
    <mergeCell ref="A209:K209"/>
    <mergeCell ref="C9:C10"/>
    <mergeCell ref="A16:K16"/>
    <mergeCell ref="M95:M99"/>
    <mergeCell ref="A103:A106"/>
    <mergeCell ref="A327:K327"/>
    <mergeCell ref="A166:K166"/>
    <mergeCell ref="A197:K197"/>
    <mergeCell ref="I257:K257"/>
    <mergeCell ref="A196:K196"/>
    <mergeCell ref="I131:K131"/>
    <mergeCell ref="A17:A19"/>
    <mergeCell ref="C7:E8"/>
    <mergeCell ref="F9:F10"/>
    <mergeCell ref="D9:E9"/>
    <mergeCell ref="I9:I10"/>
    <mergeCell ref="A120:K120"/>
    <mergeCell ref="A28:A30"/>
    <mergeCell ref="A238:K238"/>
    <mergeCell ref="A7:A10"/>
    <mergeCell ref="A165:K165"/>
    <mergeCell ref="H3:K3"/>
    <mergeCell ref="F7:H8"/>
    <mergeCell ref="A87:K87"/>
    <mergeCell ref="J9:K9"/>
    <mergeCell ref="A15:K15"/>
    <mergeCell ref="A139:K139"/>
    <mergeCell ref="A210:K210"/>
    <mergeCell ref="M23:M24"/>
    <mergeCell ref="M29:M30"/>
    <mergeCell ref="A119:K119"/>
    <mergeCell ref="I36:K36"/>
    <mergeCell ref="A86:K86"/>
    <mergeCell ref="B7:B10"/>
    <mergeCell ref="I65:K65"/>
    <mergeCell ref="H1:J1"/>
    <mergeCell ref="A5:K5"/>
    <mergeCell ref="G9:H9"/>
    <mergeCell ref="I7:K8"/>
    <mergeCell ref="H2:K2"/>
    <mergeCell ref="A88:A91"/>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3" r:id="rId1"/>
  <rowBreaks count="11" manualBreakCount="11">
    <brk id="35" max="10" man="1"/>
    <brk id="64" max="10" man="1"/>
    <brk id="96" max="10" man="1"/>
    <brk id="130" max="10" man="1"/>
    <brk id="191" max="10" man="1"/>
    <brk id="256" max="10" man="1"/>
    <brk id="285" max="10" man="1"/>
    <brk id="314" max="10" man="1"/>
    <brk id="347" max="10" man="1"/>
    <brk id="382" max="10" man="1"/>
    <brk id="4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2021-01-28T09:09:43Z</cp:lastPrinted>
  <dcterms:created xsi:type="dcterms:W3CDTF">1996-10-08T23:32:33Z</dcterms:created>
  <dcterms:modified xsi:type="dcterms:W3CDTF">2021-01-28T09:11:08Z</dcterms:modified>
  <cp:category/>
  <cp:version/>
  <cp:contentType/>
  <cp:contentStatus/>
</cp:coreProperties>
</file>